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11.xml" ContentType="application/vnd.openxmlformats-officedocument.spreadsheetml.comments+xml"/>
  <Override PartName="/xl/comments15.xml" ContentType="application/vnd.openxmlformats-officedocument.spreadsheetml.comments+xml"/>
  <Override PartName="/xl/comments9.xml" ContentType="application/vnd.openxmlformats-officedocument.spreadsheetml.comments+xml"/>
  <Override PartName="/xl/comments7.xml" ContentType="application/vnd.openxmlformats-officedocument.spreadsheetml.comments+xml"/>
  <Override PartName="/xl/comments16.xml" ContentType="application/vnd.openxmlformats-officedocument.spreadsheetml.comments+xml"/>
  <Override PartName="/xl/threadedComments/threadedComment1.xml" ContentType="application/vnd.ms-excel.threadedcomments+xml"/>
  <Override PartName="/xl/comments12.xml" ContentType="application/vnd.openxmlformats-officedocument.spreadsheetml.comments+xml"/>
  <Override PartName="/xl/comments17.xml" ContentType="application/vnd.openxmlformats-officedocument.spreadsheetml.comments+xml"/>
  <Override PartName="/xl/comments10.xml" ContentType="application/vnd.openxmlformats-officedocument.spreadsheetml.comments+xml"/>
  <Override PartName="/xl/comments18.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3.xml" ContentType="application/vnd.openxmlformats-officedocument.spreadsheetml.comments+xml"/>
  <Override PartName="/xl/comments8.xml" ContentType="application/vnd.openxmlformats-officedocument.spreadsheetml.comments+xml"/>
  <Override PartName="/xl/comments13.xml" ContentType="application/vnd.openxmlformats-officedocument.spreadsheetml.comments+xml"/>
  <Override PartName="/xl/comments6.xml" ContentType="application/vnd.openxmlformats-officedocument.spreadsheetml.comments+xml"/>
  <Override PartName="/xl/comments14.xml" ContentType="application/vnd.openxmlformats-officedocument.spreadsheetml.comments+xml"/>
  <Override PartName="/xl/persons/person.xml" ContentType="application/vnd.ms-excel.perso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M:\2024\2024 WA Elec and Gas GRC\Supplemental Information (Jan 2024)\Schultz\"/>
    </mc:Choice>
  </mc:AlternateContent>
  <xr:revisionPtr revIDLastSave="0" documentId="13_ncr:1_{CFF43838-91CC-48ED-81B5-C868EE585E06}" xr6:coauthVersionLast="47" xr6:coauthVersionMax="47" xr10:uidLastSave="{00000000-0000-0000-0000-000000000000}"/>
  <bookViews>
    <workbookView xWindow="28680" yWindow="-120" windowWidth="29040" windowHeight="15990" tabRatio="666" firstSheet="1" activeTab="1" xr2:uid="{C14F9419-61FD-4532-8A61-25E66E66D562}"/>
  </bookViews>
  <sheets>
    <sheet name="Acerno_Cache_XXXXX" sheetId="78" state="veryHidden" r:id="rId1"/>
    <sheet name="PROPOSED RATES-12.2024" sheetId="79" r:id="rId2"/>
    <sheet name="PROPOSED RATES-12.2025" sheetId="82" r:id="rId3"/>
    <sheet name="RR SUMMARY" sheetId="55" r:id="rId4"/>
    <sheet name="CF" sheetId="56" r:id="rId5"/>
    <sheet name="ADJ DETAIL INPUT" sheetId="1" r:id="rId6"/>
    <sheet name="ADJ SUMMARY" sheetId="3" r:id="rId7"/>
    <sheet name="CF WA Gas" sheetId="81" r:id="rId8"/>
    <sheet name="ROO INPUT 1.00" sheetId="5" r:id="rId9"/>
    <sheet name="G-1.01 DFIT" sheetId="84" r:id="rId10"/>
    <sheet name="G-1.02 Def DR-CR" sheetId="85" r:id="rId11"/>
    <sheet name="G-1.03 WC" sheetId="86" r:id="rId12"/>
    <sheet name="G-2.01 Elim B&amp;O" sheetId="87" r:id="rId13"/>
    <sheet name="G-2.02,3.11,5.04 Prop Tax" sheetId="88" r:id="rId14"/>
    <sheet name="G-2.03 Uncoll" sheetId="89" r:id="rId15"/>
    <sheet name="G-2.04 Reg Exp" sheetId="90" r:id="rId16"/>
    <sheet name="G-2.05 I&amp;D" sheetId="91" r:id="rId17"/>
    <sheet name="G-2.06 FIT" sheetId="92" r:id="rId18"/>
    <sheet name="G-2.07 OSC" sheetId="93" r:id="rId19"/>
    <sheet name="G-2.08 RET" sheetId="94" r:id="rId20"/>
    <sheet name="G-2.09 NGL" sheetId="95" r:id="rId21"/>
    <sheet name="G-2.10 WN" sheetId="96" r:id="rId22"/>
    <sheet name="G-2.11 EAS" sheetId="97" r:id="rId23"/>
    <sheet name="G-2.12 Misc" sheetId="98" r:id="rId24"/>
    <sheet name="G-2.13 Incentives" sheetId="99" r:id="rId25"/>
    <sheet name="DEBT CALC 2.14" sheetId="75" r:id="rId26"/>
    <sheet name="G-2.15,3.15-3.17,4.01,5.07 CAP" sheetId="100" r:id="rId27"/>
    <sheet name="G-3.01 PF Rev Norm" sheetId="101" r:id="rId28"/>
    <sheet name="G-3.02 PF Def DR&amp;CR" sheetId="103" r:id="rId29"/>
    <sheet name="G-3.03 PF EDIT" sheetId="104" r:id="rId30"/>
    <sheet name="G-3.04,5.01 PF AMI" sheetId="105" r:id="rId31"/>
    <sheet name="G-3.05,5.02 PF NE Labor" sheetId="106" r:id="rId32"/>
    <sheet name="G-3.06 PF Exec Labor" sheetId="107" r:id="rId33"/>
    <sheet name="G-3.07,5.03 Benefits" sheetId="108" r:id="rId34"/>
    <sheet name="G-3.08 PF Incentives" sheetId="109" r:id="rId35"/>
    <sheet name="G-3.09 PF LIRAP" sheetId="110" r:id="rId36"/>
    <sheet name="G-3.10 PF CCA" sheetId="111" r:id="rId37"/>
    <sheet name="G-3.12 PF Ins" sheetId="112" r:id="rId38"/>
    <sheet name="G-3.13 PF IS-IT" sheetId="113" r:id="rId39"/>
    <sheet name="G-3.14,5.06 PF Misc O&amp;M" sheetId="114" r:id="rId40"/>
    <sheet name="G-3.18 New Reg Amort" sheetId="115" r:id="rId41"/>
    <sheet name="G-3.19,5.05 PF Nuc-ETRM" sheetId="116" r:id="rId42"/>
    <sheet name="G-3.20 PF BOD" sheetId="117" r:id="rId43"/>
    <sheet name="G-4.02,5.08 PV Offsets" sheetId="118" r:id="rId44"/>
    <sheet name="Recap Summary" sheetId="69" r:id="rId45"/>
    <sheet name="LEAD SHEETS-DO NOT ENTER" sheetId="76" r:id="rId46"/>
  </sheets>
  <externalReferences>
    <externalReference r:id="rId47"/>
    <externalReference r:id="rId48"/>
  </externalReferences>
  <definedNames>
    <definedName name="_Fill" localSheetId="11" hidden="1">#REF!</definedName>
    <definedName name="_Fill" localSheetId="13" hidden="1">#REF!</definedName>
    <definedName name="_Fill" localSheetId="14" hidden="1">#REF!</definedName>
    <definedName name="_Fill" localSheetId="18" hidden="1">#REF!</definedName>
    <definedName name="_Fill" localSheetId="19" hidden="1">#REF!</definedName>
    <definedName name="_Fill" localSheetId="20" hidden="1">#REF!</definedName>
    <definedName name="_Fill" localSheetId="23" hidden="1">#REF!</definedName>
    <definedName name="_Fill" localSheetId="24" hidden="1">#REF!</definedName>
    <definedName name="_Fill" localSheetId="29" hidden="1">#REF!</definedName>
    <definedName name="_Fill" localSheetId="30" hidden="1">#REF!</definedName>
    <definedName name="_Fill" localSheetId="32" hidden="1">#REF!</definedName>
    <definedName name="_Fill" localSheetId="38" hidden="1">#REF!</definedName>
    <definedName name="_Fill" localSheetId="41" hidden="1">#REF!</definedName>
    <definedName name="_Fill" localSheetId="42" hidden="1">#REF!</definedName>
    <definedName name="_Fill" localSheetId="43" hidden="1">#REF!</definedName>
    <definedName name="_Fill" hidden="1">#REF!</definedName>
    <definedName name="_Key1" localSheetId="11" hidden="1">#REF!</definedName>
    <definedName name="_Key1" localSheetId="13" hidden="1">#REF!</definedName>
    <definedName name="_Key1" localSheetId="14" hidden="1">#REF!</definedName>
    <definedName name="_Key1" localSheetId="18" hidden="1">#REF!</definedName>
    <definedName name="_Key1" localSheetId="19" hidden="1">#REF!</definedName>
    <definedName name="_Key1" localSheetId="20" hidden="1">#REF!</definedName>
    <definedName name="_Key1" localSheetId="23" hidden="1">#REF!</definedName>
    <definedName name="_Key1" localSheetId="24" hidden="1">#REF!</definedName>
    <definedName name="_Key1" localSheetId="29" hidden="1">#REF!</definedName>
    <definedName name="_Key1" localSheetId="30" hidden="1">#REF!</definedName>
    <definedName name="_Key1" localSheetId="32" hidden="1">#REF!</definedName>
    <definedName name="_Key1" localSheetId="38" hidden="1">#REF!</definedName>
    <definedName name="_Key1" localSheetId="41" hidden="1">#REF!</definedName>
    <definedName name="_Key1" localSheetId="42" hidden="1">#REF!</definedName>
    <definedName name="_Key1" localSheetId="43" hidden="1">#REF!</definedName>
    <definedName name="_Key1" hidden="1">#REF!</definedName>
    <definedName name="_Order1" hidden="1">255</definedName>
    <definedName name="_Order2" hidden="1">255</definedName>
    <definedName name="Base1_Billing2">'[1]Pres &amp; Prop Rev'!$Q$8</definedName>
    <definedName name="factors" localSheetId="17">'G-2.06 FIT'!$T$3:$W$14</definedName>
    <definedName name="months" localSheetId="28">[2]DATA!$H$2</definedName>
    <definedName name="_xlnm.Print_Area" localSheetId="5">'ADJ DETAIL INPUT'!$A$2:$BJ$84</definedName>
    <definedName name="_xlnm.Print_Area" localSheetId="6">'ADJ SUMMARY'!$A$1:$G$69</definedName>
    <definedName name="_xlnm.Print_Area" localSheetId="4">CF!$A$1:$F$29</definedName>
    <definedName name="_xlnm.Print_Area" localSheetId="25">'DEBT CALC 2.14'!$A$1:$I$68</definedName>
    <definedName name="_xlnm.Print_Area" localSheetId="45">'LEAD SHEETS-DO NOT ENTER'!$A$2:$BD$82</definedName>
    <definedName name="_xlnm.Print_Area" localSheetId="1">'PROPOSED RATES-12.2024'!$A$1:$L$82</definedName>
    <definedName name="_xlnm.Print_Area" localSheetId="2">'PROPOSED RATES-12.2025'!$A$1:$K$82</definedName>
    <definedName name="_xlnm.Print_Area" localSheetId="44">'Recap Summary'!$A$1:$R$71</definedName>
    <definedName name="_xlnm.Print_Area" localSheetId="8">'ROO INPUT 1.00'!$A$3:$G$82</definedName>
    <definedName name="_xlnm.Print_Area" localSheetId="3">'RR SUMMARY'!$A$1:$H$34,'RR SUMMARY'!$J$1:$P$18</definedName>
    <definedName name="Print_for_CBReport" localSheetId="44">'Recap Summary'!$A$11:$I$61</definedName>
    <definedName name="Print_for_Checking" localSheetId="44">'Recap Summary'!$A$11:$I$61</definedName>
    <definedName name="_xlnm.Print_Titles" localSheetId="5">'ADJ DETAIL INPUT'!$A:$D,'ADJ DETAIL INPUT'!$2:$10</definedName>
    <definedName name="_xlnm.Print_Titles" localSheetId="45">'LEAD SHEETS-DO NOT ENTER'!$A:$D,'LEAD SHEETS-DO NOT ENTER'!$2:$11</definedName>
    <definedName name="rbcalc" localSheetId="28">[2]DATA!$H$3</definedName>
    <definedName name="rbcalc_heading" localSheetId="28">[2]DATA!$H$5</definedName>
    <definedName name="tp_heading" localSheetId="28">[2]DATA!$H$4</definedName>
    <definedName name="WA_Elec" localSheetId="25">'DEBT CALC 2.14'!$A$1:$F$67</definedName>
    <definedName name="wrn.All._.Sheets." localSheetId="11" hidden="1">{"IncSt",#N/A,FALSE,"IS";"BalSht",#N/A,FALSE,"BS";"IntCash",#N/A,FALSE,"Int. Cash";"Stats",#N/A,FALSE,"Stats"}</definedName>
    <definedName name="wrn.All._.Sheets." localSheetId="13" hidden="1">{"IncSt",#N/A,FALSE,"IS";"BalSht",#N/A,FALSE,"BS";"IntCash",#N/A,FALSE,"Int. Cash";"Stats",#N/A,FALSE,"Stats"}</definedName>
    <definedName name="wrn.All._.Sheets." localSheetId="14" hidden="1">{"IncSt",#N/A,FALSE,"IS";"BalSht",#N/A,FALSE,"BS";"IntCash",#N/A,FALSE,"Int. Cash";"Stats",#N/A,FALSE,"Stats"}</definedName>
    <definedName name="wrn.All._.Sheets." localSheetId="18" hidden="1">{"IncSt",#N/A,FALSE,"IS";"BalSht",#N/A,FALSE,"BS";"IntCash",#N/A,FALSE,"Int. Cash";"Stats",#N/A,FALSE,"Stats"}</definedName>
    <definedName name="wrn.All._.Sheets." localSheetId="19" hidden="1">{"IncSt",#N/A,FALSE,"IS";"BalSht",#N/A,FALSE,"BS";"IntCash",#N/A,FALSE,"Int. Cash";"Stats",#N/A,FALSE,"Stats"}</definedName>
    <definedName name="wrn.All._.Sheets." localSheetId="20" hidden="1">{"IncSt",#N/A,FALSE,"IS";"BalSht",#N/A,FALSE,"BS";"IntCash",#N/A,FALSE,"Int. Cash";"Stats",#N/A,FALSE,"Stats"}</definedName>
    <definedName name="wrn.All._.Sheets." localSheetId="23" hidden="1">{"IncSt",#N/A,FALSE,"IS";"BalSht",#N/A,FALSE,"BS";"IntCash",#N/A,FALSE,"Int. Cash";"Stats",#N/A,FALSE,"Stats"}</definedName>
    <definedName name="wrn.All._.Sheets." localSheetId="24" hidden="1">{"IncSt",#N/A,FALSE,"IS";"BalSht",#N/A,FALSE,"BS";"IntCash",#N/A,FALSE,"Int. Cash";"Stats",#N/A,FALSE,"Stats"}</definedName>
    <definedName name="wrn.All._.Sheets." localSheetId="29" hidden="1">{"IncSt",#N/A,FALSE,"IS";"BalSht",#N/A,FALSE,"BS";"IntCash",#N/A,FALSE,"Int. Cash";"Stats",#N/A,FALSE,"Stats"}</definedName>
    <definedName name="wrn.All._.Sheets." localSheetId="30" hidden="1">{"IncSt",#N/A,FALSE,"IS";"BalSht",#N/A,FALSE,"BS";"IntCash",#N/A,FALSE,"Int. Cash";"Stats",#N/A,FALSE,"Stats"}</definedName>
    <definedName name="wrn.All._.Sheets." localSheetId="32" hidden="1">{"IncSt",#N/A,FALSE,"IS";"BalSht",#N/A,FALSE,"BS";"IntCash",#N/A,FALSE,"Int. Cash";"Stats",#N/A,FALSE,"Stats"}</definedName>
    <definedName name="wrn.All._.Sheets." localSheetId="38" hidden="1">{"IncSt",#N/A,FALSE,"IS";"BalSht",#N/A,FALSE,"BS";"IntCash",#N/A,FALSE,"Int. Cash";"Stats",#N/A,FALSE,"Stats"}</definedName>
    <definedName name="wrn.All._.Sheets." localSheetId="41" hidden="1">{"IncSt",#N/A,FALSE,"IS";"BalSht",#N/A,FALSE,"BS";"IntCash",#N/A,FALSE,"Int. Cash";"Stats",#N/A,FALSE,"Stats"}</definedName>
    <definedName name="wrn.All._.Sheets." localSheetId="42" hidden="1">{"IncSt",#N/A,FALSE,"IS";"BalSht",#N/A,FALSE,"BS";"IntCash",#N/A,FALSE,"Int. Cash";"Stats",#N/A,FALSE,"Stats"}</definedName>
    <definedName name="wrn.All._.Sheets." localSheetId="43" hidden="1">{"IncSt",#N/A,FALSE,"IS";"BalSht",#N/A,FALSE,"BS";"IntCash",#N/A,FALSE,"Int. Cash";"Stats",#N/A,FALSE,"Stats"}</definedName>
    <definedName name="wrn.All._.Sheets." hidden="1">{"IncSt",#N/A,FALSE,"IS";"BalSht",#N/A,FALSE,"BS";"IntCash",#N/A,FALSE,"Int. Cash";"Stats",#N/A,FALSE,"Stats"}</definedName>
    <definedName name="Z_5BE913A1_B14F_11D2_B0DC_0000832CDFF0_.wvu.Cols" localSheetId="5" hidden="1">'ADJ DETAIL INPUT'!$V:$AW</definedName>
    <definedName name="Z_5BE913A1_B14F_11D2_B0DC_0000832CDFF0_.wvu.Cols" localSheetId="45" hidden="1">'LEAD SHEETS-DO NOT ENTER'!$AB:$AD</definedName>
    <definedName name="Z_5BE913A1_B14F_11D2_B0DC_0000832CDFF0_.wvu.PrintArea" localSheetId="5" hidden="1">'ADJ DETAIL INPUT'!$E$11:$AW$82</definedName>
    <definedName name="Z_5BE913A1_B14F_11D2_B0DC_0000832CDFF0_.wvu.PrintArea" localSheetId="6" hidden="1">'ADJ SUMMARY'!$A$1:$G$53</definedName>
    <definedName name="Z_5BE913A1_B14F_11D2_B0DC_0000832CDFF0_.wvu.PrintArea" localSheetId="45" hidden="1">'LEAD SHEETS-DO NOT ENTER'!$E$12:$AD$83</definedName>
    <definedName name="Z_5BE913A1_B14F_11D2_B0DC_0000832CDFF0_.wvu.PrintArea" localSheetId="44" hidden="1">'Recap Summary'!$A$11:$I$61</definedName>
    <definedName name="Z_5BE913A1_B14F_11D2_B0DC_0000832CDFF0_.wvu.PrintArea" localSheetId="8" hidden="1">'ROO INPUT 1.00'!$A$3:$G$82</definedName>
    <definedName name="Z_5BE913A1_B14F_11D2_B0DC_0000832CDFF0_.wvu.PrintTitles" localSheetId="5" hidden="1">'ADJ DETAIL INPUT'!$A:$D,'ADJ DETAIL INPUT'!$2:$10</definedName>
    <definedName name="Z_5BE913A1_B14F_11D2_B0DC_0000832CDFF0_.wvu.PrintTitles" localSheetId="45" hidden="1">'LEAD SHEETS-DO NOT ENTER'!$A:$D,'LEAD SHEETS-DO NOT ENTER'!$2:$11</definedName>
    <definedName name="Z_5BE913A1_B14F_11D2_B0DC_0000832CDFF0_.wvu.Rows" localSheetId="6" hidden="1">'ADJ SUMMARY'!$25:$25,'ADJ SUMMARY'!$29:$53,'ADJ SUMMARY'!#REF!</definedName>
    <definedName name="Z_5BE913A1_B14F_11D2_B0DC_0000832CDFF0_.wvu.Rows" localSheetId="44" hidden="1">'Recap Summary'!$31:$31,'Recap Summary'!$35:$61,'Recap Summary'!#REF!</definedName>
    <definedName name="Z_A15D1964_B049_11D2_8670_0000832CEEE8_.wvu.Cols" localSheetId="5" hidden="1">'ADJ DETAIL INPUT'!$V:$AW</definedName>
    <definedName name="Z_A15D1964_B049_11D2_8670_0000832CEEE8_.wvu.Cols" localSheetId="45" hidden="1">'LEAD SHEETS-DO NOT ENTER'!$AB:$AD</definedName>
    <definedName name="Z_A15D1964_B049_11D2_8670_0000832CEEE8_.wvu.PrintArea" localSheetId="5" hidden="1">'ADJ DETAIL INPUT'!$E$11:$AW$82</definedName>
    <definedName name="Z_A15D1964_B049_11D2_8670_0000832CEEE8_.wvu.PrintArea" localSheetId="6" hidden="1">'ADJ SUMMARY'!$A$1:$G$53</definedName>
    <definedName name="Z_A15D1964_B049_11D2_8670_0000832CEEE8_.wvu.PrintArea" localSheetId="45" hidden="1">'LEAD SHEETS-DO NOT ENTER'!$E$12:$AD$83</definedName>
    <definedName name="Z_A15D1964_B049_11D2_8670_0000832CEEE8_.wvu.PrintArea" localSheetId="44" hidden="1">'Recap Summary'!$A$11:$I$61</definedName>
    <definedName name="Z_A15D1964_B049_11D2_8670_0000832CEEE8_.wvu.PrintArea" localSheetId="8" hidden="1">'ROO INPUT 1.00'!$A$3:$G$82</definedName>
    <definedName name="Z_A15D1964_B049_11D2_8670_0000832CEEE8_.wvu.PrintTitles" localSheetId="5" hidden="1">'ADJ DETAIL INPUT'!$A:$D,'ADJ DETAIL INPUT'!$2:$10</definedName>
    <definedName name="Z_A15D1964_B049_11D2_8670_0000832CEEE8_.wvu.PrintTitles" localSheetId="45" hidden="1">'LEAD SHEETS-DO NOT ENTER'!$A:$D,'LEAD SHEETS-DO NOT ENTER'!$2:$11</definedName>
    <definedName name="Z_A15D1964_B049_11D2_8670_0000832CEEE8_.wvu.Rows" localSheetId="6" hidden="1">'ADJ SUMMARY'!$25:$25,'ADJ SUMMARY'!$29:$53,'ADJ SUMMARY'!#REF!</definedName>
    <definedName name="Z_A15D1964_B049_11D2_8670_0000832CEEE8_.wvu.Rows" localSheetId="44" hidden="1">'Recap Summary'!$31:$31,'Recap Summary'!$35:$61,'Recap Summary'!#REF!</definedName>
  </definedNames>
  <calcPr calcId="191029"/>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01" l="1"/>
  <c r="F12" i="101"/>
  <c r="F6" i="101" s="1"/>
  <c r="F9" i="101"/>
  <c r="F8" i="101"/>
  <c r="AU43" i="1" l="1"/>
  <c r="BG43" i="1"/>
  <c r="BG33" i="1"/>
  <c r="AU33" i="1"/>
  <c r="BG16" i="1"/>
  <c r="AU16" i="1"/>
  <c r="BE25" i="118"/>
  <c r="BF29" i="118"/>
  <c r="BG29" i="118" s="1"/>
  <c r="BH29" i="118"/>
  <c r="BI29" i="118" s="1"/>
  <c r="BJ29" i="118" s="1"/>
  <c r="BK29" i="118" s="1"/>
  <c r="BL29" i="118" s="1"/>
  <c r="BM29" i="118" s="1"/>
  <c r="BN29" i="118" s="1"/>
  <c r="BO29" i="118" s="1"/>
  <c r="BP29" i="118" s="1"/>
  <c r="BQ29" i="118" s="1"/>
  <c r="BR29" i="118" s="1"/>
  <c r="BS29" i="118" s="1"/>
  <c r="BT29" i="118" s="1"/>
  <c r="BU29" i="118" s="1"/>
  <c r="BV29" i="118" s="1"/>
  <c r="BW29" i="118" s="1"/>
  <c r="BX29" i="118" s="1"/>
  <c r="BY29" i="118" s="1"/>
  <c r="BZ29" i="118" s="1"/>
  <c r="CA29" i="118" s="1"/>
  <c r="CB29" i="118" s="1"/>
  <c r="BF38" i="118"/>
  <c r="BG38" i="118"/>
  <c r="BH38" i="118" s="1"/>
  <c r="BI38" i="118"/>
  <c r="BJ38" i="118" s="1"/>
  <c r="BK38" i="118" s="1"/>
  <c r="BL38" i="118" s="1"/>
  <c r="BM38" i="118" s="1"/>
  <c r="BN38" i="118" s="1"/>
  <c r="BO38" i="118" s="1"/>
  <c r="BP38" i="118" s="1"/>
  <c r="BQ38" i="118" s="1"/>
  <c r="BR38" i="118" s="1"/>
  <c r="BS38" i="118" s="1"/>
  <c r="BT38" i="118" s="1"/>
  <c r="BU38" i="118" s="1"/>
  <c r="BV38" i="118" s="1"/>
  <c r="BW38" i="118" s="1"/>
  <c r="BX38" i="118" s="1"/>
  <c r="BY38" i="118" s="1"/>
  <c r="BZ38" i="118" s="1"/>
  <c r="CA38" i="118" s="1"/>
  <c r="CB38" i="118" s="1"/>
  <c r="BE39" i="118"/>
  <c r="BE67" i="118" s="1"/>
  <c r="BF39" i="118"/>
  <c r="BG39" i="118"/>
  <c r="BH39" i="118"/>
  <c r="BI39" i="118"/>
  <c r="BI67" i="118" s="1"/>
  <c r="BJ39" i="118"/>
  <c r="BK39" i="118"/>
  <c r="BL39" i="118"/>
  <c r="BM39" i="118"/>
  <c r="BM67" i="118" s="1"/>
  <c r="BN39" i="118"/>
  <c r="BO39" i="118"/>
  <c r="BP39" i="118"/>
  <c r="BQ39" i="118"/>
  <c r="BQ67" i="118" s="1"/>
  <c r="BR39" i="118"/>
  <c r="BS39" i="118"/>
  <c r="BT39" i="118"/>
  <c r="BU39" i="118"/>
  <c r="BU67" i="118" s="1"/>
  <c r="BV39" i="118"/>
  <c r="BW39" i="118"/>
  <c r="BX39" i="118"/>
  <c r="BY39" i="118"/>
  <c r="BY67" i="118" s="1"/>
  <c r="BZ39" i="118"/>
  <c r="CA39" i="118"/>
  <c r="CB39" i="118"/>
  <c r="BE40" i="118"/>
  <c r="BE68" i="118" s="1"/>
  <c r="BF40" i="118"/>
  <c r="BG40" i="118"/>
  <c r="BH40" i="118"/>
  <c r="BI40" i="118"/>
  <c r="BI68" i="118" s="1"/>
  <c r="BJ40" i="118"/>
  <c r="BK40" i="118"/>
  <c r="BL40" i="118"/>
  <c r="BM40" i="118"/>
  <c r="BM68" i="118" s="1"/>
  <c r="BN40" i="118"/>
  <c r="BO40" i="118"/>
  <c r="BP40" i="118"/>
  <c r="BQ40" i="118"/>
  <c r="BQ68" i="118" s="1"/>
  <c r="BR40" i="118"/>
  <c r="BS40" i="118"/>
  <c r="BT40" i="118"/>
  <c r="BU40" i="118"/>
  <c r="BU68" i="118" s="1"/>
  <c r="BV40" i="118"/>
  <c r="BW40" i="118"/>
  <c r="BX40" i="118"/>
  <c r="BY40" i="118"/>
  <c r="BY68" i="118" s="1"/>
  <c r="BZ40" i="118"/>
  <c r="CA40" i="118"/>
  <c r="CB40" i="118"/>
  <c r="BE41" i="118"/>
  <c r="BE69" i="118" s="1"/>
  <c r="BF41" i="118"/>
  <c r="BG41" i="118"/>
  <c r="BH41" i="118"/>
  <c r="BI41" i="118"/>
  <c r="BI69" i="118" s="1"/>
  <c r="BJ41" i="118"/>
  <c r="BK41" i="118"/>
  <c r="BL41" i="118"/>
  <c r="BM41" i="118"/>
  <c r="BM69" i="118" s="1"/>
  <c r="BN41" i="118"/>
  <c r="BO41" i="118"/>
  <c r="BP41" i="118"/>
  <c r="BQ41" i="118"/>
  <c r="BQ69" i="118" s="1"/>
  <c r="BR41" i="118"/>
  <c r="BS41" i="118"/>
  <c r="BT41" i="118"/>
  <c r="BU41" i="118"/>
  <c r="BU69" i="118" s="1"/>
  <c r="BV41" i="118"/>
  <c r="BW41" i="118"/>
  <c r="BX41" i="118"/>
  <c r="BY41" i="118"/>
  <c r="BY69" i="118" s="1"/>
  <c r="BZ41" i="118"/>
  <c r="CA41" i="118"/>
  <c r="CB41" i="118"/>
  <c r="BE43" i="118"/>
  <c r="BE71" i="118" s="1"/>
  <c r="BF43" i="118"/>
  <c r="BG43" i="118"/>
  <c r="BH43" i="118"/>
  <c r="BI43" i="118"/>
  <c r="BI71" i="118" s="1"/>
  <c r="BJ43" i="118"/>
  <c r="BK43" i="118"/>
  <c r="BL43" i="118"/>
  <c r="BM43" i="118"/>
  <c r="BM71" i="118" s="1"/>
  <c r="BN43" i="118"/>
  <c r="BO43" i="118"/>
  <c r="BP43" i="118"/>
  <c r="BQ43" i="118"/>
  <c r="BQ71" i="118" s="1"/>
  <c r="BR43" i="118"/>
  <c r="BS43" i="118"/>
  <c r="BT43" i="118"/>
  <c r="BU43" i="118"/>
  <c r="BU71" i="118" s="1"/>
  <c r="BV43" i="118"/>
  <c r="BW43" i="118"/>
  <c r="BX43" i="118"/>
  <c r="BY43" i="118"/>
  <c r="BY71" i="118" s="1"/>
  <c r="BZ43" i="118"/>
  <c r="CA43" i="118"/>
  <c r="CB43" i="118"/>
  <c r="BE44" i="118"/>
  <c r="BE72" i="118" s="1"/>
  <c r="BF44" i="118"/>
  <c r="BG44" i="118"/>
  <c r="BH44" i="118"/>
  <c r="BI44" i="118"/>
  <c r="BI72" i="118" s="1"/>
  <c r="BJ44" i="118"/>
  <c r="BK44" i="118"/>
  <c r="BL44" i="118"/>
  <c r="BM44" i="118"/>
  <c r="BM72" i="118" s="1"/>
  <c r="BN44" i="118"/>
  <c r="BO44" i="118"/>
  <c r="BP44" i="118"/>
  <c r="BQ44" i="118"/>
  <c r="BQ72" i="118" s="1"/>
  <c r="BR44" i="118"/>
  <c r="BS44" i="118"/>
  <c r="BT44" i="118"/>
  <c r="BU44" i="118"/>
  <c r="BU72" i="118" s="1"/>
  <c r="BV44" i="118"/>
  <c r="BW44" i="118"/>
  <c r="BX44" i="118"/>
  <c r="BY44" i="118"/>
  <c r="BY72" i="118" s="1"/>
  <c r="BZ44" i="118"/>
  <c r="CA44" i="118"/>
  <c r="CB44" i="118"/>
  <c r="BE45" i="118"/>
  <c r="BF45" i="118"/>
  <c r="BG45" i="118"/>
  <c r="BH45" i="118"/>
  <c r="BI45" i="118"/>
  <c r="BJ45" i="118"/>
  <c r="BK45" i="118"/>
  <c r="BL45" i="118"/>
  <c r="BM45" i="118"/>
  <c r="BN45" i="118"/>
  <c r="BO45" i="118"/>
  <c r="BP45" i="118"/>
  <c r="BQ45" i="118"/>
  <c r="BR45" i="118"/>
  <c r="BS45" i="118"/>
  <c r="BT45" i="118"/>
  <c r="BU45" i="118"/>
  <c r="BV45" i="118"/>
  <c r="BW45" i="118"/>
  <c r="BX45" i="118"/>
  <c r="BY45" i="118"/>
  <c r="BZ45" i="118"/>
  <c r="CA45" i="118"/>
  <c r="CB45" i="118"/>
  <c r="BF48" i="118"/>
  <c r="BG48" i="118" s="1"/>
  <c r="BH48" i="118" s="1"/>
  <c r="BI48" i="118" s="1"/>
  <c r="BJ48" i="118" s="1"/>
  <c r="BK48" i="118" s="1"/>
  <c r="BL48" i="118" s="1"/>
  <c r="BM48" i="118" s="1"/>
  <c r="BN48" i="118" s="1"/>
  <c r="BO48" i="118" s="1"/>
  <c r="BP48" i="118" s="1"/>
  <c r="BQ48" i="118" s="1"/>
  <c r="BR48" i="118" s="1"/>
  <c r="BS48" i="118" s="1"/>
  <c r="BT48" i="118" s="1"/>
  <c r="BU48" i="118" s="1"/>
  <c r="BV48" i="118" s="1"/>
  <c r="BW48" i="118" s="1"/>
  <c r="BX48" i="118" s="1"/>
  <c r="BY48" i="118" s="1"/>
  <c r="BZ48" i="118" s="1"/>
  <c r="CA48" i="118" s="1"/>
  <c r="CB48" i="118" s="1"/>
  <c r="BF57" i="118"/>
  <c r="BG57" i="118"/>
  <c r="BH57" i="118" s="1"/>
  <c r="BI57" i="118" s="1"/>
  <c r="BJ57" i="118" s="1"/>
  <c r="BK57" i="118" s="1"/>
  <c r="BL57" i="118" s="1"/>
  <c r="BM57" i="118" s="1"/>
  <c r="BN57" i="118" s="1"/>
  <c r="BO57" i="118" s="1"/>
  <c r="BP57" i="118" s="1"/>
  <c r="BQ57" i="118" s="1"/>
  <c r="BR57" i="118" s="1"/>
  <c r="BS57" i="118" s="1"/>
  <c r="BT57" i="118" s="1"/>
  <c r="BU57" i="118" s="1"/>
  <c r="BV57" i="118" s="1"/>
  <c r="BW57" i="118" s="1"/>
  <c r="BX57" i="118" s="1"/>
  <c r="BY57" i="118" s="1"/>
  <c r="BZ57" i="118" s="1"/>
  <c r="CA57" i="118" s="1"/>
  <c r="CB57" i="118" s="1"/>
  <c r="BE58" i="118"/>
  <c r="BF58" i="118"/>
  <c r="BG58" i="118"/>
  <c r="BG67" i="118" s="1"/>
  <c r="BH58" i="118"/>
  <c r="BI58" i="118"/>
  <c r="BJ58" i="118"/>
  <c r="BK58" i="118"/>
  <c r="BK67" i="118" s="1"/>
  <c r="BL58" i="118"/>
  <c r="BM58" i="118"/>
  <c r="BN58" i="118"/>
  <c r="BO58" i="118"/>
  <c r="BO67" i="118" s="1"/>
  <c r="BP58" i="118"/>
  <c r="BQ58" i="118"/>
  <c r="BR58" i="118"/>
  <c r="BS58" i="118"/>
  <c r="BS67" i="118" s="1"/>
  <c r="BT58" i="118"/>
  <c r="BU58" i="118"/>
  <c r="BV58" i="118"/>
  <c r="BW58" i="118"/>
  <c r="BW67" i="118" s="1"/>
  <c r="BX58" i="118"/>
  <c r="BY58" i="118"/>
  <c r="BZ58" i="118"/>
  <c r="CA58" i="118"/>
  <c r="CA67" i="118" s="1"/>
  <c r="CB58" i="118"/>
  <c r="BE59" i="118"/>
  <c r="BF59" i="118"/>
  <c r="BG59" i="118"/>
  <c r="BG68" i="118" s="1"/>
  <c r="BG121" i="118" s="1"/>
  <c r="BH59" i="118"/>
  <c r="BI59" i="118"/>
  <c r="BJ59" i="118"/>
  <c r="BK59" i="118"/>
  <c r="BK68" i="118" s="1"/>
  <c r="BK121" i="118" s="1"/>
  <c r="BL59" i="118"/>
  <c r="BM59" i="118"/>
  <c r="BN59" i="118"/>
  <c r="BO59" i="118"/>
  <c r="BO68" i="118" s="1"/>
  <c r="BO121" i="118" s="1"/>
  <c r="BP59" i="118"/>
  <c r="BQ59" i="118"/>
  <c r="BR59" i="118"/>
  <c r="BS59" i="118"/>
  <c r="BS68" i="118" s="1"/>
  <c r="BS121" i="118" s="1"/>
  <c r="BT59" i="118"/>
  <c r="BU59" i="118"/>
  <c r="BV59" i="118"/>
  <c r="BW59" i="118"/>
  <c r="BW68" i="118" s="1"/>
  <c r="BW121" i="118" s="1"/>
  <c r="BX59" i="118"/>
  <c r="BY59" i="118"/>
  <c r="BZ59" i="118"/>
  <c r="CA59" i="118"/>
  <c r="CA68" i="118" s="1"/>
  <c r="CA121" i="118" s="1"/>
  <c r="CB59" i="118"/>
  <c r="BE60" i="118"/>
  <c r="BF60" i="118"/>
  <c r="BG60" i="118"/>
  <c r="BG69" i="118" s="1"/>
  <c r="BH60" i="118"/>
  <c r="BI60" i="118"/>
  <c r="BJ60" i="118"/>
  <c r="BK60" i="118"/>
  <c r="BK69" i="118" s="1"/>
  <c r="BL60" i="118"/>
  <c r="BM60" i="118"/>
  <c r="BN60" i="118"/>
  <c r="BO60" i="118"/>
  <c r="BO69" i="118" s="1"/>
  <c r="BP60" i="118"/>
  <c r="BQ60" i="118"/>
  <c r="BR60" i="118"/>
  <c r="BS60" i="118"/>
  <c r="BS69" i="118" s="1"/>
  <c r="BT60" i="118"/>
  <c r="BU60" i="118"/>
  <c r="BV60" i="118"/>
  <c r="BW60" i="118"/>
  <c r="BW69" i="118" s="1"/>
  <c r="BX60" i="118"/>
  <c r="BY60" i="118"/>
  <c r="BZ60" i="118"/>
  <c r="CA60" i="118"/>
  <c r="CA69" i="118" s="1"/>
  <c r="CB60" i="118"/>
  <c r="BE62" i="118"/>
  <c r="BF62" i="118"/>
  <c r="BG62" i="118"/>
  <c r="BG71" i="118" s="1"/>
  <c r="BH62" i="118"/>
  <c r="BI62" i="118"/>
  <c r="BJ62" i="118"/>
  <c r="BK62" i="118"/>
  <c r="BK71" i="118" s="1"/>
  <c r="BL62" i="118"/>
  <c r="BM62" i="118"/>
  <c r="BN62" i="118"/>
  <c r="BO62" i="118"/>
  <c r="BO71" i="118" s="1"/>
  <c r="BP62" i="118"/>
  <c r="BQ62" i="118"/>
  <c r="BR62" i="118"/>
  <c r="BS62" i="118"/>
  <c r="BS71" i="118" s="1"/>
  <c r="BT62" i="118"/>
  <c r="BU62" i="118"/>
  <c r="BV62" i="118"/>
  <c r="BW62" i="118"/>
  <c r="BW71" i="118" s="1"/>
  <c r="BX62" i="118"/>
  <c r="BY62" i="118"/>
  <c r="BZ62" i="118"/>
  <c r="CA62" i="118"/>
  <c r="CA71" i="118" s="1"/>
  <c r="CB62" i="118"/>
  <c r="BE63" i="118"/>
  <c r="BF63" i="118"/>
  <c r="BG63" i="118"/>
  <c r="BG72" i="118" s="1"/>
  <c r="BH63" i="118"/>
  <c r="BI63" i="118"/>
  <c r="BJ63" i="118"/>
  <c r="BK63" i="118"/>
  <c r="BK72" i="118" s="1"/>
  <c r="BL63" i="118"/>
  <c r="BM63" i="118"/>
  <c r="BN63" i="118"/>
  <c r="BO63" i="118"/>
  <c r="BO72" i="118" s="1"/>
  <c r="BP63" i="118"/>
  <c r="BQ63" i="118"/>
  <c r="BR63" i="118"/>
  <c r="BS63" i="118"/>
  <c r="BS72" i="118" s="1"/>
  <c r="BT63" i="118"/>
  <c r="BU63" i="118"/>
  <c r="BV63" i="118"/>
  <c r="BW63" i="118"/>
  <c r="BW72" i="118" s="1"/>
  <c r="BX63" i="118"/>
  <c r="BY63" i="118"/>
  <c r="BZ63" i="118"/>
  <c r="CA63" i="118"/>
  <c r="CA72" i="118" s="1"/>
  <c r="CB63" i="118"/>
  <c r="BF66" i="118"/>
  <c r="BG66" i="118" s="1"/>
  <c r="BH66" i="118" s="1"/>
  <c r="BI66" i="118" s="1"/>
  <c r="BJ66" i="118" s="1"/>
  <c r="BK66" i="118" s="1"/>
  <c r="BL66" i="118" s="1"/>
  <c r="BM66" i="118" s="1"/>
  <c r="BN66" i="118" s="1"/>
  <c r="BO66" i="118" s="1"/>
  <c r="BP66" i="118" s="1"/>
  <c r="BQ66" i="118" s="1"/>
  <c r="BR66" i="118" s="1"/>
  <c r="BS66" i="118" s="1"/>
  <c r="BT66" i="118" s="1"/>
  <c r="BU66" i="118" s="1"/>
  <c r="BV66" i="118" s="1"/>
  <c r="BW66" i="118" s="1"/>
  <c r="BX66" i="118" s="1"/>
  <c r="BY66" i="118" s="1"/>
  <c r="BZ66" i="118" s="1"/>
  <c r="CA66" i="118" s="1"/>
  <c r="CB66" i="118" s="1"/>
  <c r="BF67" i="118"/>
  <c r="BH67" i="118"/>
  <c r="BJ67" i="118"/>
  <c r="BL67" i="118"/>
  <c r="BN67" i="118"/>
  <c r="BP67" i="118"/>
  <c r="BR67" i="118"/>
  <c r="BT67" i="118"/>
  <c r="BV67" i="118"/>
  <c r="BX67" i="118"/>
  <c r="BZ67" i="118"/>
  <c r="CB67" i="118"/>
  <c r="BF68" i="118"/>
  <c r="BH68" i="118"/>
  <c r="BH121" i="118" s="1"/>
  <c r="BJ68" i="118"/>
  <c r="BL68" i="118"/>
  <c r="BL121" i="118" s="1"/>
  <c r="BN68" i="118"/>
  <c r="BP68" i="118"/>
  <c r="BP121" i="118" s="1"/>
  <c r="BR68" i="118"/>
  <c r="BT68" i="118"/>
  <c r="BT121" i="118" s="1"/>
  <c r="BV68" i="118"/>
  <c r="BX68" i="118"/>
  <c r="BX121" i="118" s="1"/>
  <c r="BZ68" i="118"/>
  <c r="CB68" i="118"/>
  <c r="CB121" i="118" s="1"/>
  <c r="BF69" i="118"/>
  <c r="BH69" i="118"/>
  <c r="BJ69" i="118"/>
  <c r="BL69" i="118"/>
  <c r="BN69" i="118"/>
  <c r="BP69" i="118"/>
  <c r="BR69" i="118"/>
  <c r="BT69" i="118"/>
  <c r="BV69" i="118"/>
  <c r="BX69" i="118"/>
  <c r="BZ69" i="118"/>
  <c r="CB69" i="118"/>
  <c r="BE70" i="118"/>
  <c r="BF70" i="118"/>
  <c r="BG70" i="118"/>
  <c r="BH70" i="118"/>
  <c r="BI70" i="118"/>
  <c r="BJ70" i="118"/>
  <c r="BK70" i="118"/>
  <c r="BL70" i="118"/>
  <c r="BM70" i="118"/>
  <c r="BN70" i="118"/>
  <c r="BO70" i="118"/>
  <c r="BP70" i="118"/>
  <c r="BQ70" i="118"/>
  <c r="BR70" i="118"/>
  <c r="BS70" i="118"/>
  <c r="BT70" i="118"/>
  <c r="BU70" i="118"/>
  <c r="BV70" i="118"/>
  <c r="BW70" i="118"/>
  <c r="BX70" i="118"/>
  <c r="BY70" i="118"/>
  <c r="BZ70" i="118"/>
  <c r="CA70" i="118"/>
  <c r="CB70" i="118"/>
  <c r="BF71" i="118"/>
  <c r="BH71" i="118"/>
  <c r="BJ71" i="118"/>
  <c r="BL71" i="118"/>
  <c r="BN71" i="118"/>
  <c r="BP71" i="118"/>
  <c r="BR71" i="118"/>
  <c r="BT71" i="118"/>
  <c r="BV71" i="118"/>
  <c r="BX71" i="118"/>
  <c r="BZ71" i="118"/>
  <c r="CB71" i="118"/>
  <c r="BF72" i="118"/>
  <c r="BH72" i="118"/>
  <c r="BJ72" i="118"/>
  <c r="BL72" i="118"/>
  <c r="BN72" i="118"/>
  <c r="BP72" i="118"/>
  <c r="BR72" i="118"/>
  <c r="BT72" i="118"/>
  <c r="BV72" i="118"/>
  <c r="BX72" i="118"/>
  <c r="BZ72" i="118"/>
  <c r="CB72" i="118"/>
  <c r="BF113" i="118"/>
  <c r="BG113" i="118" s="1"/>
  <c r="BH113" i="118" s="1"/>
  <c r="BI113" i="118" s="1"/>
  <c r="BJ113" i="118" s="1"/>
  <c r="BK113" i="118" s="1"/>
  <c r="BL113" i="118" s="1"/>
  <c r="BM113" i="118" s="1"/>
  <c r="BN113" i="118" s="1"/>
  <c r="BO113" i="118" s="1"/>
  <c r="BP113" i="118" s="1"/>
  <c r="BQ113" i="118" s="1"/>
  <c r="BR113" i="118" s="1"/>
  <c r="BS113" i="118" s="1"/>
  <c r="BT113" i="118" s="1"/>
  <c r="BU113" i="118" s="1"/>
  <c r="BV113" i="118" s="1"/>
  <c r="BW113" i="118" s="1"/>
  <c r="BX113" i="118" s="1"/>
  <c r="BY113" i="118" s="1"/>
  <c r="BZ113" i="118" s="1"/>
  <c r="CA113" i="118" s="1"/>
  <c r="CB113" i="118" s="1"/>
  <c r="BE114" i="118"/>
  <c r="BF114" i="118"/>
  <c r="BG114" i="118"/>
  <c r="BH114" i="118"/>
  <c r="BI114" i="118"/>
  <c r="BJ114" i="118"/>
  <c r="BK114" i="118"/>
  <c r="BL114" i="118"/>
  <c r="BM114" i="118"/>
  <c r="BN114" i="118"/>
  <c r="BO114" i="118"/>
  <c r="BP114" i="118"/>
  <c r="BQ114" i="118"/>
  <c r="BR114" i="118"/>
  <c r="BS114" i="118"/>
  <c r="BT114" i="118"/>
  <c r="BU114" i="118"/>
  <c r="BV114" i="118"/>
  <c r="BW114" i="118"/>
  <c r="BX114" i="118"/>
  <c r="BY114" i="118"/>
  <c r="BZ114" i="118"/>
  <c r="CA114" i="118"/>
  <c r="CB114" i="118"/>
  <c r="BE115" i="118"/>
  <c r="BF115" i="118"/>
  <c r="BI115" i="118"/>
  <c r="BJ115" i="118"/>
  <c r="BM115" i="118"/>
  <c r="BN115" i="118"/>
  <c r="BQ115" i="118"/>
  <c r="BR115" i="118"/>
  <c r="BU115" i="118"/>
  <c r="BV115" i="118"/>
  <c r="BY115" i="118"/>
  <c r="BZ115" i="118"/>
  <c r="BE116" i="118"/>
  <c r="BF116" i="118"/>
  <c r="BI116" i="118"/>
  <c r="BJ116" i="118"/>
  <c r="BM116" i="118"/>
  <c r="BN116" i="118"/>
  <c r="BQ116" i="118"/>
  <c r="BR116" i="118"/>
  <c r="BU116" i="118"/>
  <c r="BV116" i="118"/>
  <c r="BY116" i="118"/>
  <c r="BZ116" i="118"/>
  <c r="BE117" i="118"/>
  <c r="BF117" i="118"/>
  <c r="BI117" i="118"/>
  <c r="BJ117" i="118"/>
  <c r="BM117" i="118"/>
  <c r="BN117" i="118"/>
  <c r="BQ117" i="118"/>
  <c r="BR117" i="118"/>
  <c r="BU117" i="118"/>
  <c r="BV117" i="118"/>
  <c r="BY117" i="118"/>
  <c r="BZ117" i="118"/>
  <c r="BF119" i="118"/>
  <c r="BG119" i="118"/>
  <c r="BH119" i="118" s="1"/>
  <c r="BI119" i="118" s="1"/>
  <c r="BJ119" i="118" s="1"/>
  <c r="BK119" i="118" s="1"/>
  <c r="BL119" i="118" s="1"/>
  <c r="BM119" i="118" s="1"/>
  <c r="BN119" i="118" s="1"/>
  <c r="BO119" i="118" s="1"/>
  <c r="BP119" i="118" s="1"/>
  <c r="BQ119" i="118" s="1"/>
  <c r="BR119" i="118" s="1"/>
  <c r="BS119" i="118" s="1"/>
  <c r="BT119" i="118" s="1"/>
  <c r="BU119" i="118" s="1"/>
  <c r="BV119" i="118" s="1"/>
  <c r="BW119" i="118" s="1"/>
  <c r="BX119" i="118" s="1"/>
  <c r="BY119" i="118" s="1"/>
  <c r="BZ119" i="118" s="1"/>
  <c r="CA119" i="118" s="1"/>
  <c r="CB119" i="118" s="1"/>
  <c r="BE120" i="118"/>
  <c r="BF120" i="118"/>
  <c r="BG120" i="118"/>
  <c r="BH120" i="118"/>
  <c r="BI120" i="118"/>
  <c r="BJ120" i="118"/>
  <c r="BK120" i="118"/>
  <c r="BL120" i="118"/>
  <c r="BM120" i="118"/>
  <c r="BN120" i="118"/>
  <c r="BO120" i="118"/>
  <c r="BP120" i="118"/>
  <c r="BQ120" i="118"/>
  <c r="BR120" i="118"/>
  <c r="BS120" i="118"/>
  <c r="BT120" i="118"/>
  <c r="BU120" i="118"/>
  <c r="BV120" i="118"/>
  <c r="BW120" i="118"/>
  <c r="BX120" i="118"/>
  <c r="BY120" i="118"/>
  <c r="BZ120" i="118"/>
  <c r="CA120" i="118"/>
  <c r="CB120" i="118"/>
  <c r="BE121" i="118"/>
  <c r="BF121" i="118"/>
  <c r="BI121" i="118"/>
  <c r="BJ121" i="118"/>
  <c r="BM121" i="118"/>
  <c r="BN121" i="118"/>
  <c r="BQ121" i="118"/>
  <c r="BR121" i="118"/>
  <c r="BU121" i="118"/>
  <c r="BV121" i="118"/>
  <c r="BY121" i="118"/>
  <c r="BZ121" i="118"/>
  <c r="BE122" i="118"/>
  <c r="BF122" i="118"/>
  <c r="BI122" i="118"/>
  <c r="BJ122" i="118"/>
  <c r="BM122" i="118"/>
  <c r="BN122" i="118"/>
  <c r="BQ122" i="118"/>
  <c r="BR122" i="118"/>
  <c r="BU122" i="118"/>
  <c r="BV122" i="118"/>
  <c r="BY122" i="118"/>
  <c r="BZ122" i="118"/>
  <c r="BE123" i="118"/>
  <c r="BF123" i="118"/>
  <c r="BI123" i="118"/>
  <c r="BJ123" i="118"/>
  <c r="BK123" i="118"/>
  <c r="BM123" i="118"/>
  <c r="BN123" i="118"/>
  <c r="BO123" i="118"/>
  <c r="BQ123" i="118"/>
  <c r="BR123" i="118"/>
  <c r="BU123" i="118"/>
  <c r="BV123" i="118"/>
  <c r="BY123" i="118"/>
  <c r="BZ123" i="118"/>
  <c r="BE124" i="118"/>
  <c r="BF124" i="118"/>
  <c r="BI124" i="118"/>
  <c r="BJ124" i="118"/>
  <c r="BK124" i="118"/>
  <c r="BM124" i="118"/>
  <c r="BN124" i="118"/>
  <c r="BO124" i="118"/>
  <c r="BQ124" i="118"/>
  <c r="BR124" i="118"/>
  <c r="BS124" i="118"/>
  <c r="BU124" i="118"/>
  <c r="BV124" i="118"/>
  <c r="BW124" i="118"/>
  <c r="BY124" i="118"/>
  <c r="BZ124" i="118"/>
  <c r="CA124" i="118"/>
  <c r="BE125" i="118"/>
  <c r="BF125" i="118"/>
  <c r="BG125" i="118"/>
  <c r="BI125" i="118"/>
  <c r="BJ125" i="118"/>
  <c r="BK125" i="118"/>
  <c r="BM125" i="118"/>
  <c r="BN125" i="118"/>
  <c r="BO125" i="118"/>
  <c r="BQ125" i="118"/>
  <c r="BR125" i="118"/>
  <c r="BS125" i="118"/>
  <c r="BU125" i="118"/>
  <c r="BV125" i="118"/>
  <c r="BW125" i="118"/>
  <c r="BY125" i="118"/>
  <c r="BZ125" i="118"/>
  <c r="CA125" i="118"/>
  <c r="BE126" i="118"/>
  <c r="BF126" i="118"/>
  <c r="BI126" i="118"/>
  <c r="BJ126" i="118"/>
  <c r="BM126" i="118"/>
  <c r="BN126" i="118"/>
  <c r="BQ126" i="118"/>
  <c r="BR126" i="118"/>
  <c r="BU126" i="118"/>
  <c r="BV126" i="118"/>
  <c r="BY126" i="118"/>
  <c r="BZ126" i="118"/>
  <c r="BE128" i="118"/>
  <c r="BF128" i="118"/>
  <c r="BI128" i="118"/>
  <c r="BJ128" i="118"/>
  <c r="BM128" i="118"/>
  <c r="BN128" i="118"/>
  <c r="BQ128" i="118"/>
  <c r="BR128" i="118"/>
  <c r="BU128" i="118"/>
  <c r="BV128" i="118"/>
  <c r="BY128" i="118"/>
  <c r="BZ128" i="118"/>
  <c r="BD131" i="118"/>
  <c r="BF133" i="118"/>
  <c r="BF134" i="118"/>
  <c r="BD136" i="118"/>
  <c r="BD138" i="118"/>
  <c r="BF138" i="118"/>
  <c r="BD139" i="118"/>
  <c r="BF139" i="118"/>
  <c r="BD143" i="118"/>
  <c r="BD144" i="118"/>
  <c r="CA126" i="118" l="1"/>
  <c r="CA128" i="118" s="1"/>
  <c r="BK126" i="118"/>
  <c r="BK128" i="118" s="1"/>
  <c r="BT126" i="118"/>
  <c r="BT115" i="118"/>
  <c r="BT116" i="118"/>
  <c r="CA115" i="118"/>
  <c r="CA117" i="118" s="1"/>
  <c r="CA116" i="118"/>
  <c r="BW115" i="118"/>
  <c r="BW116" i="118"/>
  <c r="BS115" i="118"/>
  <c r="BS117" i="118" s="1"/>
  <c r="BS116" i="118"/>
  <c r="BO115" i="118"/>
  <c r="BO116" i="118"/>
  <c r="BK115" i="118"/>
  <c r="BK117" i="118" s="1"/>
  <c r="BK116" i="118"/>
  <c r="BG115" i="118"/>
  <c r="BG116" i="118"/>
  <c r="CB115" i="118"/>
  <c r="CB117" i="118" s="1"/>
  <c r="CB116" i="118"/>
  <c r="BL115" i="118"/>
  <c r="BL116" i="118"/>
  <c r="CB125" i="118"/>
  <c r="BX125" i="118"/>
  <c r="BT125" i="118"/>
  <c r="BP125" i="118"/>
  <c r="BL125" i="118"/>
  <c r="BH125" i="118"/>
  <c r="CB124" i="118"/>
  <c r="BX124" i="118"/>
  <c r="BT124" i="118"/>
  <c r="BP124" i="118"/>
  <c r="BL124" i="118"/>
  <c r="BH124" i="118"/>
  <c r="CB123" i="118"/>
  <c r="BX123" i="118"/>
  <c r="BT123" i="118"/>
  <c r="BP123" i="118"/>
  <c r="BL123" i="118"/>
  <c r="BH123" i="118"/>
  <c r="CB122" i="118"/>
  <c r="CB126" i="118" s="1"/>
  <c r="CB128" i="118" s="1"/>
  <c r="BX122" i="118"/>
  <c r="BX126" i="118" s="1"/>
  <c r="BX128" i="118" s="1"/>
  <c r="BT122" i="118"/>
  <c r="BP122" i="118"/>
  <c r="BP126" i="118" s="1"/>
  <c r="BL122" i="118"/>
  <c r="BL126" i="118" s="1"/>
  <c r="BH122" i="118"/>
  <c r="BH126" i="118" s="1"/>
  <c r="BH128" i="118" s="1"/>
  <c r="BG124" i="118"/>
  <c r="CA123" i="118"/>
  <c r="BW123" i="118"/>
  <c r="BS123" i="118"/>
  <c r="BG123" i="118"/>
  <c r="CA122" i="118"/>
  <c r="BW122" i="118"/>
  <c r="BW126" i="118" s="1"/>
  <c r="BS122" i="118"/>
  <c r="BS126" i="118" s="1"/>
  <c r="BO122" i="118"/>
  <c r="BO126" i="118" s="1"/>
  <c r="BK122" i="118"/>
  <c r="BG122" i="118"/>
  <c r="BG126" i="118" s="1"/>
  <c r="BX115" i="118"/>
  <c r="BX117" i="118" s="1"/>
  <c r="BX116" i="118"/>
  <c r="BP115" i="118"/>
  <c r="BP116" i="118"/>
  <c r="BH115" i="118"/>
  <c r="BH117" i="118" s="1"/>
  <c r="BH116" i="118"/>
  <c r="AI131" i="118"/>
  <c r="AG123" i="118"/>
  <c r="AF123" i="118"/>
  <c r="W123" i="118"/>
  <c r="V123" i="118"/>
  <c r="U123" i="118"/>
  <c r="AV122" i="118"/>
  <c r="AT122" i="118"/>
  <c r="AW121" i="118"/>
  <c r="AV121" i="118"/>
  <c r="AU121" i="118"/>
  <c r="AT121" i="118"/>
  <c r="AW120" i="118"/>
  <c r="AV120" i="118"/>
  <c r="AU120" i="118"/>
  <c r="AT120" i="118"/>
  <c r="AW119" i="118"/>
  <c r="AV119" i="118"/>
  <c r="AU119" i="118"/>
  <c r="AT119" i="118"/>
  <c r="AW118" i="118"/>
  <c r="AV118" i="118"/>
  <c r="AU118" i="118"/>
  <c r="AT118" i="118"/>
  <c r="AW117" i="118"/>
  <c r="AV117" i="118"/>
  <c r="AU117" i="118"/>
  <c r="AT117" i="118"/>
  <c r="AW116" i="118"/>
  <c r="AV116" i="118"/>
  <c r="AU116" i="118"/>
  <c r="AT116" i="118"/>
  <c r="AW115" i="118"/>
  <c r="AV115" i="118"/>
  <c r="AU115" i="118"/>
  <c r="AT115" i="118"/>
  <c r="AW114" i="118"/>
  <c r="AV114" i="118"/>
  <c r="AU114" i="118"/>
  <c r="AT114" i="118"/>
  <c r="AS114" i="118"/>
  <c r="AR114" i="118"/>
  <c r="AQ114" i="118"/>
  <c r="AP114" i="118"/>
  <c r="AO114" i="118"/>
  <c r="AN114" i="118"/>
  <c r="AW113" i="118"/>
  <c r="AV113" i="118"/>
  <c r="AU113" i="118"/>
  <c r="AT113" i="118"/>
  <c r="AW112" i="118"/>
  <c r="AV112" i="118"/>
  <c r="AU112" i="118"/>
  <c r="AT112" i="118"/>
  <c r="AW111" i="118"/>
  <c r="AV111" i="118"/>
  <c r="AU111" i="118"/>
  <c r="AT111" i="118"/>
  <c r="AW110" i="118"/>
  <c r="AV110" i="118"/>
  <c r="AU110" i="118"/>
  <c r="AT110" i="118"/>
  <c r="AW109" i="118"/>
  <c r="AV109" i="118"/>
  <c r="AU109" i="118"/>
  <c r="AT109" i="118"/>
  <c r="AW108" i="118"/>
  <c r="AV108" i="118"/>
  <c r="AU108" i="118"/>
  <c r="AT108" i="118"/>
  <c r="AW107" i="118"/>
  <c r="AV107" i="118"/>
  <c r="AU107" i="118"/>
  <c r="AT107" i="118"/>
  <c r="AW106" i="118"/>
  <c r="AV106" i="118"/>
  <c r="AU106" i="118"/>
  <c r="AT106" i="118"/>
  <c r="AW105" i="118"/>
  <c r="AV105" i="118"/>
  <c r="AU105" i="118"/>
  <c r="AT105" i="118"/>
  <c r="AW104" i="118"/>
  <c r="AV104" i="118"/>
  <c r="AU104" i="118"/>
  <c r="AT104" i="118"/>
  <c r="AW103" i="118"/>
  <c r="AV103" i="118"/>
  <c r="AU103" i="118"/>
  <c r="AT103" i="118"/>
  <c r="AW102" i="118"/>
  <c r="AV102" i="118"/>
  <c r="AU102" i="118"/>
  <c r="AT102" i="118"/>
  <c r="AV101" i="118"/>
  <c r="AT101" i="118"/>
  <c r="AW100" i="118"/>
  <c r="AV100" i="118"/>
  <c r="AU100" i="118"/>
  <c r="AT100" i="118"/>
  <c r="AW99" i="118"/>
  <c r="AV99" i="118"/>
  <c r="AU99" i="118"/>
  <c r="AT99" i="118"/>
  <c r="AW98" i="118"/>
  <c r="AV98" i="118"/>
  <c r="AU98" i="118"/>
  <c r="AT98" i="118"/>
  <c r="AW97" i="118"/>
  <c r="AV97" i="118"/>
  <c r="AU97" i="118"/>
  <c r="AT97" i="118"/>
  <c r="AO97" i="118"/>
  <c r="AN97" i="118"/>
  <c r="AW96" i="118"/>
  <c r="AV96" i="118"/>
  <c r="AU96" i="118"/>
  <c r="AT96" i="118"/>
  <c r="AW95" i="118"/>
  <c r="AV95" i="118"/>
  <c r="AU95" i="118"/>
  <c r="AT95" i="118"/>
  <c r="AW94" i="118"/>
  <c r="AV94" i="118"/>
  <c r="AU94" i="118"/>
  <c r="AT94" i="118"/>
  <c r="AW93" i="118"/>
  <c r="AV93" i="118"/>
  <c r="AU93" i="118"/>
  <c r="AT93" i="118"/>
  <c r="AW92" i="118"/>
  <c r="AV92" i="118"/>
  <c r="AU92" i="118"/>
  <c r="AT92" i="118"/>
  <c r="AV91" i="118"/>
  <c r="AT91" i="118"/>
  <c r="AR91" i="118"/>
  <c r="AP91" i="118"/>
  <c r="AN91" i="118"/>
  <c r="AW90" i="118"/>
  <c r="AV90" i="118"/>
  <c r="AU90" i="118"/>
  <c r="AT90" i="118"/>
  <c r="AS90" i="118"/>
  <c r="AR90" i="118"/>
  <c r="AQ90" i="118"/>
  <c r="AP90" i="118"/>
  <c r="AO90" i="118"/>
  <c r="AN90" i="118"/>
  <c r="AW89" i="118"/>
  <c r="AV89" i="118"/>
  <c r="AU89" i="118"/>
  <c r="AT89" i="118"/>
  <c r="AW88" i="118"/>
  <c r="AV88" i="118"/>
  <c r="AU88" i="118"/>
  <c r="AT88" i="118"/>
  <c r="AW87" i="118"/>
  <c r="AV87" i="118"/>
  <c r="AU87" i="118"/>
  <c r="AT87" i="118"/>
  <c r="AW86" i="118"/>
  <c r="AV86" i="118"/>
  <c r="AU86" i="118"/>
  <c r="AT86" i="118"/>
  <c r="AW85" i="118"/>
  <c r="AV85" i="118"/>
  <c r="AU85" i="118"/>
  <c r="AT85" i="118"/>
  <c r="AS85" i="118"/>
  <c r="AR85" i="118"/>
  <c r="AQ85" i="118"/>
  <c r="AP85" i="118"/>
  <c r="AO85" i="118"/>
  <c r="AN85" i="118"/>
  <c r="AW84" i="118"/>
  <c r="AV84" i="118"/>
  <c r="AU84" i="118"/>
  <c r="AT84" i="118"/>
  <c r="AW83" i="118"/>
  <c r="AV83" i="118"/>
  <c r="AU83" i="118"/>
  <c r="AT83" i="118"/>
  <c r="AS83" i="118"/>
  <c r="AR83" i="118"/>
  <c r="AQ83" i="118"/>
  <c r="AP83" i="118"/>
  <c r="AO83" i="118"/>
  <c r="AN83" i="118"/>
  <c r="AW82" i="118"/>
  <c r="AV82" i="118"/>
  <c r="AU82" i="118"/>
  <c r="AT82" i="118"/>
  <c r="AS82" i="118"/>
  <c r="AR82" i="118"/>
  <c r="AW81" i="118"/>
  <c r="AV81" i="118"/>
  <c r="AU81" i="118"/>
  <c r="AT81" i="118"/>
  <c r="AW80" i="118"/>
  <c r="AV80" i="118"/>
  <c r="AU80" i="118"/>
  <c r="AT80" i="118"/>
  <c r="AW79" i="118"/>
  <c r="AV79" i="118"/>
  <c r="AU79" i="118"/>
  <c r="AT79" i="118"/>
  <c r="AW78" i="118"/>
  <c r="AV78" i="118"/>
  <c r="AU78" i="118"/>
  <c r="AT78" i="118"/>
  <c r="AW77" i="118"/>
  <c r="AV77" i="118"/>
  <c r="AU77" i="118"/>
  <c r="AT77" i="118"/>
  <c r="AS77" i="118"/>
  <c r="AR77" i="118"/>
  <c r="AQ77" i="118"/>
  <c r="AP77" i="118"/>
  <c r="AO77" i="118"/>
  <c r="AN77" i="118"/>
  <c r="AW76" i="118"/>
  <c r="AV76" i="118"/>
  <c r="AU76" i="118"/>
  <c r="AT76" i="118"/>
  <c r="AS76" i="118"/>
  <c r="AR76" i="118"/>
  <c r="AQ76" i="118"/>
  <c r="AP76" i="118"/>
  <c r="AO76" i="118"/>
  <c r="AN76" i="118"/>
  <c r="AW75" i="118"/>
  <c r="AV75" i="118"/>
  <c r="AU75" i="118"/>
  <c r="AT75" i="118"/>
  <c r="AS75" i="118"/>
  <c r="AR75" i="118"/>
  <c r="AQ75" i="118"/>
  <c r="AP75" i="118"/>
  <c r="AO75" i="118"/>
  <c r="AN75" i="118"/>
  <c r="AI75" i="118"/>
  <c r="AH75" i="118"/>
  <c r="AE75" i="118"/>
  <c r="AD75" i="118"/>
  <c r="AW74" i="118"/>
  <c r="AV74" i="118"/>
  <c r="AU74" i="118"/>
  <c r="AT74" i="118"/>
  <c r="AS74" i="118"/>
  <c r="AR74" i="118"/>
  <c r="AQ74" i="118"/>
  <c r="AP74" i="118"/>
  <c r="AO74" i="118"/>
  <c r="AN74" i="118"/>
  <c r="AW73" i="118"/>
  <c r="AV73" i="118"/>
  <c r="AU73" i="118"/>
  <c r="AT73" i="118"/>
  <c r="AW71" i="118"/>
  <c r="AV71" i="118"/>
  <c r="AU71" i="118"/>
  <c r="AT71" i="118"/>
  <c r="AU69" i="118"/>
  <c r="AT69" i="118"/>
  <c r="AE69" i="118"/>
  <c r="AV69" i="118" s="1"/>
  <c r="AW68" i="118"/>
  <c r="AV68" i="118"/>
  <c r="AU68" i="118"/>
  <c r="AT68" i="118"/>
  <c r="AW67" i="118"/>
  <c r="AV67" i="118"/>
  <c r="AU67" i="118"/>
  <c r="AT67" i="118"/>
  <c r="AW66" i="118"/>
  <c r="AV66" i="118"/>
  <c r="AU66" i="118"/>
  <c r="AT66" i="118"/>
  <c r="AS66" i="118"/>
  <c r="AR66" i="118"/>
  <c r="AQ66" i="118"/>
  <c r="AP66" i="118"/>
  <c r="AO66" i="118"/>
  <c r="AN66" i="118"/>
  <c r="AW65" i="118"/>
  <c r="AV65" i="118"/>
  <c r="AU65" i="118"/>
  <c r="AT65" i="118"/>
  <c r="AW64" i="118"/>
  <c r="AV64" i="118"/>
  <c r="AU64" i="118"/>
  <c r="AT64" i="118"/>
  <c r="AW63" i="118"/>
  <c r="AV63" i="118"/>
  <c r="AU63" i="118"/>
  <c r="AT63" i="118"/>
  <c r="AS63" i="118"/>
  <c r="AR63" i="118"/>
  <c r="AQ63" i="118"/>
  <c r="AP63" i="118"/>
  <c r="AW62" i="118"/>
  <c r="AV62" i="118"/>
  <c r="AU62" i="118"/>
  <c r="AT62" i="118"/>
  <c r="AW61" i="118"/>
  <c r="AV61" i="118"/>
  <c r="AU61" i="118"/>
  <c r="AT61" i="118"/>
  <c r="AW60" i="118"/>
  <c r="AV60" i="118"/>
  <c r="AU60" i="118"/>
  <c r="AT60" i="118"/>
  <c r="AW59" i="118"/>
  <c r="AV59" i="118"/>
  <c r="AU59" i="118"/>
  <c r="AT59" i="118"/>
  <c r="AS59" i="118"/>
  <c r="AR59" i="118"/>
  <c r="AQ59" i="118"/>
  <c r="AP59" i="118"/>
  <c r="AO59" i="118"/>
  <c r="AN59" i="118"/>
  <c r="AW58" i="118"/>
  <c r="AV58" i="118"/>
  <c r="AU58" i="118"/>
  <c r="AT58" i="118"/>
  <c r="AS58" i="118"/>
  <c r="AR58" i="118"/>
  <c r="AQ58" i="118"/>
  <c r="AP58" i="118"/>
  <c r="AO58" i="118"/>
  <c r="AN58" i="118"/>
  <c r="AW57" i="118"/>
  <c r="AV57" i="118"/>
  <c r="AU57" i="118"/>
  <c r="AT57" i="118"/>
  <c r="AS57" i="118"/>
  <c r="AR57" i="118"/>
  <c r="AQ57" i="118"/>
  <c r="AP57" i="118"/>
  <c r="AO57" i="118"/>
  <c r="AN57" i="118"/>
  <c r="AW56" i="118"/>
  <c r="AV56" i="118"/>
  <c r="AU56" i="118"/>
  <c r="AT56" i="118"/>
  <c r="AI55" i="118"/>
  <c r="AI123" i="118" s="1"/>
  <c r="AH55" i="118"/>
  <c r="AE55" i="118"/>
  <c r="AV55" i="118" s="1"/>
  <c r="AD55" i="118"/>
  <c r="AT55" i="118" s="1"/>
  <c r="AW54" i="118"/>
  <c r="AV54" i="118"/>
  <c r="AU54" i="118"/>
  <c r="AT54" i="118"/>
  <c r="AW53" i="118"/>
  <c r="AV53" i="118"/>
  <c r="AU53" i="118"/>
  <c r="AT53" i="118"/>
  <c r="AC53" i="118"/>
  <c r="AB53" i="118"/>
  <c r="AP53" i="118" s="1"/>
  <c r="AA53" i="118"/>
  <c r="AO53" i="118" s="1"/>
  <c r="AW52" i="118"/>
  <c r="AV52" i="118"/>
  <c r="AU52" i="118"/>
  <c r="AT52" i="118"/>
  <c r="AS52" i="118"/>
  <c r="AR52" i="118"/>
  <c r="AQ52" i="118"/>
  <c r="AP52" i="118"/>
  <c r="AO52" i="118"/>
  <c r="AN52" i="118"/>
  <c r="AW51" i="118"/>
  <c r="AV51" i="118"/>
  <c r="AU51" i="118"/>
  <c r="AT51" i="118"/>
  <c r="AS51" i="118"/>
  <c r="AR51" i="118"/>
  <c r="AQ51" i="118"/>
  <c r="AP51" i="118"/>
  <c r="AO51" i="118"/>
  <c r="AN51" i="118"/>
  <c r="AW50" i="118"/>
  <c r="AV50" i="118"/>
  <c r="AU50" i="118"/>
  <c r="AT50" i="118"/>
  <c r="AS50" i="118"/>
  <c r="AR50" i="118"/>
  <c r="AQ50" i="118"/>
  <c r="AP50" i="118"/>
  <c r="AO50" i="118"/>
  <c r="AN50" i="118"/>
  <c r="AW49" i="118"/>
  <c r="AV49" i="118"/>
  <c r="AU49" i="118"/>
  <c r="AT49" i="118"/>
  <c r="AS49" i="118"/>
  <c r="AR49" i="118"/>
  <c r="AQ49" i="118"/>
  <c r="AP49" i="118"/>
  <c r="AO49" i="118"/>
  <c r="AN49" i="118"/>
  <c r="AW48" i="118"/>
  <c r="AV48" i="118"/>
  <c r="AU48" i="118"/>
  <c r="AT48" i="118"/>
  <c r="AW47" i="118"/>
  <c r="AV47" i="118"/>
  <c r="AU47" i="118"/>
  <c r="AT47" i="118"/>
  <c r="AW46" i="118"/>
  <c r="AV46" i="118"/>
  <c r="AU46" i="118"/>
  <c r="AT46" i="118"/>
  <c r="AW45" i="118"/>
  <c r="AV45" i="118"/>
  <c r="AU45" i="118"/>
  <c r="AT45" i="118"/>
  <c r="AS45" i="118"/>
  <c r="AR45" i="118"/>
  <c r="AQ45" i="118"/>
  <c r="AP45" i="118"/>
  <c r="AO45" i="118"/>
  <c r="AN45" i="118"/>
  <c r="AV44" i="118"/>
  <c r="AE44" i="118"/>
  <c r="AW44" i="118" s="1"/>
  <c r="AD44" i="118"/>
  <c r="AU44" i="118" s="1"/>
  <c r="AU43" i="118"/>
  <c r="AE43" i="118"/>
  <c r="AW43" i="118" s="1"/>
  <c r="AD43" i="118"/>
  <c r="AT43" i="118" s="1"/>
  <c r="AC43" i="118"/>
  <c r="AC123" i="118" s="1"/>
  <c r="AB43" i="118"/>
  <c r="AA43" i="118"/>
  <c r="AA123" i="118" s="1"/>
  <c r="AW42" i="118"/>
  <c r="AV42" i="118"/>
  <c r="AU42" i="118"/>
  <c r="AT42" i="118"/>
  <c r="AW41" i="118"/>
  <c r="AV41" i="118"/>
  <c r="AU41" i="118"/>
  <c r="AT41" i="118"/>
  <c r="AW40" i="118"/>
  <c r="AV40" i="118"/>
  <c r="AU40" i="118"/>
  <c r="AT40" i="118"/>
  <c r="AW39" i="118"/>
  <c r="AV39" i="118"/>
  <c r="AU39" i="118"/>
  <c r="AT39" i="118"/>
  <c r="AW38" i="118"/>
  <c r="AV38" i="118"/>
  <c r="AU38" i="118"/>
  <c r="AT38" i="118"/>
  <c r="AW37" i="118"/>
  <c r="AV37" i="118"/>
  <c r="AU37" i="118"/>
  <c r="AT37" i="118"/>
  <c r="AW36" i="118"/>
  <c r="AV36" i="118"/>
  <c r="AU36" i="118"/>
  <c r="AT36" i="118"/>
  <c r="AW35" i="118"/>
  <c r="AV35" i="118"/>
  <c r="AU35" i="118"/>
  <c r="AT35" i="118"/>
  <c r="AW34" i="118"/>
  <c r="AV34" i="118"/>
  <c r="AU34" i="118"/>
  <c r="AT34" i="118"/>
  <c r="AW33" i="118"/>
  <c r="AV33" i="118"/>
  <c r="AU33" i="118"/>
  <c r="AT33" i="118"/>
  <c r="AW32" i="118"/>
  <c r="AV32" i="118"/>
  <c r="AU32" i="118"/>
  <c r="AT32" i="118"/>
  <c r="AO31" i="118"/>
  <c r="AN31" i="118"/>
  <c r="AE31" i="118"/>
  <c r="AW31" i="118" s="1"/>
  <c r="AD31" i="118"/>
  <c r="AT31" i="118" s="1"/>
  <c r="AW29" i="118"/>
  <c r="AV29" i="118"/>
  <c r="AU29" i="118"/>
  <c r="AT29" i="118"/>
  <c r="AW28" i="118"/>
  <c r="AV28" i="118"/>
  <c r="AU28" i="118"/>
  <c r="AT28" i="118"/>
  <c r="G28" i="118"/>
  <c r="F28" i="118"/>
  <c r="E28" i="118"/>
  <c r="D28" i="118"/>
  <c r="AW27" i="118"/>
  <c r="AV27" i="118"/>
  <c r="AU27" i="118"/>
  <c r="AT27" i="118"/>
  <c r="AS27" i="118"/>
  <c r="AR27" i="118"/>
  <c r="AQ27" i="118"/>
  <c r="AP27" i="118"/>
  <c r="AO27" i="118"/>
  <c r="AN27" i="118"/>
  <c r="AW26" i="118"/>
  <c r="AV26" i="118"/>
  <c r="AU26" i="118"/>
  <c r="AT26" i="118"/>
  <c r="AS26" i="118"/>
  <c r="AR26" i="118"/>
  <c r="AQ26" i="118"/>
  <c r="AP26" i="118"/>
  <c r="AO26" i="118"/>
  <c r="AN26" i="118"/>
  <c r="AW25" i="118"/>
  <c r="AV25" i="118"/>
  <c r="AU25" i="118"/>
  <c r="AT25" i="118"/>
  <c r="AS25" i="118"/>
  <c r="AR25" i="118"/>
  <c r="AQ25" i="118"/>
  <c r="AP25" i="118"/>
  <c r="AO25" i="118"/>
  <c r="AN25" i="118"/>
  <c r="AW24" i="118"/>
  <c r="AV24" i="118"/>
  <c r="AU24" i="118"/>
  <c r="AT24" i="118"/>
  <c r="AS24" i="118"/>
  <c r="AR24" i="118"/>
  <c r="AQ24" i="118"/>
  <c r="AP24" i="118"/>
  <c r="AO24" i="118"/>
  <c r="AN24" i="118"/>
  <c r="AW23" i="118"/>
  <c r="AV23" i="118"/>
  <c r="AU23" i="118"/>
  <c r="AT23" i="118"/>
  <c r="AW22" i="118"/>
  <c r="AV22" i="118"/>
  <c r="AU22" i="118"/>
  <c r="AT22" i="118"/>
  <c r="AW21" i="118"/>
  <c r="AV21" i="118"/>
  <c r="AU21" i="118"/>
  <c r="AT21" i="118"/>
  <c r="AS21" i="118"/>
  <c r="AR21" i="118"/>
  <c r="AQ21" i="118"/>
  <c r="AP21" i="118"/>
  <c r="F21" i="118"/>
  <c r="E21" i="118"/>
  <c r="C21" i="118"/>
  <c r="B21" i="118"/>
  <c r="AE20" i="118"/>
  <c r="AD20" i="118"/>
  <c r="AD123" i="118" s="1"/>
  <c r="AW19" i="118"/>
  <c r="AV19" i="118"/>
  <c r="AU19" i="118"/>
  <c r="AT19" i="118"/>
  <c r="AS19" i="118"/>
  <c r="AR19" i="118"/>
  <c r="AQ19" i="118"/>
  <c r="AP19" i="118"/>
  <c r="AO19" i="118"/>
  <c r="AN19" i="118"/>
  <c r="AW18" i="118"/>
  <c r="AV18" i="118"/>
  <c r="AU18" i="118"/>
  <c r="AT18" i="118"/>
  <c r="AW17" i="118"/>
  <c r="AV17" i="118"/>
  <c r="AU17" i="118"/>
  <c r="AT17" i="118"/>
  <c r="AW16" i="118"/>
  <c r="AV16" i="118"/>
  <c r="AU16" i="118"/>
  <c r="AT16" i="118"/>
  <c r="AW15" i="118"/>
  <c r="AV15" i="118"/>
  <c r="AU15" i="118"/>
  <c r="AT15" i="118"/>
  <c r="AW14" i="118"/>
  <c r="AV14" i="118"/>
  <c r="AU14" i="118"/>
  <c r="AT14" i="118"/>
  <c r="AS14" i="118"/>
  <c r="AR14" i="118"/>
  <c r="AQ14" i="118"/>
  <c r="AP14" i="118"/>
  <c r="AO14" i="118"/>
  <c r="AN14" i="118"/>
  <c r="AW13" i="118"/>
  <c r="AV13" i="118"/>
  <c r="AU13" i="118"/>
  <c r="AT13" i="118"/>
  <c r="AS13" i="118"/>
  <c r="AR13" i="118"/>
  <c r="AQ13" i="118"/>
  <c r="AP13" i="118"/>
  <c r="AO13" i="118"/>
  <c r="AN13" i="118"/>
  <c r="AW12" i="118"/>
  <c r="AV12" i="118"/>
  <c r="AU12" i="118"/>
  <c r="AT12" i="118"/>
  <c r="AS12" i="118"/>
  <c r="AR12" i="118"/>
  <c r="AQ12" i="118"/>
  <c r="AP12" i="118"/>
  <c r="AO12" i="118"/>
  <c r="AN12" i="118"/>
  <c r="AW11" i="118"/>
  <c r="AV11" i="118"/>
  <c r="AU11" i="118"/>
  <c r="AT11" i="118"/>
  <c r="AW10" i="118"/>
  <c r="AV10" i="118"/>
  <c r="AU10" i="118"/>
  <c r="AT10" i="118"/>
  <c r="AS10" i="118"/>
  <c r="AR10" i="118"/>
  <c r="AQ10" i="118"/>
  <c r="AP10" i="118"/>
  <c r="AO10" i="118"/>
  <c r="AN10" i="118"/>
  <c r="AW9" i="118"/>
  <c r="AV9" i="118"/>
  <c r="AU9" i="118"/>
  <c r="AT9" i="118"/>
  <c r="AW8" i="118"/>
  <c r="AV8" i="118"/>
  <c r="AU8" i="118"/>
  <c r="AT8" i="118"/>
  <c r="AY7" i="118"/>
  <c r="AY8" i="118" s="1"/>
  <c r="AY9" i="118" s="1"/>
  <c r="AY10" i="118" s="1"/>
  <c r="AY11" i="118" s="1"/>
  <c r="AY12" i="118" s="1"/>
  <c r="AY13" i="118" s="1"/>
  <c r="AY14" i="118" s="1"/>
  <c r="AY15" i="118" s="1"/>
  <c r="AY16" i="118" s="1"/>
  <c r="AY17" i="118" s="1"/>
  <c r="AY18" i="118" s="1"/>
  <c r="AY19" i="118" s="1"/>
  <c r="AY20" i="118" s="1"/>
  <c r="AY21" i="118" s="1"/>
  <c r="AY22" i="118" s="1"/>
  <c r="AY23" i="118" s="1"/>
  <c r="AY24" i="118" s="1"/>
  <c r="AY25" i="118" s="1"/>
  <c r="AY26" i="118" s="1"/>
  <c r="AY27" i="118" s="1"/>
  <c r="AY28" i="118" s="1"/>
  <c r="AY29" i="118" s="1"/>
  <c r="AY30" i="118" s="1"/>
  <c r="AY31" i="118" s="1"/>
  <c r="AY32" i="118" s="1"/>
  <c r="AY33" i="118" s="1"/>
  <c r="AY34" i="118" s="1"/>
  <c r="AY35" i="118" s="1"/>
  <c r="AY36" i="118" s="1"/>
  <c r="AY37" i="118" s="1"/>
  <c r="AY38" i="118" s="1"/>
  <c r="AY39" i="118" s="1"/>
  <c r="AY40" i="118" s="1"/>
  <c r="AY41" i="118" s="1"/>
  <c r="AY42" i="118" s="1"/>
  <c r="AY43" i="118" s="1"/>
  <c r="AY44" i="118" s="1"/>
  <c r="AY45" i="118" s="1"/>
  <c r="AY46" i="118" s="1"/>
  <c r="AY47" i="118" s="1"/>
  <c r="AY48" i="118" s="1"/>
  <c r="AY49" i="118" s="1"/>
  <c r="AY50" i="118" s="1"/>
  <c r="AY51" i="118" s="1"/>
  <c r="AY52" i="118" s="1"/>
  <c r="AY53" i="118" s="1"/>
  <c r="AY54" i="118" s="1"/>
  <c r="AY55" i="118" s="1"/>
  <c r="AY56" i="118" s="1"/>
  <c r="AY57" i="118" s="1"/>
  <c r="AY58" i="118" s="1"/>
  <c r="AY59" i="118" s="1"/>
  <c r="AY60" i="118" s="1"/>
  <c r="AY61" i="118" s="1"/>
  <c r="AY62" i="118" s="1"/>
  <c r="AY63" i="118" s="1"/>
  <c r="AY64" i="118" s="1"/>
  <c r="AY65" i="118" s="1"/>
  <c r="AY66" i="118" s="1"/>
  <c r="AY67" i="118" s="1"/>
  <c r="AY68" i="118" s="1"/>
  <c r="AY69" i="118" s="1"/>
  <c r="AY70" i="118" s="1"/>
  <c r="AY71" i="118" s="1"/>
  <c r="AY72" i="118" s="1"/>
  <c r="AY73" i="118" s="1"/>
  <c r="AY74" i="118" s="1"/>
  <c r="AY75" i="118" s="1"/>
  <c r="AY76" i="118" s="1"/>
  <c r="AY77" i="118" s="1"/>
  <c r="AY78" i="118" s="1"/>
  <c r="AY79" i="118" s="1"/>
  <c r="AY80" i="118" s="1"/>
  <c r="AY81" i="118" s="1"/>
  <c r="AY82" i="118" s="1"/>
  <c r="AY83" i="118" s="1"/>
  <c r="AY84" i="118" s="1"/>
  <c r="AY85" i="118" s="1"/>
  <c r="AY86" i="118" s="1"/>
  <c r="AY87" i="118" s="1"/>
  <c r="AY88" i="118" s="1"/>
  <c r="AY89" i="118" s="1"/>
  <c r="AY90" i="118" s="1"/>
  <c r="AY91" i="118" s="1"/>
  <c r="AY92" i="118" s="1"/>
  <c r="AY93" i="118" s="1"/>
  <c r="AY94" i="118" s="1"/>
  <c r="AY95" i="118" s="1"/>
  <c r="AY96" i="118" s="1"/>
  <c r="AY97" i="118" s="1"/>
  <c r="AY98" i="118" s="1"/>
  <c r="AY99" i="118" s="1"/>
  <c r="AY100" i="118" s="1"/>
  <c r="AY101" i="118" s="1"/>
  <c r="AY102" i="118" s="1"/>
  <c r="AY103" i="118" s="1"/>
  <c r="AY104" i="118" s="1"/>
  <c r="AY105" i="118" s="1"/>
  <c r="AY106" i="118" s="1"/>
  <c r="AY107" i="118" s="1"/>
  <c r="AY108" i="118" s="1"/>
  <c r="AY109" i="118" s="1"/>
  <c r="AY110" i="118" s="1"/>
  <c r="AY111" i="118" s="1"/>
  <c r="AY112" i="118" s="1"/>
  <c r="AY113" i="118" s="1"/>
  <c r="AY114" i="118" s="1"/>
  <c r="AY115" i="118" s="1"/>
  <c r="AY116" i="118" s="1"/>
  <c r="AY117" i="118" s="1"/>
  <c r="AY118" i="118" s="1"/>
  <c r="AY119" i="118" s="1"/>
  <c r="AY120" i="118" s="1"/>
  <c r="AY121" i="118" s="1"/>
  <c r="AY122" i="118" s="1"/>
  <c r="AW7" i="118"/>
  <c r="AV7" i="118"/>
  <c r="AU7" i="118"/>
  <c r="AT7" i="118"/>
  <c r="R7" i="118"/>
  <c r="R8" i="118" s="1"/>
  <c r="R9" i="118" s="1"/>
  <c r="R10" i="118" s="1"/>
  <c r="R11" i="118" s="1"/>
  <c r="R12" i="118" s="1"/>
  <c r="R13" i="118" s="1"/>
  <c r="R14" i="118" s="1"/>
  <c r="R15" i="118" s="1"/>
  <c r="R16" i="118" s="1"/>
  <c r="R17" i="118" s="1"/>
  <c r="R18" i="118" s="1"/>
  <c r="R19" i="118" s="1"/>
  <c r="R20" i="118" s="1"/>
  <c r="R21" i="118" s="1"/>
  <c r="R22" i="118" s="1"/>
  <c r="R23" i="118" s="1"/>
  <c r="R24" i="118" s="1"/>
  <c r="R25" i="118" s="1"/>
  <c r="R26" i="118" s="1"/>
  <c r="R27" i="118" s="1"/>
  <c r="R28" i="118" s="1"/>
  <c r="R29" i="118" s="1"/>
  <c r="R30" i="118" s="1"/>
  <c r="R31" i="118" s="1"/>
  <c r="R32" i="118" s="1"/>
  <c r="R33" i="118" s="1"/>
  <c r="R34" i="118" s="1"/>
  <c r="R35" i="118" s="1"/>
  <c r="R36" i="118" s="1"/>
  <c r="R37" i="118" s="1"/>
  <c r="R38" i="118" s="1"/>
  <c r="R39" i="118" s="1"/>
  <c r="R40" i="118" s="1"/>
  <c r="R41" i="118" s="1"/>
  <c r="R42" i="118" s="1"/>
  <c r="R43" i="118" s="1"/>
  <c r="R44" i="118" s="1"/>
  <c r="R45" i="118" s="1"/>
  <c r="R46" i="118" s="1"/>
  <c r="R47" i="118" s="1"/>
  <c r="R48" i="118" s="1"/>
  <c r="R49" i="118" s="1"/>
  <c r="R50" i="118" s="1"/>
  <c r="R51" i="118" s="1"/>
  <c r="R52" i="118" s="1"/>
  <c r="R53" i="118" s="1"/>
  <c r="R54" i="118" s="1"/>
  <c r="R55" i="118" s="1"/>
  <c r="R56" i="118" s="1"/>
  <c r="R57" i="118" s="1"/>
  <c r="R58" i="118" s="1"/>
  <c r="R59" i="118" s="1"/>
  <c r="R60" i="118" s="1"/>
  <c r="R61" i="118" s="1"/>
  <c r="R62" i="118" s="1"/>
  <c r="R63" i="118" s="1"/>
  <c r="R64" i="118" s="1"/>
  <c r="R65" i="118" s="1"/>
  <c r="R66" i="118" s="1"/>
  <c r="R67" i="118" s="1"/>
  <c r="R68" i="118" s="1"/>
  <c r="R69" i="118" s="1"/>
  <c r="R70" i="118" s="1"/>
  <c r="R71" i="118" s="1"/>
  <c r="R72" i="118" s="1"/>
  <c r="R73" i="118" s="1"/>
  <c r="R74" i="118" s="1"/>
  <c r="R75" i="118" s="1"/>
  <c r="R76" i="118" s="1"/>
  <c r="R77" i="118" s="1"/>
  <c r="R78" i="118" s="1"/>
  <c r="R79" i="118" s="1"/>
  <c r="R80" i="118" s="1"/>
  <c r="R81" i="118" s="1"/>
  <c r="R82" i="118" s="1"/>
  <c r="R83" i="118" s="1"/>
  <c r="R84" i="118" s="1"/>
  <c r="R85" i="118" s="1"/>
  <c r="R86" i="118" s="1"/>
  <c r="R87" i="118" s="1"/>
  <c r="R88" i="118" s="1"/>
  <c r="R89" i="118" s="1"/>
  <c r="R90" i="118" s="1"/>
  <c r="R91" i="118" s="1"/>
  <c r="R92" i="118" s="1"/>
  <c r="R93" i="118" s="1"/>
  <c r="R94" i="118" s="1"/>
  <c r="R95" i="118" s="1"/>
  <c r="R96" i="118" s="1"/>
  <c r="R97" i="118" s="1"/>
  <c r="R98" i="118" s="1"/>
  <c r="R99" i="118" s="1"/>
  <c r="R100" i="118" s="1"/>
  <c r="R101" i="118" s="1"/>
  <c r="R102" i="118" s="1"/>
  <c r="R103" i="118" s="1"/>
  <c r="R104" i="118" s="1"/>
  <c r="R105" i="118" s="1"/>
  <c r="R106" i="118" s="1"/>
  <c r="R107" i="118" s="1"/>
  <c r="R108" i="118" s="1"/>
  <c r="R109" i="118" s="1"/>
  <c r="R110" i="118" s="1"/>
  <c r="R111" i="118" s="1"/>
  <c r="R112" i="118" s="1"/>
  <c r="R113" i="118" s="1"/>
  <c r="R114" i="118" s="1"/>
  <c r="R115" i="118" s="1"/>
  <c r="R116" i="118" s="1"/>
  <c r="R117" i="118" s="1"/>
  <c r="R118" i="118" s="1"/>
  <c r="R119" i="118" s="1"/>
  <c r="R120" i="118" s="1"/>
  <c r="R121" i="118" s="1"/>
  <c r="R122" i="118" s="1"/>
  <c r="AW6" i="118"/>
  <c r="AV6" i="118"/>
  <c r="AU6" i="118"/>
  <c r="AT6" i="118"/>
  <c r="T4" i="118"/>
  <c r="Y61" i="118" s="1"/>
  <c r="B4" i="118"/>
  <c r="AS43" i="1"/>
  <c r="R140" i="117"/>
  <c r="R141" i="117" s="1"/>
  <c r="Q140" i="117"/>
  <c r="M10" i="117" s="1"/>
  <c r="O140" i="117"/>
  <c r="O141" i="117" s="1"/>
  <c r="N10" i="117" s="1"/>
  <c r="N12" i="117" s="1"/>
  <c r="AH64" i="117"/>
  <c r="AG63" i="117"/>
  <c r="AG65" i="117" s="1"/>
  <c r="AC63" i="117"/>
  <c r="AC65" i="117" s="1"/>
  <c r="AH62" i="117"/>
  <c r="AH61" i="117"/>
  <c r="X61" i="117"/>
  <c r="AH60" i="117"/>
  <c r="Y59" i="117"/>
  <c r="Y63" i="117" s="1"/>
  <c r="Y65" i="117" s="1"/>
  <c r="X59" i="117"/>
  <c r="AH59" i="117" s="1"/>
  <c r="AF58" i="117"/>
  <c r="AB58" i="117"/>
  <c r="AA58" i="117"/>
  <c r="Z58" i="117"/>
  <c r="Y58" i="117"/>
  <c r="X58" i="117"/>
  <c r="X63" i="117" s="1"/>
  <c r="X65" i="117" s="1"/>
  <c r="AG57" i="117"/>
  <c r="AF57" i="117"/>
  <c r="AF63" i="117" s="1"/>
  <c r="AF65" i="117" s="1"/>
  <c r="AE57" i="117"/>
  <c r="AE63" i="117" s="1"/>
  <c r="AE65" i="117" s="1"/>
  <c r="AD57" i="117"/>
  <c r="AD63" i="117" s="1"/>
  <c r="AD65" i="117" s="1"/>
  <c r="AC57" i="117"/>
  <c r="AB57" i="117"/>
  <c r="AB63" i="117" s="1"/>
  <c r="AB65" i="117" s="1"/>
  <c r="AA57" i="117"/>
  <c r="AA63" i="117" s="1"/>
  <c r="AA65" i="117" s="1"/>
  <c r="Z57" i="117"/>
  <c r="Z63" i="117" s="1"/>
  <c r="Z65" i="117" s="1"/>
  <c r="Y57" i="117"/>
  <c r="W57" i="117"/>
  <c r="AH57" i="117" s="1"/>
  <c r="AH52" i="117"/>
  <c r="AG51" i="117"/>
  <c r="AG53" i="117" s="1"/>
  <c r="AG5" i="117" s="1"/>
  <c r="AG6" i="117" s="1"/>
  <c r="AH50" i="117"/>
  <c r="AH49" i="117"/>
  <c r="X49" i="117"/>
  <c r="AF48" i="117"/>
  <c r="AB48" i="117"/>
  <c r="Z48" i="117"/>
  <c r="Y48" i="117"/>
  <c r="AH48" i="117" s="1"/>
  <c r="X48" i="117"/>
  <c r="AF47" i="117"/>
  <c r="AF51" i="117" s="1"/>
  <c r="AF53" i="117" s="1"/>
  <c r="AE47" i="117"/>
  <c r="AE51" i="117" s="1"/>
  <c r="AE53" i="117" s="1"/>
  <c r="AE5" i="117" s="1"/>
  <c r="AE6" i="117" s="1"/>
  <c r="AD47" i="117"/>
  <c r="AD51" i="117" s="1"/>
  <c r="AD53" i="117" s="1"/>
  <c r="AC47" i="117"/>
  <c r="AC51" i="117" s="1"/>
  <c r="AC53" i="117" s="1"/>
  <c r="AC5" i="117" s="1"/>
  <c r="AC6" i="117" s="1"/>
  <c r="AB47" i="117"/>
  <c r="AB51" i="117" s="1"/>
  <c r="AB53" i="117" s="1"/>
  <c r="AA47" i="117"/>
  <c r="AA51" i="117" s="1"/>
  <c r="AA53" i="117" s="1"/>
  <c r="AA5" i="117" s="1"/>
  <c r="AA6" i="117" s="1"/>
  <c r="Z47" i="117"/>
  <c r="Z51" i="117" s="1"/>
  <c r="Z53" i="117" s="1"/>
  <c r="Y47" i="117"/>
  <c r="Y51" i="117" s="1"/>
  <c r="Y53" i="117" s="1"/>
  <c r="X47" i="117"/>
  <c r="X51" i="117" s="1"/>
  <c r="X53" i="117" s="1"/>
  <c r="W47" i="117"/>
  <c r="W51" i="117" s="1"/>
  <c r="W53" i="117" s="1"/>
  <c r="AH42" i="117"/>
  <c r="AH40" i="117"/>
  <c r="X40" i="117"/>
  <c r="AH39" i="117"/>
  <c r="AH38" i="117"/>
  <c r="AH37" i="117"/>
  <c r="AH36" i="117"/>
  <c r="AH35" i="117"/>
  <c r="AH34" i="117"/>
  <c r="AH33" i="117"/>
  <c r="AH32" i="117"/>
  <c r="X32" i="117"/>
  <c r="AH31" i="117"/>
  <c r="AF30" i="117"/>
  <c r="AF41" i="117" s="1"/>
  <c r="AF43" i="117" s="1"/>
  <c r="AE30" i="117"/>
  <c r="AE41" i="117" s="1"/>
  <c r="AE43" i="117" s="1"/>
  <c r="AD30" i="117"/>
  <c r="AD41" i="117" s="1"/>
  <c r="AD43" i="117" s="1"/>
  <c r="AC30" i="117"/>
  <c r="AC41" i="117" s="1"/>
  <c r="AC43" i="117" s="1"/>
  <c r="AB30" i="117"/>
  <c r="AB41" i="117" s="1"/>
  <c r="AB43" i="117" s="1"/>
  <c r="AA30" i="117"/>
  <c r="AA41" i="117" s="1"/>
  <c r="AA43" i="117" s="1"/>
  <c r="Z30" i="117"/>
  <c r="Z41" i="117" s="1"/>
  <c r="Z43" i="117" s="1"/>
  <c r="Y30" i="117"/>
  <c r="Y41" i="117" s="1"/>
  <c r="Y43" i="117" s="1"/>
  <c r="X30" i="117"/>
  <c r="X41" i="117" s="1"/>
  <c r="X43" i="117" s="1"/>
  <c r="W30" i="117"/>
  <c r="W41" i="117" s="1"/>
  <c r="AH25" i="117"/>
  <c r="AC24" i="117"/>
  <c r="AC26" i="117" s="1"/>
  <c r="Y24" i="117"/>
  <c r="Y26" i="117" s="1"/>
  <c r="AH23" i="117"/>
  <c r="X22" i="117"/>
  <c r="AH22" i="117" s="1"/>
  <c r="AH21" i="117"/>
  <c r="AH20" i="117"/>
  <c r="B20" i="117"/>
  <c r="B25" i="117" s="1"/>
  <c r="B30" i="117" s="1"/>
  <c r="AH19" i="117"/>
  <c r="AH18" i="117"/>
  <c r="AH17" i="117"/>
  <c r="AH16" i="117"/>
  <c r="AH15" i="117"/>
  <c r="B15" i="117"/>
  <c r="X14" i="117"/>
  <c r="AH14" i="117" s="1"/>
  <c r="AH13" i="117"/>
  <c r="AF12" i="117"/>
  <c r="AF24" i="117" s="1"/>
  <c r="AF26" i="117" s="1"/>
  <c r="AE12" i="117"/>
  <c r="AE24" i="117" s="1"/>
  <c r="AE26" i="117" s="1"/>
  <c r="AD12" i="117"/>
  <c r="AD24" i="117" s="1"/>
  <c r="AD26" i="117" s="1"/>
  <c r="AC12" i="117"/>
  <c r="AB12" i="117"/>
  <c r="AB24" i="117" s="1"/>
  <c r="AB26" i="117" s="1"/>
  <c r="AA12" i="117"/>
  <c r="AA24" i="117" s="1"/>
  <c r="AA26" i="117" s="1"/>
  <c r="Z12" i="117"/>
  <c r="Z24" i="117" s="1"/>
  <c r="Z26" i="117" s="1"/>
  <c r="Y12" i="117"/>
  <c r="X12" i="117"/>
  <c r="X24" i="117" s="1"/>
  <c r="X26" i="117" s="1"/>
  <c r="W12" i="117"/>
  <c r="W24" i="117" s="1"/>
  <c r="AH4" i="117"/>
  <c r="AH3" i="117"/>
  <c r="AH2" i="117"/>
  <c r="O19" i="117" s="1"/>
  <c r="BD43" i="1"/>
  <c r="AR43" i="1"/>
  <c r="N14" i="116"/>
  <c r="N27" i="116" s="1"/>
  <c r="F11" i="116"/>
  <c r="F13" i="116" s="1"/>
  <c r="F22" i="116" s="1"/>
  <c r="E11" i="116"/>
  <c r="D11" i="116"/>
  <c r="G10" i="116"/>
  <c r="G11" i="116" s="1"/>
  <c r="G9" i="116"/>
  <c r="F7" i="116"/>
  <c r="E7" i="116"/>
  <c r="E13" i="116" s="1"/>
  <c r="E22" i="116" s="1"/>
  <c r="D7" i="116"/>
  <c r="G7" i="116" s="1"/>
  <c r="G13" i="116" s="1"/>
  <c r="G6" i="116"/>
  <c r="N5" i="116"/>
  <c r="M5" i="116"/>
  <c r="L5" i="116"/>
  <c r="G5" i="116"/>
  <c r="AQ45" i="1"/>
  <c r="CB18" i="115"/>
  <c r="CB22" i="115" s="1"/>
  <c r="CC18" i="115"/>
  <c r="CC22" i="115"/>
  <c r="CE22" i="115" s="1"/>
  <c r="CC23" i="115"/>
  <c r="CE23" i="115" s="1"/>
  <c r="CC24" i="115"/>
  <c r="CE24" i="115" s="1"/>
  <c r="CC25" i="115"/>
  <c r="CE25" i="115" s="1"/>
  <c r="CC26" i="115"/>
  <c r="CE26" i="115" s="1"/>
  <c r="CC27" i="115"/>
  <c r="CE27" i="115" s="1"/>
  <c r="CC28" i="115"/>
  <c r="CE28" i="115" s="1"/>
  <c r="CC29" i="115"/>
  <c r="CE29" i="115" s="1"/>
  <c r="CC30" i="115"/>
  <c r="CE30" i="115" s="1"/>
  <c r="CC31" i="115"/>
  <c r="CE31" i="115" s="1"/>
  <c r="CC32" i="115"/>
  <c r="CE32" i="115" s="1"/>
  <c r="CC33" i="115"/>
  <c r="CE33" i="115" s="1"/>
  <c r="CC34" i="115"/>
  <c r="CC35" i="115" s="1"/>
  <c r="BO18" i="115"/>
  <c r="BO23" i="115" s="1"/>
  <c r="BP18" i="115"/>
  <c r="BP23" i="115" s="1"/>
  <c r="BQ22" i="115"/>
  <c r="BR22" i="115"/>
  <c r="BT22" i="115" s="1"/>
  <c r="BS22" i="115"/>
  <c r="BU22" i="115" s="1"/>
  <c r="BO24" i="115"/>
  <c r="BQ24" i="115" s="1"/>
  <c r="BP24" i="115"/>
  <c r="BR24" i="115" s="1"/>
  <c r="BO25" i="115"/>
  <c r="BQ25" i="115" s="1"/>
  <c r="BP25" i="115"/>
  <c r="BR25" i="115" s="1"/>
  <c r="BP26" i="115"/>
  <c r="BR26" i="115" s="1"/>
  <c r="BP27" i="115"/>
  <c r="BR27" i="115"/>
  <c r="BO28" i="115"/>
  <c r="BQ28" i="115" s="1"/>
  <c r="BP28" i="115"/>
  <c r="BR28" i="115" s="1"/>
  <c r="BO29" i="115"/>
  <c r="BQ29" i="115" s="1"/>
  <c r="BP29" i="115"/>
  <c r="BR29" i="115" s="1"/>
  <c r="BP30" i="115"/>
  <c r="BR30" i="115" s="1"/>
  <c r="BP31" i="115"/>
  <c r="BR31" i="115"/>
  <c r="BO32" i="115"/>
  <c r="BQ32" i="115" s="1"/>
  <c r="BP32" i="115"/>
  <c r="BR32" i="115" s="1"/>
  <c r="BO33" i="115"/>
  <c r="BQ33" i="115" s="1"/>
  <c r="BP33" i="115"/>
  <c r="BR33" i="115" s="1"/>
  <c r="BH21" i="115"/>
  <c r="BI21" i="115"/>
  <c r="F9" i="115" s="1"/>
  <c r="S14" i="115" s="1"/>
  <c r="BF27" i="115"/>
  <c r="AL8" i="115"/>
  <c r="AS13" i="115"/>
  <c r="AW13" i="115"/>
  <c r="AW14" i="115"/>
  <c r="AO15" i="115"/>
  <c r="AU15" i="115" s="1"/>
  <c r="AP15" i="115"/>
  <c r="AP16" i="115" s="1"/>
  <c r="AP17" i="115" s="1"/>
  <c r="AP18" i="115" s="1"/>
  <c r="AP19" i="115" s="1"/>
  <c r="AP20" i="115" s="1"/>
  <c r="AP21" i="115" s="1"/>
  <c r="AP22" i="115" s="1"/>
  <c r="AP23" i="115" s="1"/>
  <c r="AP24" i="115" s="1"/>
  <c r="AP25" i="115" s="1"/>
  <c r="AP26" i="115" s="1"/>
  <c r="AT15" i="115"/>
  <c r="AV15" i="115" s="1"/>
  <c r="AW15" i="115" s="1"/>
  <c r="AT16" i="115"/>
  <c r="AT17" i="115"/>
  <c r="AT18" i="115"/>
  <c r="AT19" i="115"/>
  <c r="AT20" i="115"/>
  <c r="AT21" i="115"/>
  <c r="AT22" i="115"/>
  <c r="AT23" i="115"/>
  <c r="AT24" i="115"/>
  <c r="AT25" i="115"/>
  <c r="AT26" i="115"/>
  <c r="AM51" i="115"/>
  <c r="W8" i="115"/>
  <c r="AD13" i="115"/>
  <c r="AH13" i="115"/>
  <c r="AA15" i="115"/>
  <c r="AA16" i="115" s="1"/>
  <c r="X39" i="115"/>
  <c r="Z40" i="115"/>
  <c r="Y15" i="115" s="1"/>
  <c r="S11" i="115"/>
  <c r="S13" i="115"/>
  <c r="BS128" i="118" l="1"/>
  <c r="BE139" i="118"/>
  <c r="BG139" i="118" s="1"/>
  <c r="BE138" i="118"/>
  <c r="BL117" i="118"/>
  <c r="BL128" i="118" s="1"/>
  <c r="BG117" i="118"/>
  <c r="BO117" i="118"/>
  <c r="BO128" i="118" s="1"/>
  <c r="BW117" i="118"/>
  <c r="BW128" i="118" s="1"/>
  <c r="BT117" i="118"/>
  <c r="BT128" i="118" s="1"/>
  <c r="C23" i="118"/>
  <c r="AH123" i="118"/>
  <c r="BP117" i="118"/>
  <c r="BP128" i="118" s="1"/>
  <c r="AW69" i="118"/>
  <c r="X8" i="118"/>
  <c r="X21" i="118"/>
  <c r="AV31" i="118"/>
  <c r="AW55" i="118"/>
  <c r="X6" i="118"/>
  <c r="AO6" i="118" s="1"/>
  <c r="Z7" i="118"/>
  <c r="Z12" i="118"/>
  <c r="Z17" i="118"/>
  <c r="AS17" i="118" s="1"/>
  <c r="AE123" i="118"/>
  <c r="X24" i="118"/>
  <c r="AV43" i="118"/>
  <c r="Z11" i="118"/>
  <c r="AS11" i="118" s="1"/>
  <c r="Y17" i="118"/>
  <c r="Z23" i="118"/>
  <c r="AS23" i="118" s="1"/>
  <c r="X25" i="118"/>
  <c r="Y6" i="118"/>
  <c r="X9" i="118"/>
  <c r="X16" i="118"/>
  <c r="AN16" i="118" s="1"/>
  <c r="Z18" i="118"/>
  <c r="AS18" i="118" s="1"/>
  <c r="X20" i="118"/>
  <c r="AN20" i="118" s="1"/>
  <c r="E23" i="118"/>
  <c r="F23" i="118" s="1"/>
  <c r="X22" i="118"/>
  <c r="AO22" i="118" s="1"/>
  <c r="AB123" i="118"/>
  <c r="AN43" i="118"/>
  <c r="AQ53" i="118"/>
  <c r="X15" i="118"/>
  <c r="Y9" i="118"/>
  <c r="AP9" i="118" s="1"/>
  <c r="Y11" i="118"/>
  <c r="AQ11" i="118" s="1"/>
  <c r="Y16" i="118"/>
  <c r="AP16" i="118" s="1"/>
  <c r="X19" i="118"/>
  <c r="Y20" i="118"/>
  <c r="AU20" i="118"/>
  <c r="Y22" i="118"/>
  <c r="AP22" i="118" s="1"/>
  <c r="AU31" i="118"/>
  <c r="AR43" i="118"/>
  <c r="AU55" i="118"/>
  <c r="AQ61" i="118"/>
  <c r="AP61" i="118"/>
  <c r="AP17" i="118"/>
  <c r="AQ17" i="118"/>
  <c r="AN6" i="118"/>
  <c r="AP11" i="118"/>
  <c r="AR7" i="118"/>
  <c r="AS7" i="118"/>
  <c r="AO16" i="118"/>
  <c r="Y25" i="118"/>
  <c r="Z28" i="118"/>
  <c r="Y30" i="118"/>
  <c r="Z31" i="118"/>
  <c r="Y32" i="118"/>
  <c r="Z33" i="118"/>
  <c r="X36" i="118"/>
  <c r="Y37" i="118"/>
  <c r="X38" i="118"/>
  <c r="Z39" i="118"/>
  <c r="X41" i="118"/>
  <c r="Y42" i="118"/>
  <c r="AO43" i="118"/>
  <c r="AS43" i="118"/>
  <c r="Z47" i="118"/>
  <c r="Y56" i="118"/>
  <c r="AP6" i="118"/>
  <c r="AR18" i="118"/>
  <c r="AV20" i="118"/>
  <c r="AR23" i="118"/>
  <c r="Z6" i="118"/>
  <c r="AQ6" i="118"/>
  <c r="X7" i="118"/>
  <c r="Y8" i="118"/>
  <c r="Z9" i="118"/>
  <c r="AQ9" i="118"/>
  <c r="X12" i="118"/>
  <c r="Y15" i="118"/>
  <c r="Z16" i="118"/>
  <c r="AQ16" i="118"/>
  <c r="X18" i="118"/>
  <c r="Y19" i="118"/>
  <c r="Z20" i="118"/>
  <c r="AO20" i="118"/>
  <c r="AW20" i="118"/>
  <c r="Y21" i="118"/>
  <c r="Z22" i="118"/>
  <c r="AQ22" i="118"/>
  <c r="X23" i="118"/>
  <c r="Y24" i="118"/>
  <c r="Z25" i="118"/>
  <c r="X29" i="118"/>
  <c r="Z30" i="118"/>
  <c r="Z32" i="118"/>
  <c r="X34" i="118"/>
  <c r="X35" i="118"/>
  <c r="Y36" i="118"/>
  <c r="Z37" i="118"/>
  <c r="Y38" i="118"/>
  <c r="X40" i="118"/>
  <c r="Y41" i="118"/>
  <c r="Z42" i="118"/>
  <c r="AP43" i="118"/>
  <c r="AT44" i="118"/>
  <c r="X49" i="118"/>
  <c r="X50" i="118"/>
  <c r="Z122" i="118"/>
  <c r="Y121" i="118"/>
  <c r="X120" i="118"/>
  <c r="Z118" i="118"/>
  <c r="Y117" i="118"/>
  <c r="X116" i="118"/>
  <c r="Z113" i="118"/>
  <c r="Y112" i="118"/>
  <c r="X111" i="118"/>
  <c r="Z109" i="118"/>
  <c r="Y108" i="118"/>
  <c r="X107" i="118"/>
  <c r="Z105" i="118"/>
  <c r="Y104" i="118"/>
  <c r="X103" i="118"/>
  <c r="Z101" i="118"/>
  <c r="Y100" i="118"/>
  <c r="X99" i="118"/>
  <c r="Z97" i="118"/>
  <c r="Y96" i="118"/>
  <c r="X95" i="118"/>
  <c r="Z93" i="118"/>
  <c r="Y92" i="118"/>
  <c r="X91" i="118"/>
  <c r="X122" i="118"/>
  <c r="Z120" i="118"/>
  <c r="Y119" i="118"/>
  <c r="X118" i="118"/>
  <c r="Z116" i="118"/>
  <c r="Y115" i="118"/>
  <c r="X113" i="118"/>
  <c r="Z111" i="118"/>
  <c r="Y110" i="118"/>
  <c r="X109" i="118"/>
  <c r="Z107" i="118"/>
  <c r="Y106" i="118"/>
  <c r="X105" i="118"/>
  <c r="Z103" i="118"/>
  <c r="Y102" i="118"/>
  <c r="X101" i="118"/>
  <c r="Z99" i="118"/>
  <c r="Y98" i="118"/>
  <c r="X97" i="118"/>
  <c r="Z95" i="118"/>
  <c r="Y94" i="118"/>
  <c r="X93" i="118"/>
  <c r="Z91" i="118"/>
  <c r="Y88" i="118"/>
  <c r="X87" i="118"/>
  <c r="Y120" i="118"/>
  <c r="Z117" i="118"/>
  <c r="X115" i="118"/>
  <c r="Y113" i="118"/>
  <c r="Z110" i="118"/>
  <c r="X108" i="118"/>
  <c r="Y105" i="118"/>
  <c r="Z102" i="118"/>
  <c r="Y101" i="118"/>
  <c r="Z98" i="118"/>
  <c r="Z96" i="118"/>
  <c r="X94" i="118"/>
  <c r="Z88" i="118"/>
  <c r="Z87" i="118"/>
  <c r="Z86" i="118"/>
  <c r="Y84" i="118"/>
  <c r="Z82" i="118"/>
  <c r="X80" i="118"/>
  <c r="Z78" i="118"/>
  <c r="Z77" i="118"/>
  <c r="X69" i="118"/>
  <c r="Y122" i="118"/>
  <c r="Z119" i="118"/>
  <c r="X117" i="118"/>
  <c r="Z112" i="118"/>
  <c r="X110" i="118"/>
  <c r="Y107" i="118"/>
  <c r="Z104" i="118"/>
  <c r="X102" i="118"/>
  <c r="Z100" i="118"/>
  <c r="X98" i="118"/>
  <c r="X96" i="118"/>
  <c r="Y93" i="118"/>
  <c r="X88" i="118"/>
  <c r="Y87" i="118"/>
  <c r="Y86" i="118"/>
  <c r="X84" i="118"/>
  <c r="Y82" i="118"/>
  <c r="Z79" i="118"/>
  <c r="Y78" i="118"/>
  <c r="Y77" i="118"/>
  <c r="Z73" i="118"/>
  <c r="Z72" i="118"/>
  <c r="Z71" i="118"/>
  <c r="Z70" i="118"/>
  <c r="Z121" i="118"/>
  <c r="X119" i="118"/>
  <c r="Y116" i="118"/>
  <c r="X112" i="118"/>
  <c r="Y109" i="118"/>
  <c r="Z106" i="118"/>
  <c r="X104" i="118"/>
  <c r="X100" i="118"/>
  <c r="Y95" i="118"/>
  <c r="Z92" i="118"/>
  <c r="Y91" i="118"/>
  <c r="X86" i="118"/>
  <c r="X82" i="118"/>
  <c r="Z80" i="118"/>
  <c r="Y79" i="118"/>
  <c r="X78" i="118"/>
  <c r="X77" i="118"/>
  <c r="Y73" i="118"/>
  <c r="Y72" i="118"/>
  <c r="Y71" i="118"/>
  <c r="Y70" i="118"/>
  <c r="Z69" i="118"/>
  <c r="Y111" i="118"/>
  <c r="Z108" i="118"/>
  <c r="X73" i="118"/>
  <c r="Y69" i="118"/>
  <c r="Z67" i="118"/>
  <c r="Z65" i="118"/>
  <c r="Z64" i="118"/>
  <c r="Y63" i="118"/>
  <c r="X62" i="118"/>
  <c r="X61" i="118"/>
  <c r="X60" i="118"/>
  <c r="Z57" i="118"/>
  <c r="X56" i="118"/>
  <c r="Z54" i="118"/>
  <c r="X52" i="118"/>
  <c r="X79" i="118"/>
  <c r="X70" i="118"/>
  <c r="Z68" i="118"/>
  <c r="Y67" i="118"/>
  <c r="Y65" i="118"/>
  <c r="Y64" i="118"/>
  <c r="X63" i="118"/>
  <c r="Y57" i="118"/>
  <c r="Z55" i="118"/>
  <c r="Y54" i="118"/>
  <c r="X121" i="118"/>
  <c r="Y118" i="118"/>
  <c r="Z115" i="118"/>
  <c r="Y99" i="118"/>
  <c r="X92" i="118"/>
  <c r="Z84" i="118"/>
  <c r="Y80" i="118"/>
  <c r="X71" i="118"/>
  <c r="Y68" i="118"/>
  <c r="X67" i="118"/>
  <c r="X65" i="118"/>
  <c r="X64" i="118"/>
  <c r="Z62" i="118"/>
  <c r="Z61" i="118"/>
  <c r="Z60" i="118"/>
  <c r="X57" i="118"/>
  <c r="Z56" i="118"/>
  <c r="Y55" i="118"/>
  <c r="X54" i="118"/>
  <c r="Z52" i="118"/>
  <c r="X106" i="118"/>
  <c r="Y103" i="118"/>
  <c r="Y97" i="118"/>
  <c r="Z94" i="118"/>
  <c r="X72" i="118"/>
  <c r="X68" i="118"/>
  <c r="Z63" i="118"/>
  <c r="Y62" i="118"/>
  <c r="AV123" i="118"/>
  <c r="Y7" i="118"/>
  <c r="Z8" i="118"/>
  <c r="X11" i="118"/>
  <c r="Y12" i="118"/>
  <c r="Z15" i="118"/>
  <c r="X17" i="118"/>
  <c r="Y18" i="118"/>
  <c r="Z19" i="118"/>
  <c r="AT20" i="118"/>
  <c r="AT123" i="118" s="1"/>
  <c r="Z21" i="118"/>
  <c r="AN22" i="118"/>
  <c r="Y23" i="118"/>
  <c r="Z24" i="118"/>
  <c r="X28" i="118"/>
  <c r="Y29" i="118"/>
  <c r="X31" i="118"/>
  <c r="X33" i="118"/>
  <c r="Y34" i="118"/>
  <c r="Y35" i="118"/>
  <c r="Z36" i="118"/>
  <c r="Z38" i="118"/>
  <c r="X39" i="118"/>
  <c r="Y40" i="118"/>
  <c r="Z41" i="118"/>
  <c r="AQ43" i="118"/>
  <c r="X47" i="118"/>
  <c r="Y49" i="118"/>
  <c r="Y50" i="118"/>
  <c r="Y52" i="118"/>
  <c r="AS53" i="118"/>
  <c r="AR53" i="118"/>
  <c r="Y60" i="118"/>
  <c r="Y28" i="118"/>
  <c r="Z29" i="118"/>
  <c r="X30" i="118"/>
  <c r="Y31" i="118"/>
  <c r="X32" i="118"/>
  <c r="Y33" i="118"/>
  <c r="Z34" i="118"/>
  <c r="Z35" i="118"/>
  <c r="X37" i="118"/>
  <c r="Y39" i="118"/>
  <c r="Z40" i="118"/>
  <c r="X42" i="118"/>
  <c r="Y47" i="118"/>
  <c r="Z49" i="118"/>
  <c r="Z50" i="118"/>
  <c r="X55" i="118"/>
  <c r="AN53" i="118"/>
  <c r="AU122" i="118"/>
  <c r="AU101" i="118"/>
  <c r="AW91" i="118"/>
  <c r="AS91" i="118"/>
  <c r="AO91" i="118"/>
  <c r="AW122" i="118"/>
  <c r="AW101" i="118"/>
  <c r="AU91" i="118"/>
  <c r="AQ91" i="118"/>
  <c r="X5" i="117"/>
  <c r="X6" i="117" s="1"/>
  <c r="AB5" i="117"/>
  <c r="AB6" i="117" s="1"/>
  <c r="Y5" i="117"/>
  <c r="Y6" i="117" s="1"/>
  <c r="M12" i="117"/>
  <c r="M19" i="117"/>
  <c r="N19" i="117"/>
  <c r="AH41" i="117"/>
  <c r="W43" i="117"/>
  <c r="AH43" i="117" s="1"/>
  <c r="AF5" i="117"/>
  <c r="AF6" i="117" s="1"/>
  <c r="W26" i="117"/>
  <c r="AH26" i="117" s="1"/>
  <c r="AH24" i="117"/>
  <c r="Z5" i="117"/>
  <c r="Z6" i="117" s="1"/>
  <c r="AD5" i="117"/>
  <c r="AD6" i="117" s="1"/>
  <c r="AH12" i="117"/>
  <c r="O32" i="117"/>
  <c r="O9" i="117"/>
  <c r="AH47" i="117"/>
  <c r="AH51" i="117" s="1"/>
  <c r="AH53" i="117" s="1"/>
  <c r="AH58" i="117"/>
  <c r="AH63" i="117" s="1"/>
  <c r="AH65" i="117" s="1"/>
  <c r="W63" i="117"/>
  <c r="W65" i="117" s="1"/>
  <c r="W5" i="117" s="1"/>
  <c r="AH30" i="117"/>
  <c r="K5" i="116"/>
  <c r="N15" i="116"/>
  <c r="D13" i="116"/>
  <c r="D20" i="116" a="1"/>
  <c r="D20" i="116" s="1"/>
  <c r="D22" i="116"/>
  <c r="G22" i="116" s="1"/>
  <c r="N18" i="116"/>
  <c r="N21" i="116"/>
  <c r="N24" i="116"/>
  <c r="BR23" i="115"/>
  <c r="BP34" i="115"/>
  <c r="BP35" i="115" s="1"/>
  <c r="CD22" i="115"/>
  <c r="BQ23" i="115"/>
  <c r="CI22" i="115"/>
  <c r="CE34" i="115"/>
  <c r="CG22" i="115"/>
  <c r="BO30" i="115"/>
  <c r="BQ30" i="115" s="1"/>
  <c r="BO26" i="115"/>
  <c r="BQ26" i="115" s="1"/>
  <c r="BQ34" i="115" s="1"/>
  <c r="CB33" i="115"/>
  <c r="CD33" i="115" s="1"/>
  <c r="CB32" i="115"/>
  <c r="CD32" i="115" s="1"/>
  <c r="CB31" i="115"/>
  <c r="CD31" i="115" s="1"/>
  <c r="CB30" i="115"/>
  <c r="CD30" i="115" s="1"/>
  <c r="CB29" i="115"/>
  <c r="CD29" i="115" s="1"/>
  <c r="CB28" i="115"/>
  <c r="CD28" i="115" s="1"/>
  <c r="CB27" i="115"/>
  <c r="CD27" i="115" s="1"/>
  <c r="CB26" i="115"/>
  <c r="CD26" i="115" s="1"/>
  <c r="CB25" i="115"/>
  <c r="CD25" i="115" s="1"/>
  <c r="CB24" i="115"/>
  <c r="CD24" i="115" s="1"/>
  <c r="CB23" i="115"/>
  <c r="CD23" i="115" s="1"/>
  <c r="BO31" i="115"/>
  <c r="BQ31" i="115" s="1"/>
  <c r="BO27" i="115"/>
  <c r="BQ27" i="115" s="1"/>
  <c r="BR34" i="115"/>
  <c r="BS23" i="115"/>
  <c r="BU23" i="115" s="1"/>
  <c r="BJ21" i="115"/>
  <c r="BV22" i="115"/>
  <c r="AP27" i="115"/>
  <c r="AN27" i="115"/>
  <c r="AT27" i="115" s="1"/>
  <c r="AS15" i="115"/>
  <c r="AO16" i="115" s="1"/>
  <c r="AU16" i="115" s="1"/>
  <c r="AV16" i="115" s="1"/>
  <c r="AW16" i="115" s="1"/>
  <c r="AS16" i="115"/>
  <c r="Y16" i="115"/>
  <c r="AE16" i="115" s="1"/>
  <c r="AQ15" i="115"/>
  <c r="AE15" i="115"/>
  <c r="Y17" i="115"/>
  <c r="AE17" i="115" s="1"/>
  <c r="AA17" i="115"/>
  <c r="S17" i="115"/>
  <c r="S21" i="115"/>
  <c r="S25" i="115"/>
  <c r="S29" i="115"/>
  <c r="S33" i="115"/>
  <c r="S37" i="115"/>
  <c r="S19" i="115"/>
  <c r="S31" i="115"/>
  <c r="S16" i="115"/>
  <c r="S24" i="115"/>
  <c r="S28" i="115"/>
  <c r="S36" i="115"/>
  <c r="S18" i="115"/>
  <c r="S22" i="115"/>
  <c r="S26" i="115"/>
  <c r="S30" i="115"/>
  <c r="S34" i="115"/>
  <c r="S38" i="115"/>
  <c r="S15" i="115"/>
  <c r="S23" i="115"/>
  <c r="S27" i="115"/>
  <c r="S35" i="115"/>
  <c r="S20" i="115"/>
  <c r="S32" i="115"/>
  <c r="BE140" i="118" l="1"/>
  <c r="BG138" i="118"/>
  <c r="BE134" i="118"/>
  <c r="BE133" i="118"/>
  <c r="BG128" i="118"/>
  <c r="AU123" i="118"/>
  <c r="AW123" i="118"/>
  <c r="AO15" i="118"/>
  <c r="AN15" i="118"/>
  <c r="AP20" i="118"/>
  <c r="AQ20" i="118"/>
  <c r="AR17" i="118"/>
  <c r="AN9" i="118"/>
  <c r="AO9" i="118"/>
  <c r="AO21" i="118"/>
  <c r="AN21" i="118"/>
  <c r="AR11" i="118"/>
  <c r="AO8" i="118"/>
  <c r="AN8" i="118"/>
  <c r="AO11" i="118"/>
  <c r="AN11" i="118"/>
  <c r="AR94" i="118"/>
  <c r="AS94" i="118"/>
  <c r="AO62" i="118"/>
  <c r="AN62" i="118"/>
  <c r="AO42" i="118"/>
  <c r="AN42" i="118"/>
  <c r="AS35" i="118"/>
  <c r="AR35" i="118"/>
  <c r="AQ31" i="118"/>
  <c r="AP31" i="118"/>
  <c r="AR41" i="118"/>
  <c r="AS41" i="118"/>
  <c r="AR36" i="118"/>
  <c r="AS36" i="118"/>
  <c r="AQ23" i="118"/>
  <c r="AP23" i="118"/>
  <c r="AN72" i="118"/>
  <c r="AO72" i="118"/>
  <c r="AN106" i="118"/>
  <c r="AO106" i="118"/>
  <c r="AS56" i="118"/>
  <c r="AR56" i="118"/>
  <c r="AS62" i="118"/>
  <c r="AR62" i="118"/>
  <c r="AQ68" i="118"/>
  <c r="AP68" i="118"/>
  <c r="AN92" i="118"/>
  <c r="AO92" i="118"/>
  <c r="AN121" i="118"/>
  <c r="AO121" i="118"/>
  <c r="AO63" i="118"/>
  <c r="AN63" i="118"/>
  <c r="AR68" i="118"/>
  <c r="AS68" i="118"/>
  <c r="AS54" i="118"/>
  <c r="AR54" i="118"/>
  <c r="AO61" i="118"/>
  <c r="AN61" i="118"/>
  <c r="AS65" i="118"/>
  <c r="AR65" i="118"/>
  <c r="AR108" i="118"/>
  <c r="AS108" i="118"/>
  <c r="AQ71" i="118"/>
  <c r="AP71" i="118"/>
  <c r="AO78" i="118"/>
  <c r="AN78" i="118"/>
  <c r="AN86" i="118"/>
  <c r="AO86" i="118"/>
  <c r="AN100" i="118"/>
  <c r="AO100" i="118"/>
  <c r="AN112" i="118"/>
  <c r="AO112" i="118"/>
  <c r="AR70" i="118"/>
  <c r="AS70" i="118"/>
  <c r="AO84" i="118"/>
  <c r="AN84" i="118"/>
  <c r="AQ93" i="118"/>
  <c r="AP93" i="118"/>
  <c r="AN102" i="118"/>
  <c r="AO102" i="118"/>
  <c r="AR112" i="118"/>
  <c r="AS112" i="118"/>
  <c r="AN69" i="118"/>
  <c r="AO69" i="118"/>
  <c r="AR88" i="118"/>
  <c r="AS88" i="118"/>
  <c r="AQ101" i="118"/>
  <c r="AP101" i="118"/>
  <c r="AR110" i="118"/>
  <c r="AS110" i="118"/>
  <c r="AQ120" i="118"/>
  <c r="AP120" i="118"/>
  <c r="AO93" i="118"/>
  <c r="AN93" i="118"/>
  <c r="AP98" i="118"/>
  <c r="AQ98" i="118"/>
  <c r="AS103" i="118"/>
  <c r="AR103" i="118"/>
  <c r="AO109" i="118"/>
  <c r="AN109" i="118"/>
  <c r="AP115" i="118"/>
  <c r="AQ115" i="118"/>
  <c r="AS120" i="118"/>
  <c r="AR120" i="118"/>
  <c r="AS93" i="118"/>
  <c r="AR93" i="118"/>
  <c r="AO99" i="118"/>
  <c r="AN99" i="118"/>
  <c r="AP104" i="118"/>
  <c r="AQ104" i="118"/>
  <c r="AS109" i="118"/>
  <c r="AR109" i="118"/>
  <c r="AO116" i="118"/>
  <c r="AN116" i="118"/>
  <c r="AP121" i="118"/>
  <c r="AQ121" i="118"/>
  <c r="AO40" i="118"/>
  <c r="AN40" i="118"/>
  <c r="AO35" i="118"/>
  <c r="AN35" i="118"/>
  <c r="AO29" i="118"/>
  <c r="AN29" i="118"/>
  <c r="AQ8" i="118"/>
  <c r="AP8" i="118"/>
  <c r="Z123" i="118"/>
  <c r="AR6" i="118"/>
  <c r="AS6" i="118"/>
  <c r="AS47" i="118"/>
  <c r="AR47" i="118"/>
  <c r="AN41" i="118"/>
  <c r="AO41" i="118"/>
  <c r="AQ37" i="118"/>
  <c r="AP37" i="118"/>
  <c r="AR31" i="118"/>
  <c r="AS31" i="118"/>
  <c r="AP47" i="118"/>
  <c r="AQ47" i="118"/>
  <c r="AS40" i="118"/>
  <c r="AR40" i="118"/>
  <c r="AS34" i="118"/>
  <c r="AR34" i="118"/>
  <c r="AO30" i="118"/>
  <c r="AN30" i="118"/>
  <c r="AQ40" i="118"/>
  <c r="AP40" i="118"/>
  <c r="AQ35" i="118"/>
  <c r="AP35" i="118"/>
  <c r="AQ29" i="118"/>
  <c r="AP29" i="118"/>
  <c r="AQ18" i="118"/>
  <c r="AP18" i="118"/>
  <c r="AQ62" i="118"/>
  <c r="AP62" i="118"/>
  <c r="AO64" i="118"/>
  <c r="AN64" i="118"/>
  <c r="AN71" i="118"/>
  <c r="AO71" i="118"/>
  <c r="AQ99" i="118"/>
  <c r="AP99" i="118"/>
  <c r="AQ54" i="118"/>
  <c r="AP54" i="118"/>
  <c r="AQ64" i="118"/>
  <c r="AP64" i="118"/>
  <c r="AN70" i="118"/>
  <c r="AO70" i="118"/>
  <c r="AO56" i="118"/>
  <c r="AN56" i="118"/>
  <c r="AQ111" i="118"/>
  <c r="AP111" i="118"/>
  <c r="AQ72" i="118"/>
  <c r="AP72" i="118"/>
  <c r="AQ116" i="118"/>
  <c r="AP116" i="118"/>
  <c r="AQ78" i="118"/>
  <c r="AP78" i="118"/>
  <c r="AQ86" i="118"/>
  <c r="AP86" i="118"/>
  <c r="AR104" i="118"/>
  <c r="AS104" i="118"/>
  <c r="AN117" i="118"/>
  <c r="AO117" i="118"/>
  <c r="AP84" i="118"/>
  <c r="AQ84" i="118"/>
  <c r="AR102" i="118"/>
  <c r="AS102" i="118"/>
  <c r="AO87" i="118"/>
  <c r="AN87" i="118"/>
  <c r="AP94" i="118"/>
  <c r="AQ94" i="118"/>
  <c r="AO105" i="118"/>
  <c r="AN105" i="118"/>
  <c r="AP110" i="118"/>
  <c r="AQ110" i="118"/>
  <c r="AO122" i="118"/>
  <c r="AN122" i="118"/>
  <c r="AP100" i="118"/>
  <c r="AQ100" i="118"/>
  <c r="AS105" i="118"/>
  <c r="AR105" i="118"/>
  <c r="AP117" i="118"/>
  <c r="AQ117" i="118"/>
  <c r="AQ38" i="118"/>
  <c r="AP38" i="118"/>
  <c r="AO34" i="118"/>
  <c r="AN34" i="118"/>
  <c r="AS22" i="118"/>
  <c r="AR22" i="118"/>
  <c r="AR20" i="118"/>
  <c r="AS20" i="118"/>
  <c r="AN7" i="118"/>
  <c r="AO7" i="118"/>
  <c r="Y123" i="118"/>
  <c r="AS39" i="118"/>
  <c r="AR39" i="118"/>
  <c r="AN36" i="118"/>
  <c r="AO36" i="118"/>
  <c r="AQ30" i="118"/>
  <c r="AP30" i="118"/>
  <c r="AN55" i="118"/>
  <c r="AO55" i="118"/>
  <c r="AP39" i="118"/>
  <c r="AQ39" i="118"/>
  <c r="AP33" i="118"/>
  <c r="AQ33" i="118"/>
  <c r="AS29" i="118"/>
  <c r="AR29" i="118"/>
  <c r="AO47" i="118"/>
  <c r="AN47" i="118"/>
  <c r="AO39" i="118"/>
  <c r="AN39" i="118"/>
  <c r="AQ34" i="118"/>
  <c r="AP34" i="118"/>
  <c r="AO28" i="118"/>
  <c r="AN28" i="118"/>
  <c r="AO17" i="118"/>
  <c r="AN17" i="118"/>
  <c r="AS8" i="118"/>
  <c r="AR8" i="118"/>
  <c r="AQ97" i="118"/>
  <c r="AP97" i="118"/>
  <c r="AO54" i="118"/>
  <c r="AN54" i="118"/>
  <c r="AS60" i="118"/>
  <c r="AR60" i="118"/>
  <c r="AO65" i="118"/>
  <c r="AN65" i="118"/>
  <c r="AQ80" i="118"/>
  <c r="AP80" i="118"/>
  <c r="AR115" i="118"/>
  <c r="AS115" i="118"/>
  <c r="AR55" i="118"/>
  <c r="AS55" i="118"/>
  <c r="AQ65" i="118"/>
  <c r="AP65" i="118"/>
  <c r="AN79" i="118"/>
  <c r="AO79" i="118"/>
  <c r="AQ69" i="118"/>
  <c r="AP69" i="118"/>
  <c r="AR69" i="118"/>
  <c r="AS69" i="118"/>
  <c r="AQ73" i="118"/>
  <c r="AP73" i="118"/>
  <c r="AS80" i="118"/>
  <c r="AR80" i="118"/>
  <c r="AR92" i="118"/>
  <c r="AS92" i="118"/>
  <c r="AR106" i="118"/>
  <c r="AS106" i="118"/>
  <c r="AN119" i="118"/>
  <c r="AO119" i="118"/>
  <c r="AR72" i="118"/>
  <c r="AS72" i="118"/>
  <c r="AR79" i="118"/>
  <c r="AS79" i="118"/>
  <c r="AQ87" i="118"/>
  <c r="AP87" i="118"/>
  <c r="AN98" i="118"/>
  <c r="AO98" i="118"/>
  <c r="AQ107" i="118"/>
  <c r="AP107" i="118"/>
  <c r="AR119" i="118"/>
  <c r="AS119" i="118"/>
  <c r="AS78" i="118"/>
  <c r="AR78" i="118"/>
  <c r="AR86" i="118"/>
  <c r="AS86" i="118"/>
  <c r="AR96" i="118"/>
  <c r="AS96" i="118"/>
  <c r="AQ105" i="118"/>
  <c r="AP105" i="118"/>
  <c r="AN115" i="118"/>
  <c r="AO115" i="118"/>
  <c r="AP88" i="118"/>
  <c r="AQ88" i="118"/>
  <c r="AS95" i="118"/>
  <c r="AR95" i="118"/>
  <c r="AO101" i="118"/>
  <c r="AN101" i="118"/>
  <c r="AP106" i="118"/>
  <c r="AQ106" i="118"/>
  <c r="AS111" i="118"/>
  <c r="AR111" i="118"/>
  <c r="AO118" i="118"/>
  <c r="AN118" i="118"/>
  <c r="AP96" i="118"/>
  <c r="AQ96" i="118"/>
  <c r="AS101" i="118"/>
  <c r="AR101" i="118"/>
  <c r="AO107" i="118"/>
  <c r="AN107" i="118"/>
  <c r="AP112" i="118"/>
  <c r="AQ112" i="118"/>
  <c r="AS118" i="118"/>
  <c r="AR118" i="118"/>
  <c r="AS42" i="118"/>
  <c r="AR42" i="118"/>
  <c r="AS37" i="118"/>
  <c r="AR37" i="118"/>
  <c r="AS32" i="118"/>
  <c r="AR32" i="118"/>
  <c r="AR16" i="118"/>
  <c r="AS16" i="118"/>
  <c r="AQ56" i="118"/>
  <c r="AP56" i="118"/>
  <c r="AS33" i="118"/>
  <c r="AR33" i="118"/>
  <c r="AS28" i="118"/>
  <c r="AR28" i="118"/>
  <c r="X123" i="118"/>
  <c r="AS67" i="118"/>
  <c r="AR67" i="118"/>
  <c r="AQ79" i="118"/>
  <c r="AP79" i="118"/>
  <c r="AN104" i="118"/>
  <c r="AO104" i="118"/>
  <c r="AR71" i="118"/>
  <c r="AS71" i="118"/>
  <c r="AN96" i="118"/>
  <c r="AO96" i="118"/>
  <c r="AN94" i="118"/>
  <c r="AO94" i="118"/>
  <c r="AQ113" i="118"/>
  <c r="AP113" i="118"/>
  <c r="AS99" i="118"/>
  <c r="AR99" i="118"/>
  <c r="AS116" i="118"/>
  <c r="AR116" i="118"/>
  <c r="AO95" i="118"/>
  <c r="AN95" i="118"/>
  <c r="AO111" i="118"/>
  <c r="AN111" i="118"/>
  <c r="AS122" i="118"/>
  <c r="AR122" i="118"/>
  <c r="AO37" i="118"/>
  <c r="AN37" i="118"/>
  <c r="AO32" i="118"/>
  <c r="AN32" i="118"/>
  <c r="AP28" i="118"/>
  <c r="AQ28" i="118"/>
  <c r="AQ60" i="118"/>
  <c r="AP60" i="118"/>
  <c r="AR38" i="118"/>
  <c r="AS38" i="118"/>
  <c r="AO33" i="118"/>
  <c r="AN33" i="118"/>
  <c r="AS15" i="118"/>
  <c r="AR15" i="118"/>
  <c r="AP7" i="118"/>
  <c r="AQ7" i="118"/>
  <c r="AN68" i="118"/>
  <c r="AO68" i="118"/>
  <c r="AQ103" i="118"/>
  <c r="AP103" i="118"/>
  <c r="AQ55" i="118"/>
  <c r="AP55" i="118"/>
  <c r="AS61" i="118"/>
  <c r="AR61" i="118"/>
  <c r="AO67" i="118"/>
  <c r="AN67" i="118"/>
  <c r="AS84" i="118"/>
  <c r="AR84" i="118"/>
  <c r="AQ118" i="118"/>
  <c r="AP118" i="118"/>
  <c r="AQ67" i="118"/>
  <c r="AP67" i="118"/>
  <c r="AO60" i="118"/>
  <c r="AN60" i="118"/>
  <c r="AS64" i="118"/>
  <c r="AR64" i="118"/>
  <c r="AN73" i="118"/>
  <c r="AO73" i="118"/>
  <c r="AQ70" i="118"/>
  <c r="AP70" i="118"/>
  <c r="AO82" i="118"/>
  <c r="AN82" i="118"/>
  <c r="AQ95" i="118"/>
  <c r="AP95" i="118"/>
  <c r="AQ109" i="118"/>
  <c r="AP109" i="118"/>
  <c r="AR121" i="118"/>
  <c r="AS121" i="118"/>
  <c r="AR73" i="118"/>
  <c r="AS73" i="118"/>
  <c r="AQ82" i="118"/>
  <c r="AP82" i="118"/>
  <c r="AO88" i="118"/>
  <c r="AN88" i="118"/>
  <c r="AR100" i="118"/>
  <c r="AS100" i="118"/>
  <c r="AN110" i="118"/>
  <c r="AO110" i="118"/>
  <c r="AQ122" i="118"/>
  <c r="AP122" i="118"/>
  <c r="AO80" i="118"/>
  <c r="AN80" i="118"/>
  <c r="AS87" i="118"/>
  <c r="AR87" i="118"/>
  <c r="AR98" i="118"/>
  <c r="AS98" i="118"/>
  <c r="AN108" i="118"/>
  <c r="AO108" i="118"/>
  <c r="AR117" i="118"/>
  <c r="AS117" i="118"/>
  <c r="AP102" i="118"/>
  <c r="AQ102" i="118"/>
  <c r="AS107" i="118"/>
  <c r="AR107" i="118"/>
  <c r="AO113" i="118"/>
  <c r="AN113" i="118"/>
  <c r="AP119" i="118"/>
  <c r="AQ119" i="118"/>
  <c r="AP92" i="118"/>
  <c r="AQ92" i="118"/>
  <c r="AS97" i="118"/>
  <c r="AR97" i="118"/>
  <c r="AO103" i="118"/>
  <c r="AN103" i="118"/>
  <c r="AP108" i="118"/>
  <c r="AQ108" i="118"/>
  <c r="AS113" i="118"/>
  <c r="AR113" i="118"/>
  <c r="AO120" i="118"/>
  <c r="AN120" i="118"/>
  <c r="AQ41" i="118"/>
  <c r="AP41" i="118"/>
  <c r="AQ36" i="118"/>
  <c r="AP36" i="118"/>
  <c r="AS30" i="118"/>
  <c r="AR30" i="118"/>
  <c r="AO23" i="118"/>
  <c r="AN23" i="118"/>
  <c r="AN18" i="118"/>
  <c r="AO18" i="118"/>
  <c r="AQ15" i="118"/>
  <c r="AP15" i="118"/>
  <c r="AR9" i="118"/>
  <c r="AS9" i="118"/>
  <c r="AQ42" i="118"/>
  <c r="AP42" i="118"/>
  <c r="AN38" i="118"/>
  <c r="AO38" i="118"/>
  <c r="AQ32" i="118"/>
  <c r="AP32" i="118"/>
  <c r="W6" i="117"/>
  <c r="AH5" i="117"/>
  <c r="AH6" i="117" s="1"/>
  <c r="O10" i="117" s="1"/>
  <c r="M9" i="117"/>
  <c r="M7" i="117" s="1"/>
  <c r="N9" i="117"/>
  <c r="M32" i="117"/>
  <c r="N32" i="117"/>
  <c r="O5" i="116"/>
  <c r="O6" i="116" s="1"/>
  <c r="K14" i="116"/>
  <c r="CB34" i="115"/>
  <c r="CB35" i="115" s="1"/>
  <c r="CG23" i="115"/>
  <c r="CI23" i="115" s="1"/>
  <c r="CH22" i="115"/>
  <c r="CD34" i="115"/>
  <c r="CF22" i="115"/>
  <c r="AQ16" i="115"/>
  <c r="BO34" i="115"/>
  <c r="BO35" i="115" s="1"/>
  <c r="BS24" i="115"/>
  <c r="BU24" i="115"/>
  <c r="BT23" i="115"/>
  <c r="BV23" i="115"/>
  <c r="AN28" i="115"/>
  <c r="AT28" i="115" s="1"/>
  <c r="AP28" i="115"/>
  <c r="AO17" i="115"/>
  <c r="AS17" i="115" s="1"/>
  <c r="AA18" i="115"/>
  <c r="Y18" i="115"/>
  <c r="AE18" i="115" s="1"/>
  <c r="S43" i="115"/>
  <c r="S42" i="115"/>
  <c r="S39" i="115"/>
  <c r="S40" i="115" s="1"/>
  <c r="BG133" i="118" l="1"/>
  <c r="BE135" i="118"/>
  <c r="BE143" i="118"/>
  <c r="BG134" i="118"/>
  <c r="BE144" i="118"/>
  <c r="AS137" i="118"/>
  <c r="AS136" i="118"/>
  <c r="AQ123" i="118"/>
  <c r="AP137" i="118"/>
  <c r="AO135" i="118"/>
  <c r="AP123" i="118"/>
  <c r="AO129" i="118" s="1"/>
  <c r="AN123" i="118"/>
  <c r="AO136" i="118"/>
  <c r="AP135" i="118"/>
  <c r="AO123" i="118"/>
  <c r="AP129" i="118" s="1"/>
  <c r="AP138" i="118" s="1"/>
  <c r="AR136" i="118"/>
  <c r="AP136" i="118"/>
  <c r="AO137" i="118"/>
  <c r="AS135" i="118"/>
  <c r="AS123" i="118"/>
  <c r="AS129" i="118" s="1"/>
  <c r="AR137" i="118"/>
  <c r="AR135" i="118"/>
  <c r="AR123" i="118"/>
  <c r="AR129" i="118" s="1"/>
  <c r="O20" i="117"/>
  <c r="O17" i="117" s="1"/>
  <c r="O7" i="117"/>
  <c r="N7" i="117" s="1"/>
  <c r="O12" i="117"/>
  <c r="O33" i="117"/>
  <c r="L14" i="116"/>
  <c r="K27" i="116"/>
  <c r="K21" i="116"/>
  <c r="K18" i="116"/>
  <c r="K15" i="116"/>
  <c r="K24" i="116"/>
  <c r="CG24" i="115"/>
  <c r="CI24" i="115" s="1"/>
  <c r="CF23" i="115"/>
  <c r="CH23" i="115" s="1"/>
  <c r="BS25" i="115"/>
  <c r="BU25" i="115" s="1"/>
  <c r="BT24" i="115"/>
  <c r="BV24" i="115" s="1"/>
  <c r="AN29" i="115"/>
  <c r="AT29" i="115" s="1"/>
  <c r="AP29" i="115"/>
  <c r="AO18" i="115"/>
  <c r="AS18" i="115" s="1"/>
  <c r="AU17" i="115"/>
  <c r="AV17" i="115" s="1"/>
  <c r="AW17" i="115" s="1"/>
  <c r="AQ17" i="115"/>
  <c r="AA19" i="115"/>
  <c r="Y19" i="115"/>
  <c r="BF144" i="118" l="1"/>
  <c r="AS138" i="118"/>
  <c r="AR138" i="118"/>
  <c r="AS132" i="118"/>
  <c r="AS139" i="118"/>
  <c r="AP132" i="118"/>
  <c r="AO138" i="118"/>
  <c r="AO139" i="118" s="1"/>
  <c r="AP139" i="118"/>
  <c r="AR139" i="118"/>
  <c r="O30" i="117"/>
  <c r="O14" i="117"/>
  <c r="O27" i="117"/>
  <c r="M17" i="117"/>
  <c r="M20" i="117" s="1"/>
  <c r="M24" i="117" s="1"/>
  <c r="N17" i="117"/>
  <c r="N20" i="117" s="1"/>
  <c r="N24" i="117" s="1"/>
  <c r="L18" i="116"/>
  <c r="L15" i="116"/>
  <c r="L27" i="116"/>
  <c r="L24" i="116"/>
  <c r="L21" i="116"/>
  <c r="M14" i="116"/>
  <c r="CF24" i="115"/>
  <c r="CH24" i="115" s="1"/>
  <c r="CG25" i="115"/>
  <c r="CI25" i="115" s="1"/>
  <c r="BS26" i="115"/>
  <c r="BU26" i="115" s="1"/>
  <c r="BT25" i="115"/>
  <c r="BV25" i="115" s="1"/>
  <c r="AN30" i="115"/>
  <c r="AT30" i="115" s="1"/>
  <c r="AP30" i="115"/>
  <c r="AO19" i="115"/>
  <c r="AS19" i="115" s="1"/>
  <c r="AU18" i="115"/>
  <c r="AV18" i="115" s="1"/>
  <c r="AW18" i="115" s="1"/>
  <c r="AQ18" i="115"/>
  <c r="AA20" i="115"/>
  <c r="Y20" i="115"/>
  <c r="AE20" i="115" s="1"/>
  <c r="AE19" i="115"/>
  <c r="AT132" i="118" l="1"/>
  <c r="E7" i="117"/>
  <c r="O24" i="117"/>
  <c r="O35" i="117" s="1"/>
  <c r="N30" i="117"/>
  <c r="N33" i="117" s="1"/>
  <c r="N35" i="117" s="1"/>
  <c r="M30" i="117"/>
  <c r="M33" i="117" s="1"/>
  <c r="M35" i="117" s="1"/>
  <c r="G7" i="117" s="1"/>
  <c r="M15" i="116"/>
  <c r="M27" i="116"/>
  <c r="M24" i="116"/>
  <c r="M21" i="116"/>
  <c r="M18" i="116"/>
  <c r="CG26" i="115"/>
  <c r="CI26" i="115" s="1"/>
  <c r="CF25" i="115"/>
  <c r="CH25" i="115" s="1"/>
  <c r="BS27" i="115"/>
  <c r="BU27" i="115"/>
  <c r="BT26" i="115"/>
  <c r="BV26" i="115"/>
  <c r="AN31" i="115"/>
  <c r="AT31" i="115" s="1"/>
  <c r="AP31" i="115"/>
  <c r="AO20" i="115"/>
  <c r="AU19" i="115"/>
  <c r="AV19" i="115" s="1"/>
  <c r="AW19" i="115" s="1"/>
  <c r="AQ19" i="115"/>
  <c r="Y21" i="115"/>
  <c r="AE21" i="115" s="1"/>
  <c r="AA21" i="115"/>
  <c r="G27" i="117" l="1"/>
  <c r="G22" i="117"/>
  <c r="G12" i="117"/>
  <c r="G17" i="117"/>
  <c r="G31" i="117"/>
  <c r="E27" i="117"/>
  <c r="E22" i="117"/>
  <c r="E12" i="117"/>
  <c r="E31" i="117"/>
  <c r="E17" i="117"/>
  <c r="CF26" i="115"/>
  <c r="CH26" i="115" s="1"/>
  <c r="CG27" i="115"/>
  <c r="CI27" i="115" s="1"/>
  <c r="BS28" i="115"/>
  <c r="BU28" i="115" s="1"/>
  <c r="BT27" i="115"/>
  <c r="BV27" i="115" s="1"/>
  <c r="AN32" i="115"/>
  <c r="AT32" i="115" s="1"/>
  <c r="AP32" i="115"/>
  <c r="AU20" i="115"/>
  <c r="AV20" i="115" s="1"/>
  <c r="AW20" i="115" s="1"/>
  <c r="AQ20" i="115"/>
  <c r="AS20" i="115"/>
  <c r="Y22" i="115"/>
  <c r="AA22" i="115"/>
  <c r="E33" i="117" l="1"/>
  <c r="G33" i="117"/>
  <c r="CG28" i="115"/>
  <c r="CI28" i="115" s="1"/>
  <c r="CF27" i="115"/>
  <c r="CH27" i="115" s="1"/>
  <c r="BS29" i="115"/>
  <c r="BU29" i="115" s="1"/>
  <c r="BT28" i="115"/>
  <c r="BV28" i="115" s="1"/>
  <c r="AP33" i="115"/>
  <c r="AN33" i="115"/>
  <c r="AT33" i="115" s="1"/>
  <c r="AO21" i="115"/>
  <c r="AE22" i="115"/>
  <c r="AA23" i="115"/>
  <c r="Y23" i="115"/>
  <c r="AE23" i="115" s="1"/>
  <c r="CF28" i="115" l="1"/>
  <c r="CH28" i="115" s="1"/>
  <c r="CG29" i="115"/>
  <c r="CI29" i="115" s="1"/>
  <c r="BT29" i="115"/>
  <c r="BV29" i="115"/>
  <c r="BS30" i="115"/>
  <c r="BU30" i="115"/>
  <c r="AP34" i="115"/>
  <c r="AN34" i="115"/>
  <c r="AT34" i="115" s="1"/>
  <c r="AU21" i="115"/>
  <c r="AV21" i="115" s="1"/>
  <c r="AW21" i="115" s="1"/>
  <c r="AQ21" i="115"/>
  <c r="AS21" i="115"/>
  <c r="AA24" i="115"/>
  <c r="Y24" i="115"/>
  <c r="AE24" i="115" s="1"/>
  <c r="CG30" i="115" l="1"/>
  <c r="CI30" i="115" s="1"/>
  <c r="CF29" i="115"/>
  <c r="CH29" i="115" s="1"/>
  <c r="BS31" i="115"/>
  <c r="BU31" i="115" s="1"/>
  <c r="BT30" i="115"/>
  <c r="BV30" i="115" s="1"/>
  <c r="AP35" i="115"/>
  <c r="AN35" i="115"/>
  <c r="AT35" i="115" s="1"/>
  <c r="AO22" i="115"/>
  <c r="AS22" i="115" s="1"/>
  <c r="Y25" i="115"/>
  <c r="AE25" i="115" s="1"/>
  <c r="AA25" i="115"/>
  <c r="CF30" i="115" l="1"/>
  <c r="CH30" i="115" s="1"/>
  <c r="CG31" i="115"/>
  <c r="CI31" i="115" s="1"/>
  <c r="BT31" i="115"/>
  <c r="BV31" i="115"/>
  <c r="BS32" i="115"/>
  <c r="BU32" i="115"/>
  <c r="AP36" i="115"/>
  <c r="AN36" i="115"/>
  <c r="AT36" i="115" s="1"/>
  <c r="AO23" i="115"/>
  <c r="AS23" i="115" s="1"/>
  <c r="AU22" i="115"/>
  <c r="AV22" i="115" s="1"/>
  <c r="AW22" i="115" s="1"/>
  <c r="AQ22" i="115"/>
  <c r="AA26" i="115"/>
  <c r="Y26" i="115"/>
  <c r="CG32" i="115" l="1"/>
  <c r="CI32" i="115" s="1"/>
  <c r="CF31" i="115"/>
  <c r="CH31" i="115" s="1"/>
  <c r="BS33" i="115"/>
  <c r="BU33" i="115" s="1"/>
  <c r="BQ37" i="115" s="1"/>
  <c r="BT32" i="115"/>
  <c r="BV32" i="115"/>
  <c r="AP37" i="115"/>
  <c r="AN37" i="115"/>
  <c r="AT37" i="115" s="1"/>
  <c r="AO24" i="115"/>
  <c r="AS24" i="115" s="1"/>
  <c r="AU23" i="115"/>
  <c r="AV23" i="115" s="1"/>
  <c r="AW23" i="115" s="1"/>
  <c r="AQ23" i="115"/>
  <c r="AE26" i="115"/>
  <c r="Y41" i="115"/>
  <c r="H10" i="115" s="1"/>
  <c r="AA27" i="115"/>
  <c r="Y27" i="115"/>
  <c r="CF32" i="115" l="1"/>
  <c r="CH32" i="115" s="1"/>
  <c r="CG33" i="115"/>
  <c r="CI33" i="115" s="1"/>
  <c r="BS37" i="115"/>
  <c r="BU37" i="115" s="1"/>
  <c r="BQ38" i="115" s="1"/>
  <c r="BT33" i="115"/>
  <c r="BV33" i="115"/>
  <c r="BR37" i="115" s="1"/>
  <c r="AN38" i="115"/>
  <c r="AP38" i="115"/>
  <c r="AO25" i="115"/>
  <c r="AS25" i="115" s="1"/>
  <c r="AU24" i="115"/>
  <c r="AV24" i="115" s="1"/>
  <c r="AW24" i="115" s="1"/>
  <c r="AQ24" i="115"/>
  <c r="AE27" i="115"/>
  <c r="AA28" i="115"/>
  <c r="Y28" i="115"/>
  <c r="AE28" i="115" s="1"/>
  <c r="CH33" i="115" l="1"/>
  <c r="CF33" i="115"/>
  <c r="BS38" i="115"/>
  <c r="BU38" i="115" s="1"/>
  <c r="BQ39" i="115" s="1"/>
  <c r="BT37" i="115"/>
  <c r="BV37" i="115"/>
  <c r="BR38" i="115" s="1"/>
  <c r="AN39" i="115"/>
  <c r="AT39" i="115" s="1"/>
  <c r="AP39" i="115"/>
  <c r="AN53" i="115"/>
  <c r="H11" i="115" s="1"/>
  <c r="AT38" i="115"/>
  <c r="AO26" i="115"/>
  <c r="AS26" i="115" s="1"/>
  <c r="AU25" i="115"/>
  <c r="AV25" i="115" s="1"/>
  <c r="AW25" i="115" s="1"/>
  <c r="AQ25" i="115"/>
  <c r="Y29" i="115"/>
  <c r="AE29" i="115" s="1"/>
  <c r="AA29" i="115"/>
  <c r="BS39" i="115" l="1"/>
  <c r="BU39" i="115" s="1"/>
  <c r="BQ40" i="115" s="1"/>
  <c r="BT38" i="115"/>
  <c r="BV38" i="115" s="1"/>
  <c r="BR39" i="115" s="1"/>
  <c r="AN40" i="115"/>
  <c r="AT40" i="115" s="1"/>
  <c r="AP40" i="115"/>
  <c r="AO27" i="115"/>
  <c r="AS27" i="115" s="1"/>
  <c r="AU26" i="115"/>
  <c r="AV26" i="115" s="1"/>
  <c r="AW26" i="115" s="1"/>
  <c r="AQ26" i="115"/>
  <c r="Y30" i="115"/>
  <c r="AE30" i="115" s="1"/>
  <c r="AA30" i="115"/>
  <c r="BT39" i="115" l="1"/>
  <c r="BV39" i="115"/>
  <c r="BR40" i="115" s="1"/>
  <c r="BS40" i="115"/>
  <c r="BU40" i="115" s="1"/>
  <c r="BQ41" i="115" s="1"/>
  <c r="AP41" i="115"/>
  <c r="AN41" i="115"/>
  <c r="AT41" i="115" s="1"/>
  <c r="AO28" i="115"/>
  <c r="AS28" i="115" s="1"/>
  <c r="AU27" i="115"/>
  <c r="AQ27" i="115"/>
  <c r="AA31" i="115"/>
  <c r="Y31" i="115"/>
  <c r="AE31" i="115" s="1"/>
  <c r="J9" i="115"/>
  <c r="H9" i="115"/>
  <c r="BS41" i="115" l="1"/>
  <c r="BU41" i="115"/>
  <c r="BQ42" i="115" s="1"/>
  <c r="BT40" i="115"/>
  <c r="BV40" i="115" s="1"/>
  <c r="BR41" i="115" s="1"/>
  <c r="AN42" i="115"/>
  <c r="AT42" i="115" s="1"/>
  <c r="AP42" i="115"/>
  <c r="AO29" i="115"/>
  <c r="AV27" i="115"/>
  <c r="AQ28" i="115"/>
  <c r="AU28" i="115"/>
  <c r="AV28" i="115" s="1"/>
  <c r="AA32" i="115"/>
  <c r="Y32" i="115"/>
  <c r="H16" i="115"/>
  <c r="H13" i="115"/>
  <c r="BT41" i="115" l="1"/>
  <c r="BV41" i="115" s="1"/>
  <c r="BR42" i="115" s="1"/>
  <c r="BS42" i="115"/>
  <c r="BU42" i="115" s="1"/>
  <c r="BQ43" i="115" s="1"/>
  <c r="AP43" i="115"/>
  <c r="AN43" i="115"/>
  <c r="AT43" i="115" s="1"/>
  <c r="AU29" i="115"/>
  <c r="AQ29" i="115"/>
  <c r="AW27" i="115"/>
  <c r="AW28" i="115" s="1"/>
  <c r="AS29" i="115"/>
  <c r="AE32" i="115"/>
  <c r="Y33" i="115"/>
  <c r="AE33" i="115" s="1"/>
  <c r="AA33" i="115"/>
  <c r="BS43" i="115" l="1"/>
  <c r="BU43" i="115" s="1"/>
  <c r="BQ44" i="115" s="1"/>
  <c r="BT42" i="115"/>
  <c r="BV42" i="115" s="1"/>
  <c r="BR43" i="115" s="1"/>
  <c r="AP44" i="115"/>
  <c r="AN44" i="115"/>
  <c r="AT44" i="115" s="1"/>
  <c r="AO30" i="115"/>
  <c r="AS30" i="115"/>
  <c r="AV29" i="115"/>
  <c r="Y34" i="115"/>
  <c r="AE34" i="115" s="1"/>
  <c r="AA34" i="115"/>
  <c r="BT43" i="115" l="1"/>
  <c r="BV43" i="115"/>
  <c r="BR44" i="115" s="1"/>
  <c r="BS44" i="115"/>
  <c r="BU44" i="115" s="1"/>
  <c r="BQ45" i="115" s="1"/>
  <c r="AP45" i="115"/>
  <c r="AN45" i="115"/>
  <c r="AT45" i="115" s="1"/>
  <c r="AO31" i="115"/>
  <c r="AS31" i="115" s="1"/>
  <c r="AU30" i="115"/>
  <c r="AQ30" i="115"/>
  <c r="AW29" i="115"/>
  <c r="AA35" i="115"/>
  <c r="Y35" i="115"/>
  <c r="AE35" i="115" s="1"/>
  <c r="BT44" i="115" l="1"/>
  <c r="BV44" i="115" s="1"/>
  <c r="BR45" i="115" s="1"/>
  <c r="BS45" i="115"/>
  <c r="BU45" i="115" s="1"/>
  <c r="BQ46" i="115" s="1"/>
  <c r="AP46" i="115"/>
  <c r="AN46" i="115"/>
  <c r="AT46" i="115" s="1"/>
  <c r="AO32" i="115"/>
  <c r="AV30" i="115"/>
  <c r="AW30" i="115" s="1"/>
  <c r="AU31" i="115"/>
  <c r="AV31" i="115" s="1"/>
  <c r="AQ31" i="115"/>
  <c r="AA36" i="115"/>
  <c r="Y36" i="115"/>
  <c r="AE36" i="115" s="1"/>
  <c r="BT45" i="115" l="1"/>
  <c r="BV45" i="115"/>
  <c r="BR46" i="115" s="1"/>
  <c r="BS46" i="115"/>
  <c r="BU46" i="115" s="1"/>
  <c r="BQ47" i="115" s="1"/>
  <c r="AW31" i="115"/>
  <c r="AN47" i="115"/>
  <c r="AT47" i="115" s="1"/>
  <c r="AP47" i="115"/>
  <c r="AQ32" i="115"/>
  <c r="AU32" i="115"/>
  <c r="AS32" i="115"/>
  <c r="Y37" i="115"/>
  <c r="AE37" i="115" s="1"/>
  <c r="AA37" i="115"/>
  <c r="BS47" i="115" l="1"/>
  <c r="BU47" i="115"/>
  <c r="BQ48" i="115" s="1"/>
  <c r="BT46" i="115"/>
  <c r="BV46" i="115" s="1"/>
  <c r="BR47" i="115" s="1"/>
  <c r="AN48" i="115"/>
  <c r="AT48" i="115" s="1"/>
  <c r="AP48" i="115"/>
  <c r="AO33" i="115"/>
  <c r="AV32" i="115"/>
  <c r="AW32" i="115" s="1"/>
  <c r="Y38" i="115"/>
  <c r="AA38" i="115"/>
  <c r="BT47" i="115" l="1"/>
  <c r="BV47" i="115"/>
  <c r="BR48" i="115" s="1"/>
  <c r="BS48" i="115"/>
  <c r="BU48" i="115" s="1"/>
  <c r="AP49" i="115"/>
  <c r="AN49" i="115"/>
  <c r="AT49" i="115" s="1"/>
  <c r="AU33" i="115"/>
  <c r="AQ33" i="115"/>
  <c r="AS33" i="115"/>
  <c r="AE38" i="115"/>
  <c r="Y39" i="115"/>
  <c r="F10" i="115" s="1"/>
  <c r="Y42" i="115"/>
  <c r="J10" i="115" s="1"/>
  <c r="BT48" i="115" l="1"/>
  <c r="BV48" i="115" s="1"/>
  <c r="X14" i="115" s="1"/>
  <c r="AD14" i="115" s="1"/>
  <c r="AP50" i="115"/>
  <c r="AN50" i="115"/>
  <c r="AN51" i="115" s="1"/>
  <c r="F11" i="115" s="1"/>
  <c r="F13" i="115" s="1"/>
  <c r="AO34" i="115"/>
  <c r="AS34" i="115" s="1"/>
  <c r="AV33" i="115"/>
  <c r="AW33" i="115" s="1"/>
  <c r="AE39" i="115"/>
  <c r="Z15" i="115" l="1"/>
  <c r="AH14" i="115"/>
  <c r="AN54" i="115"/>
  <c r="J11" i="115" s="1"/>
  <c r="J13" i="115" s="1"/>
  <c r="AT50" i="115"/>
  <c r="AT51" i="115" s="1"/>
  <c r="AO35" i="115"/>
  <c r="AU34" i="115"/>
  <c r="AV34" i="115" s="1"/>
  <c r="AW34" i="115" s="1"/>
  <c r="AQ34" i="115"/>
  <c r="AF15" i="115" l="1"/>
  <c r="AG15" i="115" s="1"/>
  <c r="AH15" i="115" s="1"/>
  <c r="AB15" i="115"/>
  <c r="AD15" i="115"/>
  <c r="Z16" i="115" s="1"/>
  <c r="AU35" i="115"/>
  <c r="AV35" i="115" s="1"/>
  <c r="AW35" i="115" s="1"/>
  <c r="AQ35" i="115"/>
  <c r="AS35" i="115"/>
  <c r="AD16" i="115" l="1"/>
  <c r="AF16" i="115"/>
  <c r="AG16" i="115" s="1"/>
  <c r="AH16" i="115" s="1"/>
  <c r="AB16" i="115"/>
  <c r="AO36" i="115"/>
  <c r="Z17" i="115" l="1"/>
  <c r="AD17" i="115" s="1"/>
  <c r="AQ36" i="115"/>
  <c r="AU36" i="115"/>
  <c r="AV36" i="115" s="1"/>
  <c r="AW36" i="115" s="1"/>
  <c r="AS36" i="115"/>
  <c r="Z18" i="115" l="1"/>
  <c r="AD18" i="115" s="1"/>
  <c r="AB17" i="115"/>
  <c r="AF17" i="115"/>
  <c r="AG17" i="115" s="1"/>
  <c r="AH17" i="115" s="1"/>
  <c r="AO37" i="115"/>
  <c r="Z19" i="115" l="1"/>
  <c r="AD19" i="115"/>
  <c r="Z20" i="115" s="1"/>
  <c r="AF18" i="115"/>
  <c r="AG18" i="115" s="1"/>
  <c r="AH18" i="115" s="1"/>
  <c r="AB18" i="115"/>
  <c r="AU37" i="115"/>
  <c r="AV37" i="115" s="1"/>
  <c r="AW37" i="115" s="1"/>
  <c r="AQ37" i="115"/>
  <c r="AS37" i="115"/>
  <c r="AF19" i="115" l="1"/>
  <c r="AG19" i="115" s="1"/>
  <c r="AH19" i="115" s="1"/>
  <c r="AB19" i="115"/>
  <c r="AD20" i="115"/>
  <c r="AB20" i="115"/>
  <c r="AF20" i="115"/>
  <c r="AG20" i="115" s="1"/>
  <c r="AO38" i="115"/>
  <c r="AS38" i="115" s="1"/>
  <c r="AH20" i="115" l="1"/>
  <c r="Z21" i="115"/>
  <c r="AD21" i="115" s="1"/>
  <c r="Z22" i="115" s="1"/>
  <c r="AO39" i="115"/>
  <c r="AU38" i="115"/>
  <c r="AV38" i="115" s="1"/>
  <c r="AW38" i="115" s="1"/>
  <c r="AQ38" i="115"/>
  <c r="AD22" i="115" l="1"/>
  <c r="Z23" i="115" s="1"/>
  <c r="AB22" i="115"/>
  <c r="AF22" i="115"/>
  <c r="AG22" i="115" s="1"/>
  <c r="AH22" i="115" s="1"/>
  <c r="AB21" i="115"/>
  <c r="AF21" i="115"/>
  <c r="AG21" i="115" s="1"/>
  <c r="AH21" i="115" s="1"/>
  <c r="AU39" i="115"/>
  <c r="AV39" i="115" s="1"/>
  <c r="AW39" i="115" s="1"/>
  <c r="AQ39" i="115"/>
  <c r="AS39" i="115"/>
  <c r="AD23" i="115" l="1"/>
  <c r="Z24" i="115" s="1"/>
  <c r="AF23" i="115"/>
  <c r="AG23" i="115" s="1"/>
  <c r="AH23" i="115" s="1"/>
  <c r="AB23" i="115"/>
  <c r="AO40" i="115"/>
  <c r="AD24" i="115" l="1"/>
  <c r="Z25" i="115" s="1"/>
  <c r="AF24" i="115"/>
  <c r="AB24" i="115"/>
  <c r="AQ40" i="115"/>
  <c r="AU40" i="115"/>
  <c r="AV40" i="115" s="1"/>
  <c r="AW40" i="115" s="1"/>
  <c r="AS40" i="115"/>
  <c r="AG24" i="115" l="1"/>
  <c r="AD25" i="115"/>
  <c r="Z26" i="115" s="1"/>
  <c r="AB25" i="115"/>
  <c r="AF25" i="115"/>
  <c r="AG25" i="115" s="1"/>
  <c r="AO41" i="115"/>
  <c r="AD26" i="115" l="1"/>
  <c r="Z27" i="115" s="1"/>
  <c r="AB26" i="115"/>
  <c r="AF26" i="115"/>
  <c r="AH24" i="115"/>
  <c r="AH25" i="115" s="1"/>
  <c r="AU41" i="115"/>
  <c r="AV41" i="115" s="1"/>
  <c r="AW41" i="115" s="1"/>
  <c r="AQ41" i="115"/>
  <c r="AS41" i="115"/>
  <c r="AG26" i="115" l="1"/>
  <c r="AD27" i="115"/>
  <c r="Z28" i="115" s="1"/>
  <c r="AF27" i="115"/>
  <c r="AG27" i="115" s="1"/>
  <c r="AB27" i="115"/>
  <c r="AO42" i="115"/>
  <c r="AS42" i="115" s="1"/>
  <c r="AD28" i="115" l="1"/>
  <c r="Z29" i="115" s="1"/>
  <c r="AB28" i="115"/>
  <c r="AF28" i="115"/>
  <c r="AG28" i="115" s="1"/>
  <c r="AH26" i="115"/>
  <c r="AH27" i="115" s="1"/>
  <c r="AO43" i="115"/>
  <c r="AU42" i="115"/>
  <c r="AV42" i="115" s="1"/>
  <c r="AW42" i="115" s="1"/>
  <c r="AQ42" i="115"/>
  <c r="AH28" i="115" l="1"/>
  <c r="AD29" i="115"/>
  <c r="Z30" i="115" s="1"/>
  <c r="AB29" i="115"/>
  <c r="AF29" i="115"/>
  <c r="AU43" i="115"/>
  <c r="AV43" i="115" s="1"/>
  <c r="AW43" i="115" s="1"/>
  <c r="AQ43" i="115"/>
  <c r="AS43" i="115"/>
  <c r="AG29" i="115" l="1"/>
  <c r="AD30" i="115"/>
  <c r="Z31" i="115" s="1"/>
  <c r="AB30" i="115"/>
  <c r="AF30" i="115"/>
  <c r="AG30" i="115" s="1"/>
  <c r="AO44" i="115"/>
  <c r="AH29" i="115" l="1"/>
  <c r="AD31" i="115"/>
  <c r="AB31" i="115"/>
  <c r="AF31" i="115"/>
  <c r="AG31" i="115" s="1"/>
  <c r="AH30" i="115"/>
  <c r="AQ44" i="115"/>
  <c r="AU44" i="115"/>
  <c r="AV44" i="115" s="1"/>
  <c r="AW44" i="115" s="1"/>
  <c r="AS44" i="115"/>
  <c r="Z32" i="115" l="1"/>
  <c r="AD32" i="115" s="1"/>
  <c r="AH31" i="115"/>
  <c r="AO45" i="115"/>
  <c r="Z33" i="115" l="1"/>
  <c r="AD33" i="115" s="1"/>
  <c r="Z34" i="115" s="1"/>
  <c r="AB32" i="115"/>
  <c r="AF32" i="115"/>
  <c r="AG32" i="115" s="1"/>
  <c r="AU45" i="115"/>
  <c r="AV45" i="115" s="1"/>
  <c r="AW45" i="115" s="1"/>
  <c r="AQ45" i="115"/>
  <c r="AS45" i="115"/>
  <c r="AD34" i="115" l="1"/>
  <c r="Z35" i="115" s="1"/>
  <c r="AF34" i="115"/>
  <c r="AG34" i="115" s="1"/>
  <c r="AB34" i="115"/>
  <c r="AH32" i="115"/>
  <c r="AF33" i="115"/>
  <c r="AG33" i="115" s="1"/>
  <c r="AB33" i="115"/>
  <c r="AO46" i="115"/>
  <c r="AS46" i="115" s="1"/>
  <c r="AH33" i="115" l="1"/>
  <c r="AH34" i="115"/>
  <c r="AD35" i="115"/>
  <c r="Z36" i="115" s="1"/>
  <c r="AB35" i="115"/>
  <c r="AF35" i="115"/>
  <c r="AG35" i="115" s="1"/>
  <c r="AO47" i="115"/>
  <c r="AS47" i="115" s="1"/>
  <c r="AU46" i="115"/>
  <c r="AV46" i="115" s="1"/>
  <c r="AW46" i="115" s="1"/>
  <c r="AQ46" i="115"/>
  <c r="AH35" i="115" l="1"/>
  <c r="AD36" i="115"/>
  <c r="AF36" i="115"/>
  <c r="AG36" i="115" s="1"/>
  <c r="AB36" i="115"/>
  <c r="AO48" i="115"/>
  <c r="AU47" i="115"/>
  <c r="AV47" i="115" s="1"/>
  <c r="AW47" i="115" s="1"/>
  <c r="AQ47" i="115"/>
  <c r="AH36" i="115" l="1"/>
  <c r="Z37" i="115"/>
  <c r="AD37" i="115" s="1"/>
  <c r="AQ48" i="115"/>
  <c r="AU48" i="115"/>
  <c r="AV48" i="115" s="1"/>
  <c r="AW48" i="115" s="1"/>
  <c r="AS48" i="115"/>
  <c r="Z38" i="115" l="1"/>
  <c r="AD38" i="115" s="1"/>
  <c r="AB37" i="115"/>
  <c r="AF37" i="115"/>
  <c r="AG37" i="115" s="1"/>
  <c r="AH37" i="115" s="1"/>
  <c r="AO49" i="115"/>
  <c r="AB38" i="115" l="1"/>
  <c r="AB39" i="115" s="1"/>
  <c r="AF38" i="115"/>
  <c r="Z39" i="115"/>
  <c r="AU49" i="115"/>
  <c r="AV49" i="115" s="1"/>
  <c r="AW49" i="115" s="1"/>
  <c r="AQ49" i="115"/>
  <c r="AS49" i="115"/>
  <c r="AG38" i="115" l="1"/>
  <c r="AF39" i="115"/>
  <c r="AO50" i="115"/>
  <c r="AS50" i="115" s="1"/>
  <c r="AG39" i="115" l="1"/>
  <c r="AH38" i="115"/>
  <c r="AU50" i="115"/>
  <c r="AQ50" i="115"/>
  <c r="AQ51" i="115" s="1"/>
  <c r="AO51" i="115"/>
  <c r="AU51" i="115" l="1"/>
  <c r="AV50" i="115"/>
  <c r="AV51" i="115" l="1"/>
  <c r="AW50" i="115"/>
  <c r="BE43" i="1" l="1"/>
  <c r="BE39" i="1"/>
  <c r="BE38" i="1"/>
  <c r="BE33" i="1"/>
  <c r="BE27" i="1"/>
  <c r="BE22" i="1"/>
  <c r="AM43" i="1"/>
  <c r="AM39" i="1"/>
  <c r="AM38" i="1"/>
  <c r="AM33" i="1"/>
  <c r="AM27" i="1"/>
  <c r="AM22" i="1"/>
  <c r="E15" i="91"/>
  <c r="D15" i="91"/>
  <c r="I4" i="114"/>
  <c r="J4" i="114"/>
  <c r="K4" i="114"/>
  <c r="M4" i="114" s="1"/>
  <c r="H1" i="114" s="1"/>
  <c r="K8" i="114" s="1"/>
  <c r="K27" i="114" s="1"/>
  <c r="L4" i="114"/>
  <c r="L8" i="114"/>
  <c r="L12" i="114" s="1"/>
  <c r="M12" i="114" s="1"/>
  <c r="G11" i="114"/>
  <c r="J11" i="114"/>
  <c r="K11" i="114" s="1"/>
  <c r="J12" i="114"/>
  <c r="K12" i="114" s="1"/>
  <c r="J13" i="114"/>
  <c r="K13" i="114" s="1"/>
  <c r="J14" i="114"/>
  <c r="K14" i="114" s="1"/>
  <c r="J15" i="114"/>
  <c r="K15" i="114" s="1"/>
  <c r="J16" i="114"/>
  <c r="K16" i="114" s="1"/>
  <c r="J17" i="114"/>
  <c r="K17" i="114" s="1"/>
  <c r="J18" i="114"/>
  <c r="K18" i="114" s="1"/>
  <c r="L18" i="114"/>
  <c r="J19" i="114"/>
  <c r="K19" i="114" s="1"/>
  <c r="J20" i="114"/>
  <c r="K20" i="114" s="1"/>
  <c r="L20" i="114"/>
  <c r="J21" i="114"/>
  <c r="K21" i="114" s="1"/>
  <c r="J22" i="114"/>
  <c r="K22" i="114" s="1"/>
  <c r="L22" i="114"/>
  <c r="J23" i="114"/>
  <c r="K23" i="114" s="1"/>
  <c r="J24" i="114"/>
  <c r="K24" i="114" s="1"/>
  <c r="L24" i="114"/>
  <c r="M24" i="114" s="1"/>
  <c r="J25" i="114"/>
  <c r="K25" i="114" s="1"/>
  <c r="G26" i="114"/>
  <c r="G28" i="114" s="1"/>
  <c r="J27" i="114"/>
  <c r="E28" i="114"/>
  <c r="F28" i="114"/>
  <c r="F32" i="114" s="1"/>
  <c r="H28" i="114"/>
  <c r="H32" i="114" s="1"/>
  <c r="I28" i="114"/>
  <c r="G29" i="114"/>
  <c r="J29" i="114" s="1"/>
  <c r="G30" i="114"/>
  <c r="J30" i="114"/>
  <c r="K30" i="114" s="1"/>
  <c r="L30" i="114"/>
  <c r="M30" i="114" s="1"/>
  <c r="E31" i="114"/>
  <c r="F31" i="114"/>
  <c r="J31" i="114"/>
  <c r="E32" i="114"/>
  <c r="I32" i="114"/>
  <c r="F35" i="114"/>
  <c r="J35" i="114"/>
  <c r="K35" i="114" s="1"/>
  <c r="J36" i="114"/>
  <c r="K36" i="114" s="1"/>
  <c r="L36" i="114"/>
  <c r="M36" i="114" s="1"/>
  <c r="J37" i="114"/>
  <c r="K37" i="114" s="1"/>
  <c r="J38" i="114"/>
  <c r="K38" i="114" s="1"/>
  <c r="L38" i="114"/>
  <c r="M38" i="114" s="1"/>
  <c r="J39" i="114"/>
  <c r="K39" i="114" s="1"/>
  <c r="J40" i="114"/>
  <c r="K40" i="114" s="1"/>
  <c r="L40" i="114"/>
  <c r="M40" i="114" s="1"/>
  <c r="J41" i="114"/>
  <c r="K41" i="114" s="1"/>
  <c r="J42" i="114"/>
  <c r="L42" i="114"/>
  <c r="J43" i="114"/>
  <c r="K43" i="114" s="1"/>
  <c r="J44" i="114"/>
  <c r="K44" i="114" s="1"/>
  <c r="L44" i="114"/>
  <c r="M44" i="114" s="1"/>
  <c r="U44" i="114"/>
  <c r="J45" i="114"/>
  <c r="K45" i="114"/>
  <c r="J46" i="114"/>
  <c r="L46" i="114" s="1"/>
  <c r="K46" i="114"/>
  <c r="J47" i="114"/>
  <c r="K47" i="114"/>
  <c r="J48" i="114"/>
  <c r="L48" i="114" s="1"/>
  <c r="K48" i="114"/>
  <c r="V48" i="114"/>
  <c r="J49" i="114"/>
  <c r="V49" i="114"/>
  <c r="V52" i="114" s="1"/>
  <c r="H112" i="114" s="1"/>
  <c r="H121" i="114" s="1"/>
  <c r="H123" i="114" s="1"/>
  <c r="J50" i="114"/>
  <c r="V50" i="114"/>
  <c r="J51" i="114"/>
  <c r="K51" i="114" s="1"/>
  <c r="L51" i="114"/>
  <c r="M51" i="114" s="1"/>
  <c r="V51" i="114"/>
  <c r="J52" i="114"/>
  <c r="K52" i="114"/>
  <c r="J53" i="114"/>
  <c r="J54" i="114"/>
  <c r="E55" i="114"/>
  <c r="F55" i="114"/>
  <c r="G55" i="114"/>
  <c r="H55" i="114"/>
  <c r="I55" i="114"/>
  <c r="F59" i="114"/>
  <c r="J59" i="114"/>
  <c r="K59" i="114" s="1"/>
  <c r="J60" i="114"/>
  <c r="K60" i="114" s="1"/>
  <c r="L60" i="114"/>
  <c r="M60" i="114" s="1"/>
  <c r="J61" i="114"/>
  <c r="K61" i="114" s="1"/>
  <c r="F62" i="114"/>
  <c r="J62" i="114" s="1"/>
  <c r="K62" i="114"/>
  <c r="F63" i="114"/>
  <c r="J63" i="114"/>
  <c r="F64" i="114"/>
  <c r="F65" i="114"/>
  <c r="J65" i="114"/>
  <c r="K65" i="114" s="1"/>
  <c r="L65" i="114"/>
  <c r="M65" i="114" s="1"/>
  <c r="F66" i="114"/>
  <c r="J66" i="114" s="1"/>
  <c r="L66" i="114" s="1"/>
  <c r="F67" i="114"/>
  <c r="J67" i="114"/>
  <c r="F68" i="114"/>
  <c r="J68" i="114" s="1"/>
  <c r="J69" i="114"/>
  <c r="E70" i="114"/>
  <c r="G70" i="114"/>
  <c r="H70" i="114"/>
  <c r="H83" i="114" s="1"/>
  <c r="I70" i="114"/>
  <c r="F72" i="114"/>
  <c r="J72" i="114" s="1"/>
  <c r="K72" i="114"/>
  <c r="F73" i="114"/>
  <c r="J73" i="114"/>
  <c r="J74" i="114"/>
  <c r="F75" i="114"/>
  <c r="J75" i="114" s="1"/>
  <c r="F76" i="114"/>
  <c r="J76" i="114"/>
  <c r="K76" i="114" s="1"/>
  <c r="F77" i="114"/>
  <c r="J77" i="114" s="1"/>
  <c r="L77" i="114" s="1"/>
  <c r="K77" i="114"/>
  <c r="F78" i="114"/>
  <c r="J78" i="114"/>
  <c r="F79" i="114"/>
  <c r="J79" i="114" s="1"/>
  <c r="F80" i="114"/>
  <c r="J80" i="114"/>
  <c r="K80" i="114" s="1"/>
  <c r="L80" i="114"/>
  <c r="M80" i="114" s="1"/>
  <c r="E81" i="114"/>
  <c r="E83" i="114" s="1"/>
  <c r="G81" i="114"/>
  <c r="G83" i="114" s="1"/>
  <c r="H81" i="114"/>
  <c r="I81" i="114"/>
  <c r="I83" i="114" s="1"/>
  <c r="M84" i="114"/>
  <c r="M85" i="114"/>
  <c r="F86" i="114"/>
  <c r="J86" i="114" s="1"/>
  <c r="K86" i="114"/>
  <c r="F87" i="114"/>
  <c r="J87" i="114"/>
  <c r="F88" i="114"/>
  <c r="J88" i="114" s="1"/>
  <c r="J89" i="114"/>
  <c r="L89" i="114" s="1"/>
  <c r="F90" i="114"/>
  <c r="J90" i="114"/>
  <c r="K90" i="114" s="1"/>
  <c r="L90" i="114"/>
  <c r="M90" i="114" s="1"/>
  <c r="E91" i="114"/>
  <c r="G91" i="114"/>
  <c r="H91" i="114"/>
  <c r="I91" i="114"/>
  <c r="J94" i="114"/>
  <c r="K94" i="114"/>
  <c r="F95" i="114"/>
  <c r="I95" i="114"/>
  <c r="F96" i="114"/>
  <c r="J96" i="114"/>
  <c r="K96" i="114" s="1"/>
  <c r="L96" i="114"/>
  <c r="M96" i="114" s="1"/>
  <c r="F97" i="114"/>
  <c r="J97" i="114" s="1"/>
  <c r="K97" i="114"/>
  <c r="E98" i="114"/>
  <c r="F98" i="114"/>
  <c r="G98" i="114"/>
  <c r="H98" i="114"/>
  <c r="J101" i="114"/>
  <c r="J102" i="114"/>
  <c r="J103" i="114"/>
  <c r="J104" i="114"/>
  <c r="E105" i="114"/>
  <c r="E107" i="114" s="1"/>
  <c r="E123" i="114" s="1"/>
  <c r="F105" i="114"/>
  <c r="G105" i="114"/>
  <c r="H105" i="114"/>
  <c r="I105" i="114"/>
  <c r="H107" i="114"/>
  <c r="F109" i="114"/>
  <c r="J109" i="114" s="1"/>
  <c r="H109" i="114"/>
  <c r="F110" i="114"/>
  <c r="J110" i="114"/>
  <c r="L110" i="114" s="1"/>
  <c r="M110" i="114" s="1"/>
  <c r="K110" i="114"/>
  <c r="H111" i="114"/>
  <c r="J111" i="114"/>
  <c r="K111" i="114" s="1"/>
  <c r="F112" i="114"/>
  <c r="J112" i="114" s="1"/>
  <c r="J113" i="114"/>
  <c r="K113" i="114"/>
  <c r="L113" i="114"/>
  <c r="M113" i="114" s="1"/>
  <c r="F114" i="114"/>
  <c r="J114" i="114"/>
  <c r="L114" i="114" s="1"/>
  <c r="M114" i="114" s="1"/>
  <c r="K114" i="114"/>
  <c r="F115" i="114"/>
  <c r="J115" i="114" s="1"/>
  <c r="H115" i="114"/>
  <c r="J116" i="114"/>
  <c r="K116" i="114" s="1"/>
  <c r="M116" i="114" s="1"/>
  <c r="L116" i="114"/>
  <c r="F117" i="114"/>
  <c r="J117" i="114" s="1"/>
  <c r="F118" i="114"/>
  <c r="J118" i="114"/>
  <c r="L118" i="114" s="1"/>
  <c r="M118" i="114" s="1"/>
  <c r="K118" i="114"/>
  <c r="F119" i="114"/>
  <c r="J119" i="114"/>
  <c r="K119" i="114" s="1"/>
  <c r="F120" i="114"/>
  <c r="J120" i="114" s="1"/>
  <c r="E121" i="114"/>
  <c r="G121" i="114"/>
  <c r="I121" i="114"/>
  <c r="L112" i="114" l="1"/>
  <c r="M112" i="114" s="1"/>
  <c r="K112" i="114"/>
  <c r="L117" i="114"/>
  <c r="K117" i="114"/>
  <c r="L115" i="114"/>
  <c r="K115" i="114"/>
  <c r="K120" i="114"/>
  <c r="L120" i="114"/>
  <c r="K109" i="114"/>
  <c r="J121" i="114"/>
  <c r="L109" i="114"/>
  <c r="M77" i="114"/>
  <c r="K67" i="114"/>
  <c r="L67" i="114"/>
  <c r="M67" i="114" s="1"/>
  <c r="J64" i="114"/>
  <c r="F70" i="114"/>
  <c r="M46" i="114"/>
  <c r="F121" i="114"/>
  <c r="L119" i="114"/>
  <c r="M119" i="114" s="1"/>
  <c r="L111" i="114"/>
  <c r="M111" i="114" s="1"/>
  <c r="K103" i="114"/>
  <c r="L103" i="114"/>
  <c r="M103" i="114" s="1"/>
  <c r="K78" i="114"/>
  <c r="L78" i="114"/>
  <c r="M78" i="114" s="1"/>
  <c r="L76" i="114"/>
  <c r="M76" i="114" s="1"/>
  <c r="K75" i="114"/>
  <c r="L75" i="114"/>
  <c r="M75" i="114" s="1"/>
  <c r="L69" i="114"/>
  <c r="M69" i="114" s="1"/>
  <c r="K63" i="114"/>
  <c r="L63" i="114"/>
  <c r="L61" i="114"/>
  <c r="M61" i="114" s="1"/>
  <c r="L59" i="114"/>
  <c r="L52" i="114"/>
  <c r="M52" i="114" s="1"/>
  <c r="K49" i="114"/>
  <c r="L49" i="114"/>
  <c r="M49" i="114" s="1"/>
  <c r="J55" i="114"/>
  <c r="L25" i="114"/>
  <c r="M25" i="114" s="1"/>
  <c r="L23" i="114"/>
  <c r="M23" i="114" s="1"/>
  <c r="L21" i="114"/>
  <c r="M21" i="114" s="1"/>
  <c r="L19" i="114"/>
  <c r="M19" i="114" s="1"/>
  <c r="L17" i="114"/>
  <c r="M17" i="114" s="1"/>
  <c r="L15" i="114"/>
  <c r="M15" i="114" s="1"/>
  <c r="L13" i="114"/>
  <c r="M13" i="114" s="1"/>
  <c r="L11" i="114"/>
  <c r="K87" i="114"/>
  <c r="K91" i="114" s="1"/>
  <c r="L87" i="114"/>
  <c r="K104" i="114"/>
  <c r="L104" i="114"/>
  <c r="M104" i="114" s="1"/>
  <c r="K79" i="114"/>
  <c r="L79" i="114"/>
  <c r="L62" i="114"/>
  <c r="M62" i="114" s="1"/>
  <c r="K102" i="114"/>
  <c r="L102" i="114"/>
  <c r="L97" i="114"/>
  <c r="M97" i="114" s="1"/>
  <c r="K88" i="114"/>
  <c r="L88" i="114"/>
  <c r="M88" i="114" s="1"/>
  <c r="L86" i="114"/>
  <c r="J91" i="114"/>
  <c r="K74" i="114"/>
  <c r="L74" i="114"/>
  <c r="M74" i="114" s="1"/>
  <c r="L72" i="114"/>
  <c r="J81" i="114"/>
  <c r="K66" i="114"/>
  <c r="M66" i="114" s="1"/>
  <c r="K54" i="114"/>
  <c r="L54" i="114"/>
  <c r="M54" i="114" s="1"/>
  <c r="L47" i="114"/>
  <c r="M47" i="114" s="1"/>
  <c r="L45" i="114"/>
  <c r="M45" i="114" s="1"/>
  <c r="L43" i="114"/>
  <c r="M43" i="114" s="1"/>
  <c r="L41" i="114"/>
  <c r="M41" i="114" s="1"/>
  <c r="L39" i="114"/>
  <c r="M39" i="114" s="1"/>
  <c r="L37" i="114"/>
  <c r="M37" i="114" s="1"/>
  <c r="L35" i="114"/>
  <c r="L27" i="114"/>
  <c r="M27" i="114" s="1"/>
  <c r="K50" i="114"/>
  <c r="K69" i="114"/>
  <c r="K89" i="114"/>
  <c r="M89" i="114" s="1"/>
  <c r="J95" i="114"/>
  <c r="I98" i="114"/>
  <c r="I107" i="114" s="1"/>
  <c r="I123" i="114" s="1"/>
  <c r="K73" i="114"/>
  <c r="L73" i="114"/>
  <c r="M73" i="114" s="1"/>
  <c r="K68" i="114"/>
  <c r="L68" i="114"/>
  <c r="M68" i="114" s="1"/>
  <c r="K53" i="114"/>
  <c r="L53" i="114"/>
  <c r="M53" i="114" s="1"/>
  <c r="K29" i="114"/>
  <c r="L29" i="114"/>
  <c r="M29" i="114" s="1"/>
  <c r="M22" i="114"/>
  <c r="M20" i="114"/>
  <c r="M18" i="114"/>
  <c r="L16" i="114"/>
  <c r="M16" i="114" s="1"/>
  <c r="L14" i="114"/>
  <c r="M14" i="114" s="1"/>
  <c r="K101" i="114"/>
  <c r="K105" i="114" s="1"/>
  <c r="J105" i="114"/>
  <c r="L101" i="114"/>
  <c r="M48" i="114"/>
  <c r="K31" i="114"/>
  <c r="L31" i="114"/>
  <c r="M31" i="114" s="1"/>
  <c r="G32" i="114"/>
  <c r="G107" i="114" s="1"/>
  <c r="G123" i="114" s="1"/>
  <c r="L94" i="114"/>
  <c r="L50" i="114"/>
  <c r="F91" i="114"/>
  <c r="F81" i="114"/>
  <c r="K42" i="114"/>
  <c r="K55" i="114" s="1"/>
  <c r="J26" i="114"/>
  <c r="M94" i="114" l="1"/>
  <c r="M42" i="114"/>
  <c r="K64" i="114"/>
  <c r="K70" i="114" s="1"/>
  <c r="L64" i="114"/>
  <c r="M64" i="114" s="1"/>
  <c r="K95" i="114"/>
  <c r="K98" i="114" s="1"/>
  <c r="L95" i="114"/>
  <c r="M95" i="114" s="1"/>
  <c r="J98" i="114"/>
  <c r="M59" i="114"/>
  <c r="L70" i="114"/>
  <c r="L83" i="114" s="1"/>
  <c r="M101" i="114"/>
  <c r="M105" i="114" s="1"/>
  <c r="L105" i="114"/>
  <c r="K121" i="114"/>
  <c r="M115" i="114"/>
  <c r="L121" i="114"/>
  <c r="M109" i="114"/>
  <c r="J70" i="114"/>
  <c r="J83" i="114" s="1"/>
  <c r="J107" i="114" s="1"/>
  <c r="J123" i="114" s="1"/>
  <c r="J129" i="114" s="1"/>
  <c r="M11" i="114"/>
  <c r="M117" i="114"/>
  <c r="L26" i="114"/>
  <c r="J28" i="114"/>
  <c r="J32" i="114" s="1"/>
  <c r="K26" i="114"/>
  <c r="K28" i="114" s="1"/>
  <c r="K32" i="114" s="1"/>
  <c r="M50" i="114"/>
  <c r="K81" i="114"/>
  <c r="M35" i="114"/>
  <c r="L55" i="114"/>
  <c r="L81" i="114"/>
  <c r="M72" i="114"/>
  <c r="L91" i="114"/>
  <c r="M86" i="114"/>
  <c r="M91" i="114" s="1"/>
  <c r="M102" i="114"/>
  <c r="M79" i="114"/>
  <c r="M87" i="114"/>
  <c r="M63" i="114"/>
  <c r="F83" i="114"/>
  <c r="F107" i="114" s="1"/>
  <c r="F123" i="114" s="1"/>
  <c r="M120" i="114"/>
  <c r="M55" i="114" l="1"/>
  <c r="M98" i="114"/>
  <c r="L98" i="114"/>
  <c r="M81" i="114"/>
  <c r="M121" i="114"/>
  <c r="M70" i="114"/>
  <c r="M26" i="114"/>
  <c r="M28" i="114" s="1"/>
  <c r="M32" i="114" s="1"/>
  <c r="L28" i="114"/>
  <c r="L32" i="114" s="1"/>
  <c r="L107" i="114" s="1"/>
  <c r="L123" i="114" s="1"/>
  <c r="K83" i="114"/>
  <c r="K107" i="114" s="1"/>
  <c r="K123" i="114" s="1"/>
  <c r="M83" i="114" l="1"/>
  <c r="M107" i="114" s="1"/>
  <c r="M123" i="114" s="1"/>
  <c r="K126" i="114" l="1"/>
  <c r="K125" i="114" s="1"/>
  <c r="K127" i="114" s="1"/>
  <c r="M126" i="114"/>
  <c r="AL43" i="1" l="1"/>
  <c r="B33" i="113"/>
  <c r="AA31" i="113"/>
  <c r="Z31" i="113"/>
  <c r="Z35" i="113" s="1"/>
  <c r="I30" i="113"/>
  <c r="B30" i="113"/>
  <c r="B29" i="113"/>
  <c r="B28" i="113"/>
  <c r="Z26" i="113"/>
  <c r="I25" i="113"/>
  <c r="I35" i="113" s="1"/>
  <c r="B25" i="113"/>
  <c r="Z24" i="113"/>
  <c r="B24" i="113"/>
  <c r="B23" i="113"/>
  <c r="AA22" i="113"/>
  <c r="AA26" i="113" s="1"/>
  <c r="AA28" i="113" s="1"/>
  <c r="K7" i="113" s="1"/>
  <c r="K9" i="113" s="1"/>
  <c r="AA16" i="113"/>
  <c r="AA20" i="113" s="1"/>
  <c r="Z16" i="113"/>
  <c r="Z20" i="113" s="1"/>
  <c r="Z11" i="113"/>
  <c r="Z9" i="113"/>
  <c r="Q9" i="113"/>
  <c r="Q33" i="113" s="1"/>
  <c r="Q35" i="113" s="1"/>
  <c r="O9" i="113"/>
  <c r="O30" i="113" s="1"/>
  <c r="I9" i="113"/>
  <c r="S8" i="113"/>
  <c r="AA7" i="113"/>
  <c r="G7" i="113"/>
  <c r="G9" i="113" s="1"/>
  <c r="AA6" i="113"/>
  <c r="AA4" i="113"/>
  <c r="AA11" i="113" s="1"/>
  <c r="AA13" i="113" s="1"/>
  <c r="C7" i="113" s="1"/>
  <c r="AK43" i="1"/>
  <c r="AI43" i="1"/>
  <c r="AH39" i="1"/>
  <c r="AG43" i="1"/>
  <c r="G15" i="113" l="1"/>
  <c r="G20" i="113"/>
  <c r="G35" i="113" s="1"/>
  <c r="Z37" i="113"/>
  <c r="C9" i="113"/>
  <c r="K15" i="113"/>
  <c r="K35" i="113"/>
  <c r="K25" i="113"/>
  <c r="AA35" i="113"/>
  <c r="AA37" i="113" s="1"/>
  <c r="AA18" i="113"/>
  <c r="E7" i="113" s="1"/>
  <c r="E9" i="113" s="1"/>
  <c r="O20" i="113"/>
  <c r="O35" i="113" s="1"/>
  <c r="AA24" i="113"/>
  <c r="AA33" i="113"/>
  <c r="M7" i="113" s="1"/>
  <c r="M9" i="113" s="1"/>
  <c r="AA9" i="113"/>
  <c r="BB43" i="1"/>
  <c r="BB39" i="1"/>
  <c r="BB38" i="1"/>
  <c r="BB33" i="1"/>
  <c r="BB27" i="1"/>
  <c r="BB22" i="1"/>
  <c r="AF45" i="1"/>
  <c r="AF39" i="1"/>
  <c r="AF38" i="1"/>
  <c r="AF43" i="1"/>
  <c r="AD27" i="1"/>
  <c r="AF27" i="1"/>
  <c r="AF33" i="1"/>
  <c r="AF22" i="1"/>
  <c r="AL60" i="112"/>
  <c r="AL51" i="112"/>
  <c r="AL47" i="112"/>
  <c r="AL45" i="112"/>
  <c r="Y43" i="112"/>
  <c r="BA41" i="112"/>
  <c r="AZ41" i="112" s="1"/>
  <c r="AW41" i="112"/>
  <c r="AS41" i="112"/>
  <c r="AR41" i="112" s="1"/>
  <c r="AO41" i="112"/>
  <c r="AL41" i="112"/>
  <c r="AI41" i="112"/>
  <c r="AA39" i="112"/>
  <c r="AI37" i="112"/>
  <c r="AA35" i="112"/>
  <c r="AI33" i="112"/>
  <c r="AT32" i="112"/>
  <c r="AT33" i="112" s="1"/>
  <c r="BB30" i="112"/>
  <c r="AX30" i="112"/>
  <c r="AT30" i="112"/>
  <c r="AP30" i="112"/>
  <c r="AI30" i="112"/>
  <c r="BC29" i="112"/>
  <c r="BC30" i="112" s="1"/>
  <c r="AL29" i="112"/>
  <c r="AL65" i="112" s="1"/>
  <c r="M29" i="112"/>
  <c r="Q29" i="112" s="1"/>
  <c r="BC28" i="112"/>
  <c r="AY28" i="112"/>
  <c r="AL28" i="112"/>
  <c r="AT27" i="112"/>
  <c r="AW26" i="112"/>
  <c r="AA26" i="112"/>
  <c r="BA25" i="112"/>
  <c r="AW25" i="112"/>
  <c r="AS25" i="112"/>
  <c r="AO25" i="112"/>
  <c r="AA25" i="112"/>
  <c r="N25" i="112"/>
  <c r="M25" i="112"/>
  <c r="Q25" i="112" s="1"/>
  <c r="BB23" i="112"/>
  <c r="BA23" i="112"/>
  <c r="BA26" i="112" s="1"/>
  <c r="BB27" i="112" s="1"/>
  <c r="BB32" i="112" s="1"/>
  <c r="AX23" i="112"/>
  <c r="AW23" i="112"/>
  <c r="AT23" i="112"/>
  <c r="AS23" i="112"/>
  <c r="AS26" i="112" s="1"/>
  <c r="AS38" i="112" s="1"/>
  <c r="AP23" i="112"/>
  <c r="AO23" i="112"/>
  <c r="AL23" i="112"/>
  <c r="AL26" i="112" s="1"/>
  <c r="AH23" i="112"/>
  <c r="AI32" i="112" s="1"/>
  <c r="AI34" i="112" s="1"/>
  <c r="AI43" i="112" s="1"/>
  <c r="AE23" i="112"/>
  <c r="AD23" i="112"/>
  <c r="AB23" i="112"/>
  <c r="AA23" i="112"/>
  <c r="AZ21" i="112"/>
  <c r="AV21" i="112"/>
  <c r="AR21" i="112"/>
  <c r="AN21" i="112"/>
  <c r="AJ21" i="112"/>
  <c r="AZ19" i="112"/>
  <c r="AV19" i="112"/>
  <c r="AR19" i="112"/>
  <c r="AN19" i="112"/>
  <c r="AJ19" i="112"/>
  <c r="AZ17" i="112"/>
  <c r="AV17" i="112"/>
  <c r="AR17" i="112"/>
  <c r="AN17" i="112"/>
  <c r="AJ17" i="112"/>
  <c r="N17" i="112"/>
  <c r="AZ15" i="112"/>
  <c r="AV15" i="112"/>
  <c r="AR15" i="112"/>
  <c r="AN15" i="112"/>
  <c r="AJ15" i="112"/>
  <c r="AZ13" i="112"/>
  <c r="AV13" i="112"/>
  <c r="AR13" i="112"/>
  <c r="AN13" i="112"/>
  <c r="AJ13" i="112"/>
  <c r="N13" i="112"/>
  <c r="M13" i="112"/>
  <c r="M32" i="112" s="1"/>
  <c r="Q32" i="112" s="1"/>
  <c r="AZ11" i="112"/>
  <c r="AV11" i="112"/>
  <c r="AR11" i="112"/>
  <c r="AN11" i="112"/>
  <c r="AJ11" i="112"/>
  <c r="M8" i="112"/>
  <c r="AJ5" i="112"/>
  <c r="AT4" i="112"/>
  <c r="AS4" i="112"/>
  <c r="AT2" i="112"/>
  <c r="F9" i="111"/>
  <c r="G8" i="111"/>
  <c r="I7" i="111"/>
  <c r="H7" i="111"/>
  <c r="N7" i="111" s="1"/>
  <c r="G7" i="111"/>
  <c r="L7" i="111" s="1"/>
  <c r="G6" i="111"/>
  <c r="I5" i="111"/>
  <c r="H5" i="111"/>
  <c r="N5" i="111" s="1"/>
  <c r="G5" i="111"/>
  <c r="L5" i="111" s="1"/>
  <c r="H15" i="110"/>
  <c r="I15" i="110" s="1"/>
  <c r="J15" i="110" s="1"/>
  <c r="M15" i="110" s="1"/>
  <c r="H14" i="110"/>
  <c r="I14" i="110" s="1"/>
  <c r="J14" i="110" s="1"/>
  <c r="K14" i="110" s="1"/>
  <c r="I13" i="110"/>
  <c r="J13" i="110" s="1"/>
  <c r="H13" i="110"/>
  <c r="J12" i="110"/>
  <c r="I12" i="110"/>
  <c r="H12" i="110"/>
  <c r="K11" i="110"/>
  <c r="H11" i="110"/>
  <c r="I11" i="110" s="1"/>
  <c r="J11" i="110" s="1"/>
  <c r="M11" i="110" s="1"/>
  <c r="H10" i="110"/>
  <c r="I10" i="110" s="1"/>
  <c r="J10" i="110" s="1"/>
  <c r="K10" i="110" s="1"/>
  <c r="I9" i="110"/>
  <c r="J9" i="110" s="1"/>
  <c r="H9" i="110"/>
  <c r="J8" i="110"/>
  <c r="I8" i="110"/>
  <c r="H8" i="110"/>
  <c r="H7" i="110"/>
  <c r="I7" i="110" s="1"/>
  <c r="J7" i="110" s="1"/>
  <c r="M7" i="110" s="1"/>
  <c r="H6" i="110"/>
  <c r="I6" i="110" s="1"/>
  <c r="J6" i="110" s="1"/>
  <c r="K6" i="110" s="1"/>
  <c r="I5" i="110"/>
  <c r="J5" i="110" s="1"/>
  <c r="H5" i="110"/>
  <c r="E23" i="109"/>
  <c r="G22" i="109"/>
  <c r="F22" i="109"/>
  <c r="E22" i="109"/>
  <c r="D22" i="109"/>
  <c r="C22" i="109"/>
  <c r="B22" i="109"/>
  <c r="F21" i="109"/>
  <c r="B21" i="109"/>
  <c r="G19" i="109"/>
  <c r="F19" i="109"/>
  <c r="E19" i="109"/>
  <c r="D19" i="109"/>
  <c r="C19" i="109"/>
  <c r="B19" i="109"/>
  <c r="J17" i="109"/>
  <c r="J19" i="109" s="1"/>
  <c r="I17" i="109"/>
  <c r="I19" i="109" s="1"/>
  <c r="J14" i="109"/>
  <c r="G14" i="109"/>
  <c r="G21" i="109" s="1"/>
  <c r="F14" i="109"/>
  <c r="E14" i="109"/>
  <c r="E21" i="109" s="1"/>
  <c r="D14" i="109"/>
  <c r="D21" i="109" s="1"/>
  <c r="C14" i="109"/>
  <c r="C21" i="109" s="1"/>
  <c r="B14" i="109"/>
  <c r="G12" i="109"/>
  <c r="G23" i="109" s="1"/>
  <c r="F12" i="109"/>
  <c r="F23" i="109" s="1"/>
  <c r="E12" i="109"/>
  <c r="D12" i="109"/>
  <c r="D23" i="109" s="1"/>
  <c r="C12" i="109"/>
  <c r="C23" i="109" s="1"/>
  <c r="B12" i="109"/>
  <c r="B23" i="109" s="1"/>
  <c r="H11" i="109"/>
  <c r="I10" i="109"/>
  <c r="I12" i="109" s="1"/>
  <c r="I33" i="109" s="1"/>
  <c r="H10" i="109"/>
  <c r="H9" i="109"/>
  <c r="H8" i="109"/>
  <c r="S6" i="109"/>
  <c r="Q6" i="109"/>
  <c r="S5" i="109"/>
  <c r="S4" i="109"/>
  <c r="J10" i="109" s="1"/>
  <c r="K42" i="108"/>
  <c r="I42" i="108"/>
  <c r="O41" i="108" s="1"/>
  <c r="O51" i="108" s="1"/>
  <c r="P41" i="108"/>
  <c r="P51" i="108" s="1"/>
  <c r="F35" i="108"/>
  <c r="E35" i="108"/>
  <c r="J34" i="108"/>
  <c r="G34" i="108"/>
  <c r="F34" i="108"/>
  <c r="E34" i="108"/>
  <c r="G29" i="108"/>
  <c r="H29" i="108" s="1"/>
  <c r="I29" i="108" s="1"/>
  <c r="F29" i="108"/>
  <c r="E29" i="108"/>
  <c r="F28" i="108"/>
  <c r="E28" i="108"/>
  <c r="F27" i="108"/>
  <c r="F30" i="108" s="1"/>
  <c r="E27" i="108"/>
  <c r="E30" i="108" s="1"/>
  <c r="J23" i="108"/>
  <c r="F23" i="108"/>
  <c r="J22" i="108"/>
  <c r="K22" i="108" s="1"/>
  <c r="H22" i="108"/>
  <c r="F22" i="108"/>
  <c r="E22" i="108"/>
  <c r="I22" i="108" s="1"/>
  <c r="J21" i="108"/>
  <c r="K21" i="108" s="1"/>
  <c r="H21" i="108"/>
  <c r="H23" i="108" s="1"/>
  <c r="F21" i="108"/>
  <c r="E21" i="108"/>
  <c r="E23" i="108" s="1"/>
  <c r="W17" i="108"/>
  <c r="V17" i="108"/>
  <c r="Z16" i="108"/>
  <c r="J35" i="108" s="1"/>
  <c r="Y16" i="108"/>
  <c r="H35" i="108" s="1"/>
  <c r="X16" i="108"/>
  <c r="G35" i="108" s="1"/>
  <c r="X15" i="108"/>
  <c r="Y14" i="108"/>
  <c r="Z14" i="108" s="1"/>
  <c r="J29" i="108" s="1"/>
  <c r="K29" i="108" s="1"/>
  <c r="X14" i="108"/>
  <c r="X13" i="108"/>
  <c r="G28" i="108" s="1"/>
  <c r="Y12" i="108"/>
  <c r="H27" i="108" s="1"/>
  <c r="X12" i="108"/>
  <c r="G27" i="108" s="1"/>
  <c r="AG11" i="108"/>
  <c r="AF11" i="108"/>
  <c r="AE11" i="108"/>
  <c r="X11" i="108"/>
  <c r="G22" i="108" s="1"/>
  <c r="X10" i="108"/>
  <c r="G21" i="108" s="1"/>
  <c r="G23" i="108" s="1"/>
  <c r="AS8" i="108"/>
  <c r="AR8" i="108"/>
  <c r="AR9" i="108" s="1"/>
  <c r="D25" i="108" s="1"/>
  <c r="AQ8" i="108"/>
  <c r="AP8" i="108"/>
  <c r="AT7" i="108"/>
  <c r="AT8" i="108" s="1"/>
  <c r="AE43" i="1"/>
  <c r="D63" i="107"/>
  <c r="D62" i="107"/>
  <c r="D58" i="107"/>
  <c r="E45" i="107"/>
  <c r="D45" i="107"/>
  <c r="M43" i="107"/>
  <c r="E43" i="107"/>
  <c r="A43" i="107"/>
  <c r="F43" i="107" s="1"/>
  <c r="E42" i="107"/>
  <c r="A42" i="107"/>
  <c r="E41" i="107"/>
  <c r="A41" i="107"/>
  <c r="L41" i="107" s="1"/>
  <c r="M41" i="107" s="1"/>
  <c r="E40" i="107"/>
  <c r="A40" i="107"/>
  <c r="E39" i="107"/>
  <c r="A39" i="107"/>
  <c r="L39" i="107" s="1"/>
  <c r="M39" i="107" s="1"/>
  <c r="E38" i="107"/>
  <c r="A38" i="107"/>
  <c r="E37" i="107"/>
  <c r="A37" i="107"/>
  <c r="L37" i="107" s="1"/>
  <c r="M37" i="107" s="1"/>
  <c r="E36" i="107"/>
  <c r="A36" i="107"/>
  <c r="A35" i="107"/>
  <c r="E34" i="107"/>
  <c r="A34" i="107"/>
  <c r="E33" i="107"/>
  <c r="A33" i="107"/>
  <c r="E32" i="107"/>
  <c r="A32" i="107"/>
  <c r="E31" i="107"/>
  <c r="A31" i="107"/>
  <c r="A30" i="107"/>
  <c r="F29" i="107"/>
  <c r="E29" i="107"/>
  <c r="A29" i="107"/>
  <c r="J23" i="107"/>
  <c r="I23" i="107"/>
  <c r="E23" i="107"/>
  <c r="A23" i="107"/>
  <c r="J20" i="107"/>
  <c r="M20" i="107" s="1"/>
  <c r="I20" i="107"/>
  <c r="F20" i="107"/>
  <c r="E20" i="107"/>
  <c r="G20" i="107" s="1"/>
  <c r="L20" i="107" s="1"/>
  <c r="J19" i="107"/>
  <c r="M19" i="107" s="1"/>
  <c r="I19" i="107"/>
  <c r="F19" i="107"/>
  <c r="E19" i="107"/>
  <c r="G19" i="107" s="1"/>
  <c r="J18" i="107"/>
  <c r="I18" i="107"/>
  <c r="L18" i="107" s="1"/>
  <c r="G18" i="107"/>
  <c r="M18" i="107" s="1"/>
  <c r="F18" i="107"/>
  <c r="E18" i="107"/>
  <c r="J17" i="107"/>
  <c r="I17" i="107"/>
  <c r="L17" i="107" s="1"/>
  <c r="G17" i="107"/>
  <c r="M17" i="107" s="1"/>
  <c r="F17" i="107"/>
  <c r="E17" i="107"/>
  <c r="J16" i="107"/>
  <c r="M16" i="107" s="1"/>
  <c r="I16" i="107"/>
  <c r="F16" i="107"/>
  <c r="E16" i="107"/>
  <c r="G16" i="107" s="1"/>
  <c r="L16" i="107" s="1"/>
  <c r="J15" i="107"/>
  <c r="M15" i="107" s="1"/>
  <c r="I15" i="107"/>
  <c r="L15" i="107" s="1"/>
  <c r="F15" i="107"/>
  <c r="E15" i="107"/>
  <c r="G15" i="107" s="1"/>
  <c r="J14" i="107"/>
  <c r="I14" i="107"/>
  <c r="L14" i="107" s="1"/>
  <c r="F14" i="107"/>
  <c r="E14" i="107"/>
  <c r="G14" i="107" s="1"/>
  <c r="M14" i="107" s="1"/>
  <c r="J13" i="107"/>
  <c r="I13" i="107"/>
  <c r="L13" i="107" s="1"/>
  <c r="G13" i="107"/>
  <c r="M13" i="107" s="1"/>
  <c r="F13" i="107"/>
  <c r="E13" i="107"/>
  <c r="J12" i="107"/>
  <c r="M12" i="107" s="1"/>
  <c r="I12" i="107"/>
  <c r="F12" i="107"/>
  <c r="E12" i="107"/>
  <c r="G12" i="107" s="1"/>
  <c r="L12" i="107" s="1"/>
  <c r="J11" i="107"/>
  <c r="M11" i="107" s="1"/>
  <c r="I11" i="107"/>
  <c r="L11" i="107" s="1"/>
  <c r="F11" i="107"/>
  <c r="E11" i="107"/>
  <c r="G11" i="107" s="1"/>
  <c r="J10" i="107"/>
  <c r="I10" i="107"/>
  <c r="L10" i="107" s="1"/>
  <c r="F10" i="107"/>
  <c r="E10" i="107"/>
  <c r="G10" i="107" s="1"/>
  <c r="M10" i="107" s="1"/>
  <c r="J9" i="107"/>
  <c r="I9" i="107"/>
  <c r="L9" i="107" s="1"/>
  <c r="G9" i="107"/>
  <c r="M9" i="107" s="1"/>
  <c r="F9" i="107"/>
  <c r="E9" i="107"/>
  <c r="J8" i="107"/>
  <c r="M8" i="107" s="1"/>
  <c r="I8" i="107"/>
  <c r="F8" i="107"/>
  <c r="E8" i="107"/>
  <c r="G8" i="107" s="1"/>
  <c r="L8" i="107" s="1"/>
  <c r="J7" i="107"/>
  <c r="M7" i="107" s="1"/>
  <c r="I7" i="107"/>
  <c r="F7" i="107"/>
  <c r="E7" i="107"/>
  <c r="G7" i="107" s="1"/>
  <c r="J6" i="107"/>
  <c r="J22" i="107" s="1"/>
  <c r="I6" i="107"/>
  <c r="F6" i="107"/>
  <c r="F22" i="107" s="1"/>
  <c r="E6" i="107"/>
  <c r="G6" i="107" s="1"/>
  <c r="AD43" i="1"/>
  <c r="AD39" i="1"/>
  <c r="AD38" i="1"/>
  <c r="AD33" i="1"/>
  <c r="AD22" i="1"/>
  <c r="BA43" i="1"/>
  <c r="BA39" i="1"/>
  <c r="BA38" i="1"/>
  <c r="BA33" i="1"/>
  <c r="BA22" i="1"/>
  <c r="BL54" i="106"/>
  <c r="BL51" i="106"/>
  <c r="BD99" i="106"/>
  <c r="BL50" i="106"/>
  <c r="BD97" i="106"/>
  <c r="BY44" i="106"/>
  <c r="M15" i="113" l="1"/>
  <c r="M35" i="113" s="1"/>
  <c r="AA39" i="113"/>
  <c r="S7" i="113"/>
  <c r="S9" i="113" s="1"/>
  <c r="E30" i="113"/>
  <c r="E20" i="113"/>
  <c r="E15" i="113"/>
  <c r="E35" i="113" s="1"/>
  <c r="E25" i="113"/>
  <c r="C25" i="113"/>
  <c r="S25" i="113" s="1"/>
  <c r="C33" i="113"/>
  <c r="S33" i="113" s="1"/>
  <c r="C30" i="113"/>
  <c r="C20" i="113"/>
  <c r="C15" i="113"/>
  <c r="B60" i="108"/>
  <c r="B61" i="108"/>
  <c r="D32" i="108"/>
  <c r="H34" i="108" s="1"/>
  <c r="I23" i="108"/>
  <c r="I25" i="108" s="1"/>
  <c r="M25" i="108" s="1"/>
  <c r="H25" i="108"/>
  <c r="AS9" i="108"/>
  <c r="F32" i="108"/>
  <c r="F36" i="108" s="1"/>
  <c r="I27" i="108"/>
  <c r="AT9" i="108"/>
  <c r="AQ9" i="108"/>
  <c r="C60" i="108" s="1"/>
  <c r="AP9" i="108"/>
  <c r="G25" i="108"/>
  <c r="I35" i="108"/>
  <c r="M35" i="108" s="1"/>
  <c r="E25" i="108"/>
  <c r="F25" i="108"/>
  <c r="E32" i="108"/>
  <c r="E36" i="108" s="1"/>
  <c r="G30" i="108"/>
  <c r="G32" i="108" s="1"/>
  <c r="G36" i="108" s="1"/>
  <c r="G38" i="108" s="1"/>
  <c r="N29" i="108"/>
  <c r="K35" i="108"/>
  <c r="N35" i="108" s="1"/>
  <c r="K23" i="108"/>
  <c r="K25" i="108" s="1"/>
  <c r="N25" i="108" s="1"/>
  <c r="X17" i="108"/>
  <c r="J25" i="108"/>
  <c r="M9" i="110"/>
  <c r="K9" i="110"/>
  <c r="AJ41" i="112"/>
  <c r="AL52" i="112"/>
  <c r="Y13" i="108"/>
  <c r="I21" i="108"/>
  <c r="M13" i="110"/>
  <c r="K13" i="110"/>
  <c r="P5" i="111"/>
  <c r="Q37" i="112"/>
  <c r="Q38" i="112"/>
  <c r="J12" i="109"/>
  <c r="J33" i="109" s="1"/>
  <c r="K10" i="109"/>
  <c r="K12" i="109" s="1"/>
  <c r="F6" i="112"/>
  <c r="G17" i="112"/>
  <c r="AT34" i="112"/>
  <c r="M6" i="110"/>
  <c r="M8" i="110"/>
  <c r="K8" i="110"/>
  <c r="M10" i="110"/>
  <c r="G9" i="111"/>
  <c r="L6" i="111"/>
  <c r="L9" i="111" s="1"/>
  <c r="H6" i="111"/>
  <c r="P7" i="111"/>
  <c r="Q43" i="112"/>
  <c r="Q42" i="112"/>
  <c r="Q44" i="112" s="1"/>
  <c r="AS42" i="112"/>
  <c r="AT36" i="112"/>
  <c r="K15" i="110"/>
  <c r="AO26" i="112"/>
  <c r="AP27" i="112" s="1"/>
  <c r="AP32" i="112" s="1"/>
  <c r="F8" i="112"/>
  <c r="AX27" i="112"/>
  <c r="AX32" i="112" s="1"/>
  <c r="AX26" i="112"/>
  <c r="AI42" i="112"/>
  <c r="AI36" i="112"/>
  <c r="AN41" i="112"/>
  <c r="Z12" i="108"/>
  <c r="I34" i="109"/>
  <c r="I35" i="109"/>
  <c r="M5" i="110"/>
  <c r="K5" i="110"/>
  <c r="K7" i="110"/>
  <c r="M12" i="110"/>
  <c r="K12" i="110"/>
  <c r="M14" i="110"/>
  <c r="L8" i="111"/>
  <c r="H8" i="111"/>
  <c r="BB34" i="112"/>
  <c r="BB33" i="112"/>
  <c r="AV41" i="112"/>
  <c r="Q13" i="112"/>
  <c r="K17" i="109"/>
  <c r="K19" i="109" s="1"/>
  <c r="AL30" i="112"/>
  <c r="AL32" i="112" s="1"/>
  <c r="M17" i="112"/>
  <c r="Q17" i="112" s="1"/>
  <c r="M21" i="112"/>
  <c r="Q21" i="112" s="1"/>
  <c r="AY29" i="112"/>
  <c r="G25" i="112" s="1"/>
  <c r="M6" i="107"/>
  <c r="G22" i="107"/>
  <c r="M22" i="107" s="1"/>
  <c r="L31" i="107"/>
  <c r="M31" i="107" s="1"/>
  <c r="L33" i="107"/>
  <c r="M33" i="107" s="1"/>
  <c r="L35" i="107"/>
  <c r="M35" i="107" s="1"/>
  <c r="G43" i="107"/>
  <c r="F23" i="107"/>
  <c r="L36" i="107"/>
  <c r="M36" i="107" s="1"/>
  <c r="L38" i="107"/>
  <c r="M38" i="107" s="1"/>
  <c r="L40" i="107"/>
  <c r="M40" i="107" s="1"/>
  <c r="L42" i="107"/>
  <c r="M42" i="107" s="1"/>
  <c r="L6" i="107"/>
  <c r="L29" i="107" s="1"/>
  <c r="M29" i="107" s="1"/>
  <c r="L7" i="107"/>
  <c r="L30" i="107" s="1"/>
  <c r="M30" i="107" s="1"/>
  <c r="L19" i="107"/>
  <c r="L32" i="107"/>
  <c r="M32" i="107" s="1"/>
  <c r="L34" i="107"/>
  <c r="M34" i="107" s="1"/>
  <c r="G38" i="107"/>
  <c r="I22" i="107"/>
  <c r="G29" i="107"/>
  <c r="E22" i="107"/>
  <c r="F35" i="107"/>
  <c r="G35" i="107" s="1"/>
  <c r="F36" i="107"/>
  <c r="G36" i="107" s="1"/>
  <c r="F37" i="107"/>
  <c r="G37" i="107" s="1"/>
  <c r="F38" i="107"/>
  <c r="F39" i="107"/>
  <c r="G39" i="107" s="1"/>
  <c r="F40" i="107"/>
  <c r="G40" i="107" s="1"/>
  <c r="F41" i="107"/>
  <c r="G41" i="107" s="1"/>
  <c r="F42" i="107"/>
  <c r="G42" i="107" s="1"/>
  <c r="F30" i="107"/>
  <c r="G30" i="107" s="1"/>
  <c r="F31" i="107"/>
  <c r="G31" i="107" s="1"/>
  <c r="F32" i="107"/>
  <c r="G32" i="107" s="1"/>
  <c r="F33" i="107"/>
  <c r="G33" i="107" s="1"/>
  <c r="F34" i="107"/>
  <c r="G34" i="107" s="1"/>
  <c r="CM7" i="106"/>
  <c r="CO7" i="106" s="1"/>
  <c r="CM23" i="106"/>
  <c r="CO23" i="106" s="1"/>
  <c r="CN22" i="106"/>
  <c r="CP22" i="106" s="1"/>
  <c r="CM17" i="106"/>
  <c r="CO17" i="106" s="1"/>
  <c r="CM6" i="106"/>
  <c r="CO6" i="106" s="1"/>
  <c r="CP6" i="106"/>
  <c r="CM25" i="106"/>
  <c r="CO25" i="106" s="1"/>
  <c r="CP7" i="106"/>
  <c r="CM8" i="106"/>
  <c r="CO8" i="106" s="1"/>
  <c r="CP8" i="106"/>
  <c r="CM9" i="106"/>
  <c r="CO9" i="106"/>
  <c r="CP9" i="106"/>
  <c r="CP10" i="106"/>
  <c r="CM11" i="106"/>
  <c r="CO11" i="106" s="1"/>
  <c r="CP11" i="106"/>
  <c r="CP12" i="106"/>
  <c r="CM13" i="106"/>
  <c r="CO13" i="106"/>
  <c r="CP13" i="106"/>
  <c r="CM14" i="106"/>
  <c r="CO14" i="106" s="1"/>
  <c r="CP14" i="106"/>
  <c r="CP15" i="106"/>
  <c r="CM16" i="106"/>
  <c r="CO16" i="106" s="1"/>
  <c r="CP16" i="106"/>
  <c r="CP17" i="106"/>
  <c r="CM18" i="106"/>
  <c r="CO18" i="106" s="1"/>
  <c r="CP18" i="106"/>
  <c r="CM19" i="106"/>
  <c r="CO19" i="106" s="1"/>
  <c r="CP19" i="106"/>
  <c r="CP20" i="106"/>
  <c r="CN21" i="106"/>
  <c r="CP21" i="106" s="1"/>
  <c r="CO21" i="106"/>
  <c r="CO22" i="106"/>
  <c r="CN23" i="106"/>
  <c r="CP23" i="106" s="1"/>
  <c r="CN24" i="106"/>
  <c r="CP24" i="106"/>
  <c r="CN25" i="106"/>
  <c r="CP25" i="106" s="1"/>
  <c r="CN26" i="106"/>
  <c r="CP26" i="106"/>
  <c r="CN27" i="106"/>
  <c r="CP27" i="106" s="1"/>
  <c r="CN28" i="106"/>
  <c r="CP28" i="106"/>
  <c r="CN29" i="106"/>
  <c r="CP29" i="106" s="1"/>
  <c r="CN30" i="106"/>
  <c r="CP30" i="106"/>
  <c r="CD13" i="106"/>
  <c r="CE13" i="106"/>
  <c r="CD14" i="106"/>
  <c r="CF14" i="106" s="1"/>
  <c r="CE14" i="106"/>
  <c r="CD15" i="106"/>
  <c r="CE15" i="106"/>
  <c r="CD16" i="106"/>
  <c r="CF16" i="106" s="1"/>
  <c r="CE16" i="106"/>
  <c r="CD17" i="106"/>
  <c r="CF17" i="106" s="1"/>
  <c r="CE17" i="106"/>
  <c r="CD18" i="106"/>
  <c r="CF18" i="106" s="1"/>
  <c r="CE18" i="106"/>
  <c r="CD19" i="106"/>
  <c r="CF19" i="106" s="1"/>
  <c r="CE19" i="106"/>
  <c r="CD20" i="106"/>
  <c r="CF20" i="106" s="1"/>
  <c r="CE20" i="106"/>
  <c r="CD21" i="106"/>
  <c r="CF21" i="106" s="1"/>
  <c r="CE21" i="106"/>
  <c r="BZ33" i="106"/>
  <c r="CB33" i="106"/>
  <c r="CC33" i="106"/>
  <c r="BZ34" i="106"/>
  <c r="CB34" i="106"/>
  <c r="CC34" i="106"/>
  <c r="CB35" i="106"/>
  <c r="CC35" i="106"/>
  <c r="BZ36" i="106"/>
  <c r="CB36" i="106" s="1"/>
  <c r="CC36" i="106"/>
  <c r="BZ37" i="106"/>
  <c r="CB37" i="106"/>
  <c r="CC37" i="106"/>
  <c r="BZ38" i="106"/>
  <c r="CB38" i="106"/>
  <c r="CC38" i="106"/>
  <c r="BZ39" i="106"/>
  <c r="CB39" i="106"/>
  <c r="CC39" i="106"/>
  <c r="BZ40" i="106"/>
  <c r="CB40" i="106" s="1"/>
  <c r="CC40" i="106"/>
  <c r="BE13" i="106"/>
  <c r="BF13" i="106" s="1"/>
  <c r="BM13" i="106"/>
  <c r="BN13" i="106" s="1"/>
  <c r="BE14" i="106"/>
  <c r="BF14" i="106" s="1"/>
  <c r="BM14" i="106"/>
  <c r="BN14" i="106" s="1"/>
  <c r="BE15" i="106"/>
  <c r="BF15" i="106" s="1"/>
  <c r="BM15" i="106"/>
  <c r="BN15" i="106"/>
  <c r="BE16" i="106"/>
  <c r="BF16" i="106" s="1"/>
  <c r="BM16" i="106"/>
  <c r="BN16" i="106" s="1"/>
  <c r="BE17" i="106"/>
  <c r="BF17" i="106" s="1"/>
  <c r="BM17" i="106"/>
  <c r="BN17" i="106" s="1"/>
  <c r="BE18" i="106"/>
  <c r="BF18" i="106" s="1"/>
  <c r="BM18" i="106"/>
  <c r="BN18" i="106"/>
  <c r="BE19" i="106"/>
  <c r="BF19" i="106" s="1"/>
  <c r="BM19" i="106"/>
  <c r="BN19" i="106" s="1"/>
  <c r="BE20" i="106"/>
  <c r="BF20" i="106" s="1"/>
  <c r="BM20" i="106"/>
  <c r="BN20" i="106" s="1"/>
  <c r="BE21" i="106"/>
  <c r="BF21" i="106" s="1"/>
  <c r="BM21" i="106"/>
  <c r="BN21" i="106" s="1"/>
  <c r="BE22" i="106"/>
  <c r="BF22" i="106" s="1"/>
  <c r="BM22" i="106"/>
  <c r="BN22" i="106" s="1"/>
  <c r="BE23" i="106"/>
  <c r="BF23" i="106" s="1"/>
  <c r="BM23" i="106"/>
  <c r="BN23" i="106" s="1"/>
  <c r="BE24" i="106"/>
  <c r="BF24" i="106" s="1"/>
  <c r="BM24" i="106"/>
  <c r="BN24" i="106" s="1"/>
  <c r="BE25" i="106"/>
  <c r="BF25" i="106" s="1"/>
  <c r="BM25" i="106"/>
  <c r="BN25" i="106" s="1"/>
  <c r="BE26" i="106"/>
  <c r="BF26" i="106" s="1"/>
  <c r="BM26" i="106"/>
  <c r="BN26" i="106" s="1"/>
  <c r="BE27" i="106"/>
  <c r="BF27" i="106" s="1"/>
  <c r="BM27" i="106"/>
  <c r="BN27" i="106" s="1"/>
  <c r="BE28" i="106"/>
  <c r="BF28" i="106" s="1"/>
  <c r="BM28" i="106"/>
  <c r="BN28" i="106" s="1"/>
  <c r="BE29" i="106"/>
  <c r="BF29" i="106" s="1"/>
  <c r="BM29" i="106"/>
  <c r="BN29" i="106" s="1"/>
  <c r="BE30" i="106"/>
  <c r="BF30" i="106" s="1"/>
  <c r="BM30" i="106"/>
  <c r="BN30" i="106" s="1"/>
  <c r="BE31" i="106"/>
  <c r="BF31" i="106" s="1"/>
  <c r="BM31" i="106"/>
  <c r="BN31" i="106" s="1"/>
  <c r="BE32" i="106"/>
  <c r="BF32" i="106" s="1"/>
  <c r="BM32" i="106"/>
  <c r="BN32" i="106" s="1"/>
  <c r="BE33" i="106"/>
  <c r="BF33" i="106" s="1"/>
  <c r="BM33" i="106"/>
  <c r="BN33" i="106" s="1"/>
  <c r="BE34" i="106"/>
  <c r="BF34" i="106" s="1"/>
  <c r="BM34" i="106"/>
  <c r="BN34" i="106"/>
  <c r="BE35" i="106"/>
  <c r="BF35" i="106" s="1"/>
  <c r="BM35" i="106"/>
  <c r="BN35" i="106" s="1"/>
  <c r="BE36" i="106"/>
  <c r="BF36" i="106" s="1"/>
  <c r="BM36" i="106"/>
  <c r="BN36" i="106" s="1"/>
  <c r="BE37" i="106"/>
  <c r="BF37" i="106" s="1"/>
  <c r="BM37" i="106"/>
  <c r="BN37" i="106" s="1"/>
  <c r="BE38" i="106"/>
  <c r="BF38" i="106" s="1"/>
  <c r="BM38" i="106"/>
  <c r="BN38" i="106" s="1"/>
  <c r="BE39" i="106"/>
  <c r="BF39" i="106" s="1"/>
  <c r="BM39" i="106"/>
  <c r="BN39" i="106" s="1"/>
  <c r="BE40" i="106"/>
  <c r="BF40" i="106" s="1"/>
  <c r="BM40" i="106"/>
  <c r="BN40" i="106" s="1"/>
  <c r="BE41" i="106"/>
  <c r="BF41" i="106" s="1"/>
  <c r="BM41" i="106"/>
  <c r="BN41" i="106" s="1"/>
  <c r="BE42" i="106"/>
  <c r="BF42" i="106" s="1"/>
  <c r="BM42" i="106"/>
  <c r="BN42" i="106" s="1"/>
  <c r="BE43" i="106"/>
  <c r="BF43" i="106" s="1"/>
  <c r="BM43" i="106"/>
  <c r="BN43" i="106"/>
  <c r="BE44" i="106"/>
  <c r="BF44" i="106" s="1"/>
  <c r="BM44" i="106"/>
  <c r="BN44" i="106" s="1"/>
  <c r="BE45" i="106"/>
  <c r="BF45" i="106" s="1"/>
  <c r="BM45" i="106"/>
  <c r="BN45" i="106" s="1"/>
  <c r="BE46" i="106"/>
  <c r="BF46" i="106" s="1"/>
  <c r="BM46" i="106"/>
  <c r="BN46" i="106" s="1"/>
  <c r="BE47" i="106"/>
  <c r="BF47" i="106" s="1"/>
  <c r="BE48" i="106"/>
  <c r="BF48" i="106" s="1"/>
  <c r="BE49" i="106"/>
  <c r="BF49" i="106" s="1"/>
  <c r="BE50" i="106"/>
  <c r="BF50" i="106" s="1"/>
  <c r="BE51" i="106"/>
  <c r="BF51" i="106" s="1"/>
  <c r="S15" i="113" l="1"/>
  <c r="C35" i="113"/>
  <c r="S35" i="113" s="1"/>
  <c r="S20" i="113"/>
  <c r="S30" i="113"/>
  <c r="AL68" i="112"/>
  <c r="AL34" i="112"/>
  <c r="AL67" i="112"/>
  <c r="AL33" i="112"/>
  <c r="AL66" i="112"/>
  <c r="BA43" i="112"/>
  <c r="BB37" i="112"/>
  <c r="J27" i="108"/>
  <c r="I8" i="111"/>
  <c r="P8" i="111" s="1"/>
  <c r="N8" i="111"/>
  <c r="M16" i="110"/>
  <c r="M18" i="110" s="1"/>
  <c r="AY32" i="112"/>
  <c r="AX34" i="112"/>
  <c r="AX33" i="112"/>
  <c r="I6" i="111"/>
  <c r="N6" i="111"/>
  <c r="N9" i="111" s="1"/>
  <c r="N11" i="111" s="1"/>
  <c r="H9" i="111"/>
  <c r="AS43" i="112"/>
  <c r="AT37" i="112"/>
  <c r="Q39" i="112"/>
  <c r="F38" i="108"/>
  <c r="I34" i="108"/>
  <c r="K34" i="108"/>
  <c r="AL46" i="112"/>
  <c r="AL48" i="112" s="1"/>
  <c r="AL61" i="112"/>
  <c r="AL63" i="112" s="1"/>
  <c r="AL53" i="112"/>
  <c r="M6" i="112"/>
  <c r="M10" i="112" s="1"/>
  <c r="F10" i="112"/>
  <c r="AT38" i="112"/>
  <c r="K21" i="109"/>
  <c r="E38" i="108"/>
  <c r="AL54" i="112"/>
  <c r="AL56" i="112" s="1"/>
  <c r="AL57" i="112" s="1"/>
  <c r="BC33" i="112"/>
  <c r="BA42" i="112"/>
  <c r="BB36" i="112"/>
  <c r="AP34" i="112"/>
  <c r="AP33" i="112"/>
  <c r="AY30" i="112"/>
  <c r="G13" i="112" s="1"/>
  <c r="J35" i="109"/>
  <c r="J34" i="109"/>
  <c r="Y17" i="108"/>
  <c r="Y18" i="108" s="1"/>
  <c r="H28" i="108"/>
  <c r="Z13" i="108"/>
  <c r="J28" i="108" s="1"/>
  <c r="K28" i="108" s="1"/>
  <c r="M29" i="108"/>
  <c r="I41" i="107"/>
  <c r="J41" i="107"/>
  <c r="I37" i="107"/>
  <c r="J37" i="107"/>
  <c r="I42" i="107"/>
  <c r="J42" i="107"/>
  <c r="I40" i="107"/>
  <c r="J40" i="107"/>
  <c r="J36" i="107"/>
  <c r="I36" i="107"/>
  <c r="J39" i="107"/>
  <c r="I39" i="107"/>
  <c r="J38" i="107"/>
  <c r="I38" i="107"/>
  <c r="F45" i="107"/>
  <c r="F46" i="107" s="1"/>
  <c r="J31" i="107"/>
  <c r="I31" i="107"/>
  <c r="L22" i="107"/>
  <c r="J43" i="107"/>
  <c r="I43" i="107"/>
  <c r="J32" i="107"/>
  <c r="I32" i="107"/>
  <c r="J34" i="107"/>
  <c r="I34" i="107"/>
  <c r="J30" i="107"/>
  <c r="I30" i="107"/>
  <c r="I35" i="107"/>
  <c r="J35" i="107"/>
  <c r="J29" i="107"/>
  <c r="G45" i="107"/>
  <c r="I29" i="107"/>
  <c r="J33" i="107"/>
  <c r="I33" i="107"/>
  <c r="BL52" i="106"/>
  <c r="CD40" i="106"/>
  <c r="CD37" i="106"/>
  <c r="CD34" i="106"/>
  <c r="CD38" i="106"/>
  <c r="CD36" i="106"/>
  <c r="CF15" i="106"/>
  <c r="CE22" i="106"/>
  <c r="CM30" i="106"/>
  <c r="CO30" i="106" s="1"/>
  <c r="CM29" i="106"/>
  <c r="CO29" i="106" s="1"/>
  <c r="CM28" i="106"/>
  <c r="CO28" i="106" s="1"/>
  <c r="CM27" i="106"/>
  <c r="CO27" i="106" s="1"/>
  <c r="CM26" i="106"/>
  <c r="CO26" i="106" s="1"/>
  <c r="CM24" i="106"/>
  <c r="CO24" i="106" s="1"/>
  <c r="CM20" i="106"/>
  <c r="CO20" i="106" s="1"/>
  <c r="CM15" i="106"/>
  <c r="CO15" i="106" s="1"/>
  <c r="CM12" i="106"/>
  <c r="CO12" i="106" s="1"/>
  <c r="CM10" i="106"/>
  <c r="CO10" i="106" s="1"/>
  <c r="CP31" i="106"/>
  <c r="CO31" i="106"/>
  <c r="CD39" i="106"/>
  <c r="CD35" i="106"/>
  <c r="CC41" i="106"/>
  <c r="BY46" i="106"/>
  <c r="CD22" i="106"/>
  <c r="CF13" i="106"/>
  <c r="CB41" i="106"/>
  <c r="CD33" i="106"/>
  <c r="BE52" i="106"/>
  <c r="BF52" i="106" s="1"/>
  <c r="AY34" i="112" l="1"/>
  <c r="AW43" i="112"/>
  <c r="AV43" i="112" s="1"/>
  <c r="AX37" i="112"/>
  <c r="AL42" i="112"/>
  <c r="AJ42" i="112" s="1"/>
  <c r="AL36" i="112"/>
  <c r="BA57" i="112" s="1"/>
  <c r="F13" i="112"/>
  <c r="N16" i="111"/>
  <c r="N17" i="111"/>
  <c r="AO42" i="112"/>
  <c r="AP36" i="112"/>
  <c r="AP38" i="112" s="1"/>
  <c r="K24" i="109"/>
  <c r="K27" i="109"/>
  <c r="BA58" i="112"/>
  <c r="AT39" i="112"/>
  <c r="P6" i="111"/>
  <c r="P9" i="111" s="1"/>
  <c r="P11" i="111" s="1"/>
  <c r="I9" i="111"/>
  <c r="M22" i="110"/>
  <c r="M21" i="110"/>
  <c r="J30" i="108"/>
  <c r="J32" i="108" s="1"/>
  <c r="J36" i="108" s="1"/>
  <c r="J38" i="108" s="1"/>
  <c r="K27" i="108"/>
  <c r="K30" i="108" s="1"/>
  <c r="K32" i="108" s="1"/>
  <c r="K36" i="108" s="1"/>
  <c r="K38" i="108" s="1"/>
  <c r="AZ43" i="112"/>
  <c r="AL43" i="112"/>
  <c r="AJ43" i="112" s="1"/>
  <c r="AL37" i="112"/>
  <c r="BC34" i="112"/>
  <c r="I28" i="108"/>
  <c r="H30" i="108"/>
  <c r="H32" i="108" s="1"/>
  <c r="H36" i="108" s="1"/>
  <c r="H38" i="108" s="1"/>
  <c r="AP37" i="112"/>
  <c r="AP39" i="112" s="1"/>
  <c r="AO43" i="112"/>
  <c r="AN43" i="112" s="1"/>
  <c r="AL70" i="112"/>
  <c r="AW42" i="112"/>
  <c r="AV42" i="112" s="1"/>
  <c r="AX36" i="112"/>
  <c r="AY33" i="112"/>
  <c r="Z17" i="108"/>
  <c r="Z18" i="108" s="1"/>
  <c r="I45" i="107"/>
  <c r="J45" i="107"/>
  <c r="M45" i="107" s="1"/>
  <c r="CF22" i="106"/>
  <c r="CD41" i="106"/>
  <c r="BE53" i="106"/>
  <c r="BF53" i="106" s="1"/>
  <c r="BE54" i="106"/>
  <c r="BF54" i="106" s="1"/>
  <c r="BE55" i="106"/>
  <c r="BF55" i="106" s="1"/>
  <c r="BE56" i="106"/>
  <c r="BF56" i="106" s="1"/>
  <c r="BE57" i="106"/>
  <c r="BF57" i="106" s="1"/>
  <c r="BE58" i="106"/>
  <c r="BF58" i="106" s="1"/>
  <c r="BE59" i="106"/>
  <c r="BF59" i="106" s="1"/>
  <c r="BE60" i="106"/>
  <c r="BF60" i="106"/>
  <c r="BE61" i="106"/>
  <c r="BF61" i="106" s="1"/>
  <c r="BE62" i="106"/>
  <c r="BF62" i="106" s="1"/>
  <c r="BE63" i="106"/>
  <c r="BF63" i="106" s="1"/>
  <c r="BE64" i="106"/>
  <c r="BF64" i="106" s="1"/>
  <c r="BE65" i="106"/>
  <c r="BF65" i="106" s="1"/>
  <c r="BE66" i="106"/>
  <c r="BF66" i="106" s="1"/>
  <c r="BE67" i="106"/>
  <c r="BF67" i="106" s="1"/>
  <c r="BE68" i="106"/>
  <c r="BF68" i="106"/>
  <c r="BE69" i="106"/>
  <c r="BF69" i="106" s="1"/>
  <c r="BE70" i="106"/>
  <c r="BF70" i="106" s="1"/>
  <c r="BE71" i="106"/>
  <c r="BF71" i="106" s="1"/>
  <c r="BE72" i="106"/>
  <c r="BF72" i="106" s="1"/>
  <c r="BE73" i="106"/>
  <c r="BF73" i="106" s="1"/>
  <c r="BE74" i="106"/>
  <c r="BF74" i="106" s="1"/>
  <c r="BE75" i="106"/>
  <c r="BF75" i="106" s="1"/>
  <c r="BE76" i="106"/>
  <c r="BF76" i="106" s="1"/>
  <c r="BE77" i="106"/>
  <c r="BF77" i="106" s="1"/>
  <c r="BE78" i="106"/>
  <c r="BF78" i="106" s="1"/>
  <c r="BE79" i="106"/>
  <c r="BF79" i="106" s="1"/>
  <c r="BE80" i="106"/>
  <c r="BF80" i="106" s="1"/>
  <c r="BE81" i="106"/>
  <c r="BF81" i="106" s="1"/>
  <c r="BE82" i="106"/>
  <c r="BF82" i="106" s="1"/>
  <c r="BE83" i="106"/>
  <c r="BF83" i="106" s="1"/>
  <c r="BE84" i="106"/>
  <c r="BF84" i="106" s="1"/>
  <c r="BE85" i="106"/>
  <c r="BF85" i="106" s="1"/>
  <c r="BE86" i="106"/>
  <c r="BF86" i="106" s="1"/>
  <c r="BE87" i="106"/>
  <c r="BF87" i="106" s="1"/>
  <c r="BE88" i="106"/>
  <c r="BF88" i="106" s="1"/>
  <c r="BE89" i="106"/>
  <c r="BF89" i="106" s="1"/>
  <c r="BE90" i="106"/>
  <c r="BF90" i="106" s="1"/>
  <c r="BE91" i="106"/>
  <c r="BF91" i="106" s="1"/>
  <c r="AT16" i="106"/>
  <c r="AU16" i="106"/>
  <c r="AU17" i="106" s="1"/>
  <c r="AF27" i="106" s="1"/>
  <c r="AT22" i="106"/>
  <c r="AU22" i="106"/>
  <c r="AU23" i="106"/>
  <c r="AG27" i="106" s="1"/>
  <c r="AT28" i="106"/>
  <c r="AU28" i="106"/>
  <c r="AU29" i="106" s="1"/>
  <c r="AH27" i="106" s="1"/>
  <c r="AU33" i="106"/>
  <c r="AT35" i="106"/>
  <c r="AU35" i="106"/>
  <c r="AR40" i="106"/>
  <c r="AT43" i="106"/>
  <c r="AU43" i="106"/>
  <c r="AU44" i="106" s="1"/>
  <c r="Z27" i="106" s="1"/>
  <c r="AR46" i="106"/>
  <c r="AT49" i="106"/>
  <c r="AU49" i="106"/>
  <c r="AU50" i="106" s="1"/>
  <c r="AA27" i="106" s="1"/>
  <c r="AR52" i="106"/>
  <c r="AT55" i="106"/>
  <c r="AU55" i="106"/>
  <c r="AU56" i="106" s="1"/>
  <c r="AB27" i="106" s="1"/>
  <c r="AR58" i="106"/>
  <c r="AT61" i="106"/>
  <c r="AU61" i="106"/>
  <c r="AU62" i="106" s="1"/>
  <c r="AC27" i="106" s="1"/>
  <c r="N28" i="106"/>
  <c r="O28" i="106" s="1"/>
  <c r="P28" i="106" s="1"/>
  <c r="Q28" i="106"/>
  <c r="V28" i="106"/>
  <c r="W28" i="106"/>
  <c r="N29" i="106"/>
  <c r="O29" i="106" s="1"/>
  <c r="P29" i="106" s="1"/>
  <c r="Q29" i="106"/>
  <c r="V29" i="106"/>
  <c r="W29" i="106"/>
  <c r="N30" i="106"/>
  <c r="O30" i="106" s="1"/>
  <c r="P30" i="106" s="1"/>
  <c r="Q30" i="106"/>
  <c r="S30" i="106"/>
  <c r="V30" i="106"/>
  <c r="W30" i="106"/>
  <c r="N31" i="106"/>
  <c r="O31" i="106" s="1"/>
  <c r="P31" i="106" s="1"/>
  <c r="Q31" i="106"/>
  <c r="S31" i="106"/>
  <c r="V31" i="106"/>
  <c r="W31" i="106"/>
  <c r="N32" i="106"/>
  <c r="O32" i="106" s="1"/>
  <c r="P32" i="106" s="1"/>
  <c r="Q32" i="106"/>
  <c r="S32" i="106"/>
  <c r="V32" i="106"/>
  <c r="W32" i="106"/>
  <c r="N33" i="106"/>
  <c r="O33" i="106" s="1"/>
  <c r="P33" i="106" s="1"/>
  <c r="Q33" i="106"/>
  <c r="S33" i="106"/>
  <c r="V33" i="106"/>
  <c r="W33" i="106"/>
  <c r="N34" i="106"/>
  <c r="O34" i="106" s="1"/>
  <c r="P34" i="106" s="1"/>
  <c r="Q34" i="106"/>
  <c r="S34" i="106"/>
  <c r="V34" i="106"/>
  <c r="W34" i="106"/>
  <c r="N35" i="106"/>
  <c r="O35" i="106" s="1"/>
  <c r="P35" i="106" s="1"/>
  <c r="Q35" i="106"/>
  <c r="S35" i="106"/>
  <c r="V35" i="106"/>
  <c r="W35" i="106"/>
  <c r="N36" i="106"/>
  <c r="O36" i="106" s="1"/>
  <c r="P36" i="106" s="1"/>
  <c r="Q36" i="106"/>
  <c r="V36" i="106"/>
  <c r="W36" i="106"/>
  <c r="N37" i="106"/>
  <c r="O37" i="106" s="1"/>
  <c r="P37" i="106" s="1"/>
  <c r="Q37" i="106"/>
  <c r="S37" i="106"/>
  <c r="V37" i="106"/>
  <c r="W37" i="106"/>
  <c r="N38" i="106"/>
  <c r="O38" i="106" s="1"/>
  <c r="P38" i="106" s="1"/>
  <c r="Q38" i="106"/>
  <c r="S38" i="106"/>
  <c r="V38" i="106"/>
  <c r="W38" i="106"/>
  <c r="N39" i="106"/>
  <c r="O39" i="106" s="1"/>
  <c r="P39" i="106" s="1"/>
  <c r="Q39" i="106"/>
  <c r="S39" i="106"/>
  <c r="V39" i="106"/>
  <c r="W39" i="106"/>
  <c r="N40" i="106"/>
  <c r="O40" i="106" s="1"/>
  <c r="P40" i="106" s="1"/>
  <c r="Q40" i="106"/>
  <c r="S40" i="106"/>
  <c r="V40" i="106"/>
  <c r="W40" i="106"/>
  <c r="N41" i="106"/>
  <c r="O41" i="106" s="1"/>
  <c r="P41" i="106" s="1"/>
  <c r="Q41" i="106"/>
  <c r="S41" i="106"/>
  <c r="V41" i="106"/>
  <c r="W41" i="106"/>
  <c r="N42" i="106"/>
  <c r="O42" i="106" s="1"/>
  <c r="P42" i="106" s="1"/>
  <c r="Q42" i="106"/>
  <c r="S42" i="106"/>
  <c r="V42" i="106"/>
  <c r="W42" i="106"/>
  <c r="N43" i="106"/>
  <c r="O43" i="106" s="1"/>
  <c r="P43" i="106" s="1"/>
  <c r="Q43" i="106"/>
  <c r="S43" i="106"/>
  <c r="V43" i="106"/>
  <c r="W43" i="106"/>
  <c r="N44" i="106"/>
  <c r="O44" i="106" s="1"/>
  <c r="P44" i="106" s="1"/>
  <c r="Q44" i="106"/>
  <c r="S44" i="106"/>
  <c r="V44" i="106"/>
  <c r="W44" i="106"/>
  <c r="N45" i="106"/>
  <c r="O45" i="106" s="1"/>
  <c r="P45" i="106" s="1"/>
  <c r="Q45" i="106"/>
  <c r="S45" i="106"/>
  <c r="V45" i="106"/>
  <c r="W45" i="106"/>
  <c r="N46" i="106"/>
  <c r="O46" i="106" s="1"/>
  <c r="P46" i="106" s="1"/>
  <c r="Q46" i="106"/>
  <c r="S46" i="106"/>
  <c r="V46" i="106"/>
  <c r="W46" i="106"/>
  <c r="N47" i="106"/>
  <c r="O47" i="106" s="1"/>
  <c r="P47" i="106" s="1"/>
  <c r="Q47" i="106"/>
  <c r="S47" i="106"/>
  <c r="V47" i="106"/>
  <c r="W47" i="106"/>
  <c r="N48" i="106"/>
  <c r="O48" i="106" s="1"/>
  <c r="P48" i="106" s="1"/>
  <c r="Q48" i="106"/>
  <c r="S48" i="106"/>
  <c r="V48" i="106"/>
  <c r="W48" i="106"/>
  <c r="N49" i="106"/>
  <c r="O49" i="106" s="1"/>
  <c r="P49" i="106" s="1"/>
  <c r="Q49" i="106"/>
  <c r="S49" i="106"/>
  <c r="V49" i="106"/>
  <c r="W49" i="106"/>
  <c r="N50" i="106"/>
  <c r="O50" i="106" s="1"/>
  <c r="P50" i="106" s="1"/>
  <c r="Q50" i="106"/>
  <c r="S50" i="106"/>
  <c r="V50" i="106"/>
  <c r="W50" i="106"/>
  <c r="N51" i="106"/>
  <c r="O51" i="106" s="1"/>
  <c r="P51" i="106" s="1"/>
  <c r="Q51" i="106"/>
  <c r="S51" i="106"/>
  <c r="V51" i="106"/>
  <c r="W51" i="106"/>
  <c r="N52" i="106"/>
  <c r="O52" i="106" s="1"/>
  <c r="P52" i="106" s="1"/>
  <c r="Q52" i="106"/>
  <c r="V52" i="106"/>
  <c r="W52" i="106"/>
  <c r="N53" i="106"/>
  <c r="O53" i="106" s="1"/>
  <c r="P53" i="106" s="1"/>
  <c r="Q53" i="106"/>
  <c r="V53" i="106"/>
  <c r="W53" i="106"/>
  <c r="N54" i="106"/>
  <c r="O54" i="106" s="1"/>
  <c r="P54" i="106" s="1"/>
  <c r="Q54" i="106"/>
  <c r="S54" i="106"/>
  <c r="V54" i="106"/>
  <c r="W54" i="106"/>
  <c r="N55" i="106"/>
  <c r="O55" i="106" s="1"/>
  <c r="P55" i="106" s="1"/>
  <c r="Q55" i="106"/>
  <c r="S55" i="106"/>
  <c r="V55" i="106"/>
  <c r="W55" i="106"/>
  <c r="N56" i="106"/>
  <c r="O56" i="106" s="1"/>
  <c r="P56" i="106" s="1"/>
  <c r="Q56" i="106"/>
  <c r="V56" i="106"/>
  <c r="W56" i="106"/>
  <c r="N57" i="106"/>
  <c r="O57" i="106" s="1"/>
  <c r="P57" i="106" s="1"/>
  <c r="Q57" i="106"/>
  <c r="V57" i="106"/>
  <c r="W57" i="106"/>
  <c r="N58" i="106"/>
  <c r="O58" i="106" s="1"/>
  <c r="P58" i="106" s="1"/>
  <c r="Q58" i="106"/>
  <c r="V58" i="106"/>
  <c r="W58" i="106"/>
  <c r="N59" i="106"/>
  <c r="O59" i="106" s="1"/>
  <c r="P59" i="106" s="1"/>
  <c r="Q59" i="106"/>
  <c r="S59" i="106"/>
  <c r="V59" i="106"/>
  <c r="W59" i="106"/>
  <c r="N60" i="106"/>
  <c r="O60" i="106" s="1"/>
  <c r="P60" i="106" s="1"/>
  <c r="Q60" i="106"/>
  <c r="S60" i="106"/>
  <c r="V60" i="106"/>
  <c r="W60" i="106"/>
  <c r="E69" i="106"/>
  <c r="E70" i="106"/>
  <c r="E71" i="106"/>
  <c r="E72" i="106"/>
  <c r="E73" i="106"/>
  <c r="BA51" i="112" l="1"/>
  <c r="BB51" i="112" s="1"/>
  <c r="AY36" i="112"/>
  <c r="BB57" i="112"/>
  <c r="T20" i="112"/>
  <c r="BC36" i="112"/>
  <c r="K52" i="108"/>
  <c r="K44" i="108"/>
  <c r="N28" i="108"/>
  <c r="N30" i="108" s="1"/>
  <c r="N36" i="108" s="1"/>
  <c r="F29" i="112"/>
  <c r="J29" i="112" s="1"/>
  <c r="J13" i="112"/>
  <c r="F32" i="112"/>
  <c r="J32" i="112" s="1"/>
  <c r="F25" i="112"/>
  <c r="J25" i="112" s="1"/>
  <c r="F21" i="112"/>
  <c r="J21" i="112" s="1"/>
  <c r="F17" i="112"/>
  <c r="BB58" i="112"/>
  <c r="BA52" i="112"/>
  <c r="BB52" i="112" s="1"/>
  <c r="AY37" i="112"/>
  <c r="T21" i="112"/>
  <c r="AN42" i="112"/>
  <c r="AR42" i="112"/>
  <c r="AR43" i="112"/>
  <c r="BC37" i="112"/>
  <c r="AZ42" i="112"/>
  <c r="M28" i="108"/>
  <c r="M30" i="108" s="1"/>
  <c r="M36" i="108" s="1"/>
  <c r="I30" i="108"/>
  <c r="I32" i="108" s="1"/>
  <c r="I36" i="108" s="1"/>
  <c r="I38" i="108" s="1"/>
  <c r="N63" i="107"/>
  <c r="N59" i="107"/>
  <c r="N55" i="107"/>
  <c r="N51" i="107"/>
  <c r="N69" i="107" s="1"/>
  <c r="G47" i="107"/>
  <c r="N66" i="107"/>
  <c r="L45" i="107"/>
  <c r="R52" i="106"/>
  <c r="AU36" i="106"/>
  <c r="AI27" i="106" s="1"/>
  <c r="R48" i="106"/>
  <c r="T48" i="106" s="1"/>
  <c r="AE48" i="106" s="1"/>
  <c r="AF48" i="106" s="1"/>
  <c r="R41" i="106"/>
  <c r="T41" i="106" s="1"/>
  <c r="Y41" i="106" s="1"/>
  <c r="R37" i="106"/>
  <c r="T37" i="106" s="1"/>
  <c r="AE37" i="106" s="1"/>
  <c r="R29" i="106"/>
  <c r="R28" i="106"/>
  <c r="R60" i="106"/>
  <c r="T60" i="106" s="1"/>
  <c r="AE60" i="106" s="1"/>
  <c r="R59" i="106"/>
  <c r="T59" i="106" s="1"/>
  <c r="Y59" i="106" s="1"/>
  <c r="R56" i="106"/>
  <c r="R39" i="106"/>
  <c r="T39" i="106" s="1"/>
  <c r="Y39" i="106" s="1"/>
  <c r="R35" i="106"/>
  <c r="T35" i="106" s="1"/>
  <c r="Y35" i="106" s="1"/>
  <c r="R47" i="106"/>
  <c r="T47" i="106" s="1"/>
  <c r="Y47" i="106" s="1"/>
  <c r="R45" i="106"/>
  <c r="T45" i="106" s="1"/>
  <c r="AE45" i="106" s="1"/>
  <c r="R33" i="106"/>
  <c r="T33" i="106" s="1"/>
  <c r="R31" i="106"/>
  <c r="T31" i="106" s="1"/>
  <c r="R51" i="106"/>
  <c r="T51" i="106" s="1"/>
  <c r="AE51" i="106" s="1"/>
  <c r="R50" i="106"/>
  <c r="T50" i="106" s="1"/>
  <c r="AE50" i="106" s="1"/>
  <c r="R46" i="106"/>
  <c r="R43" i="106"/>
  <c r="T43" i="106" s="1"/>
  <c r="Y43" i="106" s="1"/>
  <c r="R40" i="106"/>
  <c r="T40" i="106" s="1"/>
  <c r="R49" i="106"/>
  <c r="T49" i="106" s="1"/>
  <c r="AE49" i="106" s="1"/>
  <c r="R44" i="106"/>
  <c r="T44" i="106" s="1"/>
  <c r="R30" i="106"/>
  <c r="T30" i="106" s="1"/>
  <c r="Y30" i="106" s="1"/>
  <c r="R58" i="106"/>
  <c r="R55" i="106"/>
  <c r="T55" i="106" s="1"/>
  <c r="AE55" i="106" s="1"/>
  <c r="R54" i="106"/>
  <c r="T54" i="106" s="1"/>
  <c r="AE54" i="106" s="1"/>
  <c r="R34" i="106"/>
  <c r="T34" i="106" s="1"/>
  <c r="Y34" i="106" s="1"/>
  <c r="AE59" i="106"/>
  <c r="AE47" i="106"/>
  <c r="R53" i="106"/>
  <c r="Y37" i="106"/>
  <c r="Q61" i="106"/>
  <c r="R57" i="106"/>
  <c r="Y50" i="106"/>
  <c r="P61" i="106"/>
  <c r="T46" i="106"/>
  <c r="R38" i="106"/>
  <c r="T38" i="106" s="1"/>
  <c r="R32" i="106"/>
  <c r="T32" i="106" s="1"/>
  <c r="R42" i="106"/>
  <c r="T42" i="106" s="1"/>
  <c r="R36" i="106"/>
  <c r="P46" i="108" l="1"/>
  <c r="P44" i="108"/>
  <c r="P43" i="108"/>
  <c r="P42" i="108"/>
  <c r="P47" i="108" s="1"/>
  <c r="P45" i="108"/>
  <c r="J17" i="112"/>
  <c r="F34" i="112"/>
  <c r="P56" i="108"/>
  <c r="P54" i="108"/>
  <c r="P52" i="108"/>
  <c r="P55" i="108"/>
  <c r="P53" i="108"/>
  <c r="P57" i="108"/>
  <c r="I52" i="108"/>
  <c r="I44" i="108"/>
  <c r="J43" i="112"/>
  <c r="J42" i="112"/>
  <c r="F55" i="107"/>
  <c r="H63" i="107"/>
  <c r="H59" i="107"/>
  <c r="H66" i="107"/>
  <c r="F51" i="107"/>
  <c r="H68" i="107" s="1"/>
  <c r="Y49" i="106"/>
  <c r="Y31" i="106"/>
  <c r="Z31" i="106" s="1"/>
  <c r="AA31" i="106" s="1"/>
  <c r="AE31" i="106"/>
  <c r="AF31" i="106" s="1"/>
  <c r="AE41" i="106"/>
  <c r="Y54" i="106"/>
  <c r="Z54" i="106" s="1"/>
  <c r="AA54" i="106" s="1"/>
  <c r="Y51" i="106"/>
  <c r="Z51" i="106" s="1"/>
  <c r="AE35" i="106"/>
  <c r="AF35" i="106" s="1"/>
  <c r="AG35" i="106" s="1"/>
  <c r="AH35" i="106" s="1"/>
  <c r="AI35" i="106" s="1"/>
  <c r="AE39" i="106"/>
  <c r="AF39" i="106" s="1"/>
  <c r="AG48" i="106"/>
  <c r="AH48" i="106" s="1"/>
  <c r="AI48" i="106" s="1"/>
  <c r="Y45" i="106"/>
  <c r="Z45" i="106" s="1"/>
  <c r="AE33" i="106"/>
  <c r="AF33" i="106" s="1"/>
  <c r="AG33" i="106" s="1"/>
  <c r="Y33" i="106"/>
  <c r="Z33" i="106" s="1"/>
  <c r="AF45" i="106"/>
  <c r="AG45" i="106" s="1"/>
  <c r="AH45" i="106" s="1"/>
  <c r="AI45" i="106" s="1"/>
  <c r="AE34" i="106"/>
  <c r="AF34" i="106" s="1"/>
  <c r="Y48" i="106"/>
  <c r="Z48" i="106" s="1"/>
  <c r="AE30" i="106"/>
  <c r="AF30" i="106" s="1"/>
  <c r="AE43" i="106"/>
  <c r="AF43" i="106" s="1"/>
  <c r="AG43" i="106" s="1"/>
  <c r="AH43" i="106" s="1"/>
  <c r="AI43" i="106" s="1"/>
  <c r="Y60" i="106"/>
  <c r="Z60" i="106" s="1"/>
  <c r="AA60" i="106" s="1"/>
  <c r="Y55" i="106"/>
  <c r="Z55" i="106" s="1"/>
  <c r="AE40" i="106"/>
  <c r="Y40" i="106"/>
  <c r="Z34" i="106"/>
  <c r="AA34" i="106" s="1"/>
  <c r="AF51" i="106"/>
  <c r="AG51" i="106" s="1"/>
  <c r="AH51" i="106" s="1"/>
  <c r="AI51" i="106" s="1"/>
  <c r="AF47" i="106"/>
  <c r="AG47" i="106" s="1"/>
  <c r="AH47" i="106" s="1"/>
  <c r="Z49" i="106"/>
  <c r="AF50" i="106"/>
  <c r="Z47" i="106"/>
  <c r="AA47" i="106" s="1"/>
  <c r="AF59" i="106"/>
  <c r="Z39" i="106"/>
  <c r="AA39" i="106" s="1"/>
  <c r="Z50" i="106"/>
  <c r="AA50" i="106" s="1"/>
  <c r="Z30" i="106"/>
  <c r="AA30" i="106" s="1"/>
  <c r="Z43" i="106"/>
  <c r="R61" i="106"/>
  <c r="AF60" i="106"/>
  <c r="AG60" i="106" s="1"/>
  <c r="AH60" i="106" s="1"/>
  <c r="AI60" i="106" s="1"/>
  <c r="AE32" i="106"/>
  <c r="Y32" i="106"/>
  <c r="Y46" i="106"/>
  <c r="AE46" i="106"/>
  <c r="Z37" i="106"/>
  <c r="Z41" i="106"/>
  <c r="Z59" i="106"/>
  <c r="Y38" i="106"/>
  <c r="AE38" i="106"/>
  <c r="AF55" i="106"/>
  <c r="Y42" i="106"/>
  <c r="AE42" i="106"/>
  <c r="AE44" i="106"/>
  <c r="Y44" i="106"/>
  <c r="AF54" i="106"/>
  <c r="AF37" i="106"/>
  <c r="Z35" i="106"/>
  <c r="AF41" i="106"/>
  <c r="AF49" i="106"/>
  <c r="AG49" i="106" s="1"/>
  <c r="O45" i="108" l="1"/>
  <c r="O42" i="108"/>
  <c r="O46" i="108"/>
  <c r="O43" i="108"/>
  <c r="O44" i="108"/>
  <c r="O57" i="108"/>
  <c r="O55" i="108"/>
  <c r="O53" i="108"/>
  <c r="O56" i="108"/>
  <c r="O52" i="108"/>
  <c r="O54" i="108"/>
  <c r="P58" i="108"/>
  <c r="J37" i="112"/>
  <c r="J38" i="112"/>
  <c r="J44" i="112"/>
  <c r="AK37" i="106"/>
  <c r="AA51" i="106"/>
  <c r="AB51" i="106" s="1"/>
  <c r="AC51" i="106" s="1"/>
  <c r="AK59" i="106"/>
  <c r="AK41" i="106"/>
  <c r="AA45" i="106"/>
  <c r="AB45" i="106" s="1"/>
  <c r="AK45" i="106"/>
  <c r="AK35" i="106"/>
  <c r="AG37" i="106"/>
  <c r="AH37" i="106" s="1"/>
  <c r="AI37" i="106" s="1"/>
  <c r="AA55" i="106"/>
  <c r="AB55" i="106" s="1"/>
  <c r="AC55" i="106" s="1"/>
  <c r="AH49" i="106"/>
  <c r="AI49" i="106" s="1"/>
  <c r="AB31" i="106"/>
  <c r="AC31" i="106" s="1"/>
  <c r="AA37" i="106"/>
  <c r="AA48" i="106"/>
  <c r="AB48" i="106" s="1"/>
  <c r="AC48" i="106" s="1"/>
  <c r="AA35" i="106"/>
  <c r="AK31" i="106"/>
  <c r="AA33" i="106"/>
  <c r="AB33" i="106" s="1"/>
  <c r="AC33" i="106" s="1"/>
  <c r="AB47" i="106"/>
  <c r="AC47" i="106" s="1"/>
  <c r="AH33" i="106"/>
  <c r="AI33" i="106" s="1"/>
  <c r="Z40" i="106"/>
  <c r="AA40" i="106" s="1"/>
  <c r="AG54" i="106"/>
  <c r="AB39" i="106"/>
  <c r="AC39" i="106" s="1"/>
  <c r="AG30" i="106"/>
  <c r="AH30" i="106" s="1"/>
  <c r="AI30" i="106" s="1"/>
  <c r="AK39" i="106"/>
  <c r="AB34" i="106"/>
  <c r="AC34" i="106" s="1"/>
  <c r="AF40" i="106"/>
  <c r="AG40" i="106" s="1"/>
  <c r="AA41" i="106"/>
  <c r="AB41" i="106" s="1"/>
  <c r="AA43" i="106"/>
  <c r="AB43" i="106" s="1"/>
  <c r="AC43" i="106" s="1"/>
  <c r="AB50" i="106"/>
  <c r="AC50" i="106" s="1"/>
  <c r="AI47" i="106"/>
  <c r="Z46" i="106"/>
  <c r="AA46" i="106" s="1"/>
  <c r="AB46" i="106" s="1"/>
  <c r="AK54" i="106"/>
  <c r="Z38" i="106"/>
  <c r="AA38" i="106" s="1"/>
  <c r="Z32" i="106"/>
  <c r="AA32" i="106" s="1"/>
  <c r="AF42" i="106"/>
  <c r="AG42" i="106" s="1"/>
  <c r="AG31" i="106"/>
  <c r="AB54" i="106"/>
  <c r="AC54" i="106" s="1"/>
  <c r="AF32" i="106"/>
  <c r="AG32" i="106" s="1"/>
  <c r="AK60" i="106"/>
  <c r="AB30" i="106"/>
  <c r="AC30" i="106" s="1"/>
  <c r="AG59" i="106"/>
  <c r="AH59" i="106" s="1"/>
  <c r="AI59" i="106" s="1"/>
  <c r="AK50" i="106"/>
  <c r="AK51" i="106"/>
  <c r="AF44" i="106"/>
  <c r="AG44" i="106" s="1"/>
  <c r="AF38" i="106"/>
  <c r="AG38" i="106" s="1"/>
  <c r="AK30" i="106"/>
  <c r="AG34" i="106"/>
  <c r="AH34" i="106" s="1"/>
  <c r="AG55" i="106"/>
  <c r="AH55" i="106" s="1"/>
  <c r="AG50" i="106"/>
  <c r="AH50" i="106" s="1"/>
  <c r="AK33" i="106"/>
  <c r="AK47" i="106"/>
  <c r="AK49" i="106"/>
  <c r="AG41" i="106"/>
  <c r="AH41" i="106" s="1"/>
  <c r="AK34" i="106"/>
  <c r="AB60" i="106"/>
  <c r="AC60" i="106" s="1"/>
  <c r="AK55" i="106"/>
  <c r="AK43" i="106"/>
  <c r="AA59" i="106"/>
  <c r="AB59" i="106" s="1"/>
  <c r="Z44" i="106"/>
  <c r="Z42" i="106"/>
  <c r="AF46" i="106"/>
  <c r="AK48" i="106"/>
  <c r="AG39" i="106"/>
  <c r="AH39" i="106" s="1"/>
  <c r="AA49" i="106"/>
  <c r="AB49" i="106" s="1"/>
  <c r="AC49" i="106" s="1"/>
  <c r="O47" i="108" l="1"/>
  <c r="O58" i="108"/>
  <c r="J39" i="112"/>
  <c r="AK44" i="106"/>
  <c r="AL35" i="106"/>
  <c r="AC45" i="106"/>
  <c r="AM45" i="106"/>
  <c r="AL45" i="106"/>
  <c r="AK40" i="106"/>
  <c r="AB40" i="106"/>
  <c r="AC40" i="106" s="1"/>
  <c r="AK46" i="106"/>
  <c r="AM39" i="106"/>
  <c r="AA44" i="106"/>
  <c r="AB44" i="106" s="1"/>
  <c r="AB35" i="106"/>
  <c r="AM35" i="106" s="1"/>
  <c r="AL37" i="106"/>
  <c r="AB37" i="106"/>
  <c r="AC37" i="106" s="1"/>
  <c r="AM41" i="106"/>
  <c r="AM59" i="106"/>
  <c r="AH54" i="106"/>
  <c r="AI54" i="106" s="1"/>
  <c r="AI50" i="106"/>
  <c r="AI74" i="106" s="1"/>
  <c r="AL31" i="106"/>
  <c r="AL40" i="106"/>
  <c r="AC41" i="106"/>
  <c r="AA42" i="106"/>
  <c r="AB42" i="106" s="1"/>
  <c r="AC42" i="106" s="1"/>
  <c r="AH31" i="106"/>
  <c r="AM31" i="106" s="1"/>
  <c r="AH40" i="106"/>
  <c r="AH44" i="106"/>
  <c r="AI44" i="106" s="1"/>
  <c r="AL54" i="106"/>
  <c r="AI55" i="106"/>
  <c r="AL48" i="106"/>
  <c r="AN48" i="106" s="1"/>
  <c r="AM48" i="106"/>
  <c r="AL34" i="106"/>
  <c r="AM34" i="106"/>
  <c r="AL39" i="106"/>
  <c r="AL59" i="106"/>
  <c r="AH74" i="106"/>
  <c r="AI34" i="106"/>
  <c r="AI41" i="106"/>
  <c r="AL33" i="106"/>
  <c r="AN33" i="106" s="1"/>
  <c r="AM33" i="106"/>
  <c r="AH38" i="106"/>
  <c r="AI38" i="106" s="1"/>
  <c r="AL50" i="106"/>
  <c r="AM50" i="106"/>
  <c r="AL60" i="106"/>
  <c r="AN60" i="106" s="1"/>
  <c r="AM60" i="106"/>
  <c r="AH42" i="106"/>
  <c r="AI42" i="106" s="1"/>
  <c r="AB32" i="106"/>
  <c r="AC32" i="106" s="1"/>
  <c r="AB38" i="106"/>
  <c r="AC38" i="106" s="1"/>
  <c r="AM47" i="106"/>
  <c r="AL47" i="106"/>
  <c r="AN47" i="106" s="1"/>
  <c r="AC59" i="106"/>
  <c r="AI39" i="106"/>
  <c r="AK32" i="106"/>
  <c r="AG46" i="106"/>
  <c r="AM43" i="106"/>
  <c r="AL43" i="106"/>
  <c r="AN43" i="106" s="1"/>
  <c r="AM55" i="106"/>
  <c r="AL55" i="106"/>
  <c r="AL49" i="106"/>
  <c r="AN49" i="106" s="1"/>
  <c r="AM49" i="106"/>
  <c r="AL30" i="106"/>
  <c r="AN30" i="106" s="1"/>
  <c r="AM30" i="106"/>
  <c r="AK38" i="106"/>
  <c r="AM51" i="106"/>
  <c r="AL51" i="106"/>
  <c r="AN51" i="106" s="1"/>
  <c r="AH32" i="106"/>
  <c r="AI32" i="106" s="1"/>
  <c r="AK42" i="106"/>
  <c r="AC46" i="106"/>
  <c r="AL41" i="106"/>
  <c r="S57" i="106"/>
  <c r="T57" i="106" s="1"/>
  <c r="S58" i="106"/>
  <c r="T58" i="106" s="1"/>
  <c r="AL46" i="106" l="1"/>
  <c r="AN50" i="106"/>
  <c r="AN45" i="106"/>
  <c r="AM44" i="106"/>
  <c r="AM37" i="106"/>
  <c r="AN55" i="106"/>
  <c r="AN39" i="106"/>
  <c r="AN37" i="106"/>
  <c r="AL44" i="106"/>
  <c r="AC44" i="106"/>
  <c r="AI31" i="106"/>
  <c r="AN31" i="106" s="1"/>
  <c r="AC35" i="106"/>
  <c r="AN35" i="106" s="1"/>
  <c r="AM54" i="106"/>
  <c r="AN54" i="106"/>
  <c r="AI40" i="106"/>
  <c r="AN40" i="106" s="1"/>
  <c r="AM40" i="106"/>
  <c r="AN34" i="106"/>
  <c r="AL38" i="106"/>
  <c r="AN38" i="106" s="1"/>
  <c r="AM38" i="106"/>
  <c r="AL32" i="106"/>
  <c r="AN32" i="106" s="1"/>
  <c r="AM32" i="106"/>
  <c r="AL42" i="106"/>
  <c r="AN42" i="106" s="1"/>
  <c r="AM42" i="106"/>
  <c r="Y57" i="106"/>
  <c r="AE57" i="106"/>
  <c r="AH46" i="106"/>
  <c r="AM46" i="106" s="1"/>
  <c r="AN41" i="106"/>
  <c r="Y58" i="106"/>
  <c r="AE58" i="106"/>
  <c r="AN59" i="106"/>
  <c r="AN44" i="106" l="1"/>
  <c r="AI46" i="106"/>
  <c r="AN46" i="106" s="1"/>
  <c r="Z58" i="106"/>
  <c r="AA58" i="106" s="1"/>
  <c r="AB58" i="106" s="1"/>
  <c r="AH73" i="106"/>
  <c r="AF57" i="106"/>
  <c r="AF58" i="106"/>
  <c r="AG58" i="106" s="1"/>
  <c r="Z57" i="106"/>
  <c r="AI73" i="106" l="1"/>
  <c r="AH58" i="106"/>
  <c r="AI58" i="106" s="1"/>
  <c r="AK58" i="106"/>
  <c r="AL58" i="106" s="1"/>
  <c r="AC58" i="106"/>
  <c r="AG57" i="106"/>
  <c r="AH57" i="106" s="1"/>
  <c r="AA57" i="106"/>
  <c r="AB57" i="106" s="1"/>
  <c r="AK57" i="106"/>
  <c r="AN58" i="106" l="1"/>
  <c r="AM58" i="106"/>
  <c r="AL57" i="106"/>
  <c r="AM57" i="106"/>
  <c r="AI57" i="106"/>
  <c r="AC57" i="106"/>
  <c r="AN57" i="106" l="1"/>
  <c r="S52" i="106" l="1"/>
  <c r="T52" i="106" s="1"/>
  <c r="AE52" i="106" l="1"/>
  <c r="Y52" i="106"/>
  <c r="S29" i="106"/>
  <c r="T29" i="106" s="1"/>
  <c r="S53" i="106"/>
  <c r="T53" i="106" s="1"/>
  <c r="Y29" i="106" l="1"/>
  <c r="AE29" i="106"/>
  <c r="Z52" i="106"/>
  <c r="AA52" i="106" s="1"/>
  <c r="Y53" i="106"/>
  <c r="AE53" i="106"/>
  <c r="AF52" i="106"/>
  <c r="S56" i="106"/>
  <c r="T56" i="106" s="1"/>
  <c r="AK52" i="106" l="1"/>
  <c r="AG52" i="106"/>
  <c r="AF53" i="106"/>
  <c r="AG53" i="106" s="1"/>
  <c r="Z53" i="106"/>
  <c r="AA53" i="106" s="1"/>
  <c r="AF29" i="106"/>
  <c r="AG29" i="106" s="1"/>
  <c r="AE56" i="106"/>
  <c r="Y56" i="106"/>
  <c r="AB52" i="106"/>
  <c r="Z29" i="106"/>
  <c r="AA29" i="106" s="1"/>
  <c r="AB29" i="106" s="1"/>
  <c r="AL52" i="106" l="1"/>
  <c r="AH52" i="106"/>
  <c r="AI52" i="106" s="1"/>
  <c r="AH29" i="106"/>
  <c r="AI29" i="106" s="1"/>
  <c r="AH53" i="106"/>
  <c r="AI53" i="106" s="1"/>
  <c r="Z56" i="106"/>
  <c r="AA56" i="106" s="1"/>
  <c r="AF56" i="106"/>
  <c r="AG56" i="106"/>
  <c r="AK29" i="106"/>
  <c r="AK53" i="106"/>
  <c r="AB53" i="106"/>
  <c r="AC29" i="106"/>
  <c r="AC52" i="106"/>
  <c r="AM52" i="106" l="1"/>
  <c r="AH56" i="106"/>
  <c r="AI56" i="106" s="1"/>
  <c r="AC53" i="106"/>
  <c r="AL29" i="106"/>
  <c r="AN29" i="106" s="1"/>
  <c r="AM29" i="106"/>
  <c r="AK56" i="106"/>
  <c r="AB56" i="106"/>
  <c r="AL53" i="106"/>
  <c r="AM53" i="106"/>
  <c r="AN52" i="106"/>
  <c r="AH75" i="106" l="1"/>
  <c r="AN53" i="106"/>
  <c r="AC56" i="106"/>
  <c r="AI75" i="106" s="1"/>
  <c r="AM56" i="106"/>
  <c r="AL56" i="106"/>
  <c r="AN56" i="106" l="1"/>
  <c r="S28" i="106" l="1"/>
  <c r="T28" i="106" l="1"/>
  <c r="AE28" i="106" l="1"/>
  <c r="Y28" i="106"/>
  <c r="AF28" i="106" l="1"/>
  <c r="AG28" i="106" s="1"/>
  <c r="Z28" i="106"/>
  <c r="AA28" i="106" s="1"/>
  <c r="AK28" i="106" l="1"/>
  <c r="AB28" i="106"/>
  <c r="AH28" i="106"/>
  <c r="AI28" i="106" s="1"/>
  <c r="S36" i="106"/>
  <c r="T36" i="106" l="1"/>
  <c r="S61" i="106"/>
  <c r="T61" i="106" s="1"/>
  <c r="AL28" i="106"/>
  <c r="AM28" i="106"/>
  <c r="AH70" i="106"/>
  <c r="AC28" i="106"/>
  <c r="S62" i="106"/>
  <c r="AN28" i="106" l="1"/>
  <c r="AI70" i="106"/>
  <c r="AE36" i="106"/>
  <c r="Y36" i="106"/>
  <c r="AF36" i="106" l="1"/>
  <c r="AF61" i="106" s="1"/>
  <c r="AE61" i="106"/>
  <c r="Z36" i="106"/>
  <c r="AA36" i="106" s="1"/>
  <c r="AA61" i="106" s="1"/>
  <c r="Y61" i="106"/>
  <c r="AG36" i="106" l="1"/>
  <c r="AG61" i="106" s="1"/>
  <c r="AG64" i="106" s="1"/>
  <c r="Z61" i="106"/>
  <c r="AF64" i="106" s="1"/>
  <c r="AK36" i="106"/>
  <c r="AB36" i="106"/>
  <c r="AB61" i="106" s="1"/>
  <c r="AH36" i="106" l="1"/>
  <c r="AH61" i="106" s="1"/>
  <c r="AH64" i="106" s="1"/>
  <c r="AH66" i="106" s="1"/>
  <c r="AC36" i="106"/>
  <c r="AL36" i="106"/>
  <c r="AK61" i="106"/>
  <c r="AH72" i="106" l="1"/>
  <c r="AH76" i="106" s="1"/>
  <c r="AI36" i="106"/>
  <c r="AI61" i="106" s="1"/>
  <c r="AM36" i="106"/>
  <c r="AM61" i="106" s="1"/>
  <c r="AN36" i="106"/>
  <c r="AN61" i="106" s="1"/>
  <c r="AL61" i="106"/>
  <c r="AI72" i="106"/>
  <c r="AI76" i="106" s="1"/>
  <c r="AC61" i="106"/>
  <c r="AI64" i="106" l="1"/>
  <c r="AI66" i="106" s="1"/>
  <c r="AJ71" i="106"/>
  <c r="AJ74" i="106"/>
  <c r="AJ73" i="106"/>
  <c r="AJ75" i="106"/>
  <c r="AJ70" i="106"/>
  <c r="AJ72" i="106"/>
  <c r="AZ77" i="1" l="1"/>
  <c r="AZ33" i="1"/>
  <c r="AC45" i="1"/>
  <c r="AC77" i="1"/>
  <c r="AC33" i="1"/>
  <c r="BJ54" i="105"/>
  <c r="BI54" i="105"/>
  <c r="BH54" i="105"/>
  <c r="BG54" i="105"/>
  <c r="BF54" i="105"/>
  <c r="BE54" i="105"/>
  <c r="BD54" i="105"/>
  <c r="BC54" i="105"/>
  <c r="BB54" i="105"/>
  <c r="BA54" i="105"/>
  <c r="AZ54" i="105"/>
  <c r="AY54" i="105"/>
  <c r="AX54" i="105"/>
  <c r="AG46" i="105"/>
  <c r="AG47" i="105" s="1"/>
  <c r="AB46" i="105"/>
  <c r="AB47" i="105" s="1"/>
  <c r="AB48" i="105" s="1"/>
  <c r="AB49" i="105" s="1"/>
  <c r="AB50" i="105" s="1"/>
  <c r="AB51" i="105" s="1"/>
  <c r="AB52" i="105" s="1"/>
  <c r="AB53" i="105" s="1"/>
  <c r="AB54" i="105" s="1"/>
  <c r="AB55" i="105" s="1"/>
  <c r="AB56" i="105" s="1"/>
  <c r="AB57" i="105" s="1"/>
  <c r="AB58" i="105" s="1"/>
  <c r="AB59" i="105" s="1"/>
  <c r="C46" i="105"/>
  <c r="BU45" i="105"/>
  <c r="BT45" i="105"/>
  <c r="BS45" i="105"/>
  <c r="BR45" i="105"/>
  <c r="BQ45" i="105"/>
  <c r="BP45" i="105"/>
  <c r="BO45" i="105"/>
  <c r="BN45" i="105"/>
  <c r="BM45" i="105"/>
  <c r="BL45" i="105"/>
  <c r="BK45" i="105"/>
  <c r="BJ45" i="105"/>
  <c r="BI45" i="105"/>
  <c r="BH45" i="105"/>
  <c r="BG45" i="105"/>
  <c r="BF45" i="105"/>
  <c r="BE45" i="105"/>
  <c r="BD45" i="105"/>
  <c r="BC45" i="105"/>
  <c r="BB45" i="105"/>
  <c r="BA45" i="105"/>
  <c r="AZ45" i="105"/>
  <c r="AY45" i="105"/>
  <c r="AX45" i="105"/>
  <c r="AJ45" i="105"/>
  <c r="AI45" i="105"/>
  <c r="AH45" i="105"/>
  <c r="AH46" i="105" s="1"/>
  <c r="AH47" i="105" s="1"/>
  <c r="AH48" i="105" s="1"/>
  <c r="AH49" i="105" s="1"/>
  <c r="AH50" i="105" s="1"/>
  <c r="AH51" i="105" s="1"/>
  <c r="AH52" i="105" s="1"/>
  <c r="AH53" i="105" s="1"/>
  <c r="AH54" i="105" s="1"/>
  <c r="AH55" i="105" s="1"/>
  <c r="AH56" i="105" s="1"/>
  <c r="AH57" i="105" s="1"/>
  <c r="AH58" i="105" s="1"/>
  <c r="AH59" i="105" s="1"/>
  <c r="AG45" i="105"/>
  <c r="AD45" i="105"/>
  <c r="AC45" i="105"/>
  <c r="AC46" i="105" s="1"/>
  <c r="AC47" i="105" s="1"/>
  <c r="AC48" i="105" s="1"/>
  <c r="AC49" i="105" s="1"/>
  <c r="AC50" i="105" s="1"/>
  <c r="AC51" i="105" s="1"/>
  <c r="AC52" i="105" s="1"/>
  <c r="AC53" i="105" s="1"/>
  <c r="AC54" i="105" s="1"/>
  <c r="AC55" i="105" s="1"/>
  <c r="AC56" i="105" s="1"/>
  <c r="AC57" i="105" s="1"/>
  <c r="AC58" i="105" s="1"/>
  <c r="AC59" i="105" s="1"/>
  <c r="AB45" i="105"/>
  <c r="AA45" i="105"/>
  <c r="C45" i="105"/>
  <c r="BU42" i="105"/>
  <c r="BT42" i="105"/>
  <c r="BS42" i="105"/>
  <c r="BS44" i="105" s="1"/>
  <c r="BS46" i="105" s="1"/>
  <c r="BR42" i="105"/>
  <c r="BQ42" i="105"/>
  <c r="BP42" i="105"/>
  <c r="BO42" i="105"/>
  <c r="BO44" i="105" s="1"/>
  <c r="BO46" i="105" s="1"/>
  <c r="BN42" i="105"/>
  <c r="BM42" i="105"/>
  <c r="BL42" i="105"/>
  <c r="BK42" i="105"/>
  <c r="BK44" i="105" s="1"/>
  <c r="BK46" i="105" s="1"/>
  <c r="BJ42" i="105"/>
  <c r="BI42" i="105"/>
  <c r="BH42" i="105"/>
  <c r="BG42" i="105"/>
  <c r="BG44" i="105" s="1"/>
  <c r="BF42" i="105"/>
  <c r="BE42" i="105"/>
  <c r="BD42" i="105"/>
  <c r="BC42" i="105"/>
  <c r="BC44" i="105" s="1"/>
  <c r="BB42" i="105"/>
  <c r="BA42" i="105"/>
  <c r="AZ42" i="105"/>
  <c r="AY42" i="105"/>
  <c r="AY44" i="105" s="1"/>
  <c r="AX42" i="105"/>
  <c r="BU37" i="105"/>
  <c r="BT37" i="105"/>
  <c r="BS37" i="105"/>
  <c r="BR37" i="105"/>
  <c r="BQ37" i="105"/>
  <c r="BP37" i="105"/>
  <c r="BO37" i="105"/>
  <c r="BN37" i="105"/>
  <c r="BM37" i="105"/>
  <c r="BL37" i="105"/>
  <c r="BK37" i="105"/>
  <c r="BJ37" i="105"/>
  <c r="BI37" i="105"/>
  <c r="BH37" i="105"/>
  <c r="BG37" i="105"/>
  <c r="BF37" i="105"/>
  <c r="BE37" i="105"/>
  <c r="BD37" i="105"/>
  <c r="BC37" i="105"/>
  <c r="BB37" i="105"/>
  <c r="BA37" i="105"/>
  <c r="AZ37" i="105"/>
  <c r="AY37" i="105"/>
  <c r="AX37" i="105"/>
  <c r="BU27" i="105"/>
  <c r="BT27" i="105"/>
  <c r="BS27" i="105"/>
  <c r="BR27" i="105"/>
  <c r="BQ27" i="105"/>
  <c r="BP27" i="105"/>
  <c r="BO27" i="105"/>
  <c r="BN27" i="105"/>
  <c r="BM27" i="105"/>
  <c r="BL27" i="105"/>
  <c r="BK27" i="105"/>
  <c r="BJ27" i="105"/>
  <c r="BI27" i="105"/>
  <c r="BH27" i="105"/>
  <c r="BG27" i="105"/>
  <c r="BF27" i="105"/>
  <c r="BE27" i="105"/>
  <c r="BD27" i="105"/>
  <c r="BC27" i="105"/>
  <c r="BB27" i="105"/>
  <c r="BA27" i="105"/>
  <c r="AZ27" i="105"/>
  <c r="AY27" i="105"/>
  <c r="AX27" i="105"/>
  <c r="BU22" i="105"/>
  <c r="BT22" i="105"/>
  <c r="BS22" i="105"/>
  <c r="BR22" i="105"/>
  <c r="BQ22" i="105"/>
  <c r="BP22" i="105"/>
  <c r="BO22" i="105"/>
  <c r="BN22" i="105"/>
  <c r="BM22" i="105"/>
  <c r="BL22" i="105"/>
  <c r="BK22" i="105"/>
  <c r="BJ22" i="105"/>
  <c r="BI22" i="105"/>
  <c r="BH22" i="105"/>
  <c r="BG22" i="105"/>
  <c r="BF22" i="105"/>
  <c r="BE22" i="105"/>
  <c r="BD22" i="105"/>
  <c r="BC22" i="105"/>
  <c r="BB22" i="105"/>
  <c r="BA22" i="105"/>
  <c r="AZ22" i="105"/>
  <c r="AY22" i="105"/>
  <c r="AX22" i="105"/>
  <c r="BU16" i="105"/>
  <c r="BT16" i="105"/>
  <c r="BS16" i="105"/>
  <c r="BR16" i="105"/>
  <c r="BQ16" i="105"/>
  <c r="BP16" i="105"/>
  <c r="BO16" i="105"/>
  <c r="BN16" i="105"/>
  <c r="BM16" i="105"/>
  <c r="BL16" i="105"/>
  <c r="BK16" i="105"/>
  <c r="BJ16" i="105"/>
  <c r="BI16" i="105"/>
  <c r="BH16" i="105"/>
  <c r="BG16" i="105"/>
  <c r="BF16" i="105"/>
  <c r="BE16" i="105"/>
  <c r="BD16" i="105"/>
  <c r="BC16" i="105"/>
  <c r="BB16" i="105"/>
  <c r="BA16" i="105"/>
  <c r="AZ16" i="105"/>
  <c r="AY16" i="105"/>
  <c r="AX16" i="105"/>
  <c r="BU11" i="105"/>
  <c r="BU44" i="105" s="1"/>
  <c r="BU46" i="105" s="1"/>
  <c r="BT11" i="105"/>
  <c r="BT44" i="105" s="1"/>
  <c r="BT46" i="105" s="1"/>
  <c r="BS11" i="105"/>
  <c r="BR11" i="105"/>
  <c r="BR44" i="105" s="1"/>
  <c r="BR46" i="105" s="1"/>
  <c r="BQ11" i="105"/>
  <c r="BQ44" i="105" s="1"/>
  <c r="BQ46" i="105" s="1"/>
  <c r="BP11" i="105"/>
  <c r="BP44" i="105" s="1"/>
  <c r="BP46" i="105" s="1"/>
  <c r="BO11" i="105"/>
  <c r="BN11" i="105"/>
  <c r="BN44" i="105" s="1"/>
  <c r="BN46" i="105" s="1"/>
  <c r="BM11" i="105"/>
  <c r="BM44" i="105" s="1"/>
  <c r="BM46" i="105" s="1"/>
  <c r="BL11" i="105"/>
  <c r="BL44" i="105" s="1"/>
  <c r="BL46" i="105" s="1"/>
  <c r="BK11" i="105"/>
  <c r="BJ11" i="105"/>
  <c r="BJ44" i="105" s="1"/>
  <c r="BI11" i="105"/>
  <c r="BI44" i="105" s="1"/>
  <c r="BH11" i="105"/>
  <c r="BH44" i="105" s="1"/>
  <c r="BG11" i="105"/>
  <c r="BF11" i="105"/>
  <c r="BF44" i="105" s="1"/>
  <c r="BE11" i="105"/>
  <c r="BE44" i="105" s="1"/>
  <c r="BD11" i="105"/>
  <c r="BD44" i="105" s="1"/>
  <c r="BC11" i="105"/>
  <c r="BB11" i="105"/>
  <c r="BB44" i="105" s="1"/>
  <c r="BA11" i="105"/>
  <c r="BA44" i="105" s="1"/>
  <c r="AZ11" i="105"/>
  <c r="AZ44" i="105" s="1"/>
  <c r="AY11" i="105"/>
  <c r="AX11" i="105"/>
  <c r="AX44" i="105" s="1"/>
  <c r="AK6" i="105"/>
  <c r="AE6" i="105"/>
  <c r="K3" i="105" s="1"/>
  <c r="M3" i="105" s="1"/>
  <c r="R3" i="105"/>
  <c r="T3" i="105" s="1"/>
  <c r="AK1" i="105"/>
  <c r="AE1" i="105"/>
  <c r="BG55" i="105" l="1"/>
  <c r="AP5" i="105" s="1"/>
  <c r="BG46" i="105"/>
  <c r="BC55" i="105"/>
  <c r="BC46" i="105"/>
  <c r="AZ46" i="105"/>
  <c r="AZ55" i="105"/>
  <c r="BH46" i="105"/>
  <c r="BH55" i="105"/>
  <c r="BA55" i="105"/>
  <c r="BA46" i="105"/>
  <c r="BI55" i="105"/>
  <c r="AP9" i="105" s="1"/>
  <c r="BI46" i="105"/>
  <c r="AG48" i="105"/>
  <c r="AY55" i="105"/>
  <c r="AY50" i="105"/>
  <c r="AY46" i="105"/>
  <c r="BD46" i="105"/>
  <c r="BD55" i="105"/>
  <c r="BE46" i="105"/>
  <c r="BE55" i="105"/>
  <c r="AX55" i="105"/>
  <c r="AX50" i="105"/>
  <c r="AX46" i="105"/>
  <c r="BB55" i="105"/>
  <c r="BB46" i="105"/>
  <c r="BF55" i="105"/>
  <c r="AP4" i="105" s="1"/>
  <c r="AP7" i="105" s="1"/>
  <c r="BF46" i="105"/>
  <c r="BJ55" i="105"/>
  <c r="AP14" i="105" s="1"/>
  <c r="BJ46" i="105"/>
  <c r="AD60" i="105"/>
  <c r="AD61" i="105" s="1"/>
  <c r="AD62" i="105" s="1"/>
  <c r="AD63" i="105" s="1"/>
  <c r="AD64" i="105" s="1"/>
  <c r="AD65" i="105" s="1"/>
  <c r="AD66" i="105" s="1"/>
  <c r="AD67" i="105" s="1"/>
  <c r="AD68" i="105" s="1"/>
  <c r="AD69" i="105" s="1"/>
  <c r="AD70" i="105" s="1"/>
  <c r="AD71" i="105" s="1"/>
  <c r="AD72" i="105" s="1"/>
  <c r="AD73" i="105" s="1"/>
  <c r="AD74" i="105" s="1"/>
  <c r="AD75" i="105" s="1"/>
  <c r="AD76" i="105" s="1"/>
  <c r="AD77" i="105" s="1"/>
  <c r="AD78" i="105" s="1"/>
  <c r="AD79" i="105" s="1"/>
  <c r="AD80" i="105" s="1"/>
  <c r="AD81" i="105" s="1"/>
  <c r="AD82" i="105" s="1"/>
  <c r="AD83" i="105" s="1"/>
  <c r="AD84" i="105" s="1"/>
  <c r="AD85" i="105" s="1"/>
  <c r="AD86" i="105" s="1"/>
  <c r="AD87" i="105" s="1"/>
  <c r="AD88" i="105" s="1"/>
  <c r="AD89" i="105" s="1"/>
  <c r="AD90" i="105" s="1"/>
  <c r="AD91" i="105" s="1"/>
  <c r="AD92" i="105" s="1"/>
  <c r="AD93" i="105" s="1"/>
  <c r="AD94" i="105" s="1"/>
  <c r="AD95" i="105" s="1"/>
  <c r="AD96" i="105" s="1"/>
  <c r="AD97" i="105" s="1"/>
  <c r="AD98" i="105" s="1"/>
  <c r="AD99" i="105" s="1"/>
  <c r="AD100" i="105" s="1"/>
  <c r="AD101" i="105" s="1"/>
  <c r="AD102" i="105" s="1"/>
  <c r="AD103" i="105" s="1"/>
  <c r="AD104" i="105" s="1"/>
  <c r="AD105" i="105" s="1"/>
  <c r="AD106" i="105" s="1"/>
  <c r="AD107" i="105" s="1"/>
  <c r="AD108" i="105" s="1"/>
  <c r="AD109" i="105" s="1"/>
  <c r="AD110" i="105" s="1"/>
  <c r="AD111" i="105" s="1"/>
  <c r="AD112" i="105" s="1"/>
  <c r="AD113" i="105" s="1"/>
  <c r="AD114" i="105" s="1"/>
  <c r="AD115" i="105" s="1"/>
  <c r="AD116" i="105" s="1"/>
  <c r="AD117" i="105" s="1"/>
  <c r="AD118" i="105" s="1"/>
  <c r="AD119" i="105" s="1"/>
  <c r="AD120" i="105" s="1"/>
  <c r="AD121" i="105" s="1"/>
  <c r="AD122" i="105" s="1"/>
  <c r="AD123" i="105" s="1"/>
  <c r="AD124" i="105" s="1"/>
  <c r="AD125" i="105" s="1"/>
  <c r="AD126" i="105" s="1"/>
  <c r="AD127" i="105" s="1"/>
  <c r="AD128" i="105" s="1"/>
  <c r="AD129" i="105" s="1"/>
  <c r="AD130" i="105" s="1"/>
  <c r="AD131" i="105" s="1"/>
  <c r="AD132" i="105" s="1"/>
  <c r="AD133" i="105" s="1"/>
  <c r="AD134" i="105" s="1"/>
  <c r="AD135" i="105" s="1"/>
  <c r="AD136" i="105" s="1"/>
  <c r="AD137" i="105" s="1"/>
  <c r="AD138" i="105" s="1"/>
  <c r="AD139" i="105" s="1"/>
  <c r="AD140" i="105" s="1"/>
  <c r="AD141" i="105" s="1"/>
  <c r="AD142" i="105" s="1"/>
  <c r="AD143" i="105" s="1"/>
  <c r="AD144" i="105" s="1"/>
  <c r="AD145" i="105" s="1"/>
  <c r="AD146" i="105" s="1"/>
  <c r="AD147" i="105" s="1"/>
  <c r="AD148" i="105" s="1"/>
  <c r="AD149" i="105" s="1"/>
  <c r="AD150" i="105" s="1"/>
  <c r="AD151" i="105" s="1"/>
  <c r="AD152" i="105" s="1"/>
  <c r="AD153" i="105" s="1"/>
  <c r="AD154" i="105" s="1"/>
  <c r="AD155" i="105" s="1"/>
  <c r="AD156" i="105" s="1"/>
  <c r="AD157" i="105" s="1"/>
  <c r="AD158" i="105" s="1"/>
  <c r="AD159" i="105" s="1"/>
  <c r="AD160" i="105" s="1"/>
  <c r="AD161" i="105" s="1"/>
  <c r="AD162" i="105" s="1"/>
  <c r="AD163" i="105" s="1"/>
  <c r="AD164" i="105" s="1"/>
  <c r="AD165" i="105" s="1"/>
  <c r="AD166" i="105" s="1"/>
  <c r="AD167" i="105" s="1"/>
  <c r="AD168" i="105" s="1"/>
  <c r="AD169" i="105" s="1"/>
  <c r="AD170" i="105" s="1"/>
  <c r="AD171" i="105" s="1"/>
  <c r="AD172" i="105" s="1"/>
  <c r="AD173" i="105" s="1"/>
  <c r="AD174" i="105" s="1"/>
  <c r="AD175" i="105" s="1"/>
  <c r="AD176" i="105" s="1"/>
  <c r="AD177" i="105" s="1"/>
  <c r="AD178" i="105" s="1"/>
  <c r="AD179" i="105" s="1"/>
  <c r="AD180" i="105" s="1"/>
  <c r="AD181" i="105" s="1"/>
  <c r="AD182" i="105" s="1"/>
  <c r="AD183" i="105" s="1"/>
  <c r="AD184" i="105" s="1"/>
  <c r="AD185" i="105" s="1"/>
  <c r="AD186" i="105" s="1"/>
  <c r="AD187" i="105" s="1"/>
  <c r="AC60" i="105"/>
  <c r="AC61" i="105" s="1"/>
  <c r="AC62" i="105" s="1"/>
  <c r="AC63" i="105" s="1"/>
  <c r="AC64" i="105" s="1"/>
  <c r="AC65" i="105" s="1"/>
  <c r="AC66" i="105" s="1"/>
  <c r="AC67" i="105" s="1"/>
  <c r="AC68" i="105" s="1"/>
  <c r="AC69" i="105" s="1"/>
  <c r="AC70" i="105" s="1"/>
  <c r="AC71" i="105" s="1"/>
  <c r="AC72" i="105" s="1"/>
  <c r="AC73" i="105" s="1"/>
  <c r="AC74" i="105" s="1"/>
  <c r="AC75" i="105" s="1"/>
  <c r="AC76" i="105" s="1"/>
  <c r="AC77" i="105" s="1"/>
  <c r="AC78" i="105" s="1"/>
  <c r="AC79" i="105" s="1"/>
  <c r="AC80" i="105" s="1"/>
  <c r="AC81" i="105" s="1"/>
  <c r="AC82" i="105" s="1"/>
  <c r="AC83" i="105" s="1"/>
  <c r="AC84" i="105" s="1"/>
  <c r="AC85" i="105" s="1"/>
  <c r="AC86" i="105" s="1"/>
  <c r="AC87" i="105" s="1"/>
  <c r="AC88" i="105" s="1"/>
  <c r="AC89" i="105" s="1"/>
  <c r="AC90" i="105" s="1"/>
  <c r="AC91" i="105" s="1"/>
  <c r="AC92" i="105" s="1"/>
  <c r="AC93" i="105" s="1"/>
  <c r="AC94" i="105" s="1"/>
  <c r="AC95" i="105" s="1"/>
  <c r="AC96" i="105" s="1"/>
  <c r="AC97" i="105" s="1"/>
  <c r="AC98" i="105" s="1"/>
  <c r="AC99" i="105" s="1"/>
  <c r="AC100" i="105" s="1"/>
  <c r="AC101" i="105" s="1"/>
  <c r="AC102" i="105" s="1"/>
  <c r="AC103" i="105" s="1"/>
  <c r="AC104" i="105" s="1"/>
  <c r="AC105" i="105" s="1"/>
  <c r="AC106" i="105" s="1"/>
  <c r="AC107" i="105" s="1"/>
  <c r="AC108" i="105" s="1"/>
  <c r="AC109" i="105" s="1"/>
  <c r="AC110" i="105" s="1"/>
  <c r="AC111" i="105" s="1"/>
  <c r="AC112" i="105" s="1"/>
  <c r="AC113" i="105" s="1"/>
  <c r="AC114" i="105" s="1"/>
  <c r="AC115" i="105" s="1"/>
  <c r="AC116" i="105" s="1"/>
  <c r="AC117" i="105" s="1"/>
  <c r="AC118" i="105" s="1"/>
  <c r="AC119" i="105" s="1"/>
  <c r="AC120" i="105" s="1"/>
  <c r="AC121" i="105" s="1"/>
  <c r="AC122" i="105" s="1"/>
  <c r="AC123" i="105" s="1"/>
  <c r="AC124" i="105" s="1"/>
  <c r="AC125" i="105" s="1"/>
  <c r="AC126" i="105" s="1"/>
  <c r="AC127" i="105" s="1"/>
  <c r="AC128" i="105" s="1"/>
  <c r="AC129" i="105" s="1"/>
  <c r="AC130" i="105" s="1"/>
  <c r="AC131" i="105" s="1"/>
  <c r="AC132" i="105" s="1"/>
  <c r="AC133" i="105" s="1"/>
  <c r="AC134" i="105" s="1"/>
  <c r="AC135" i="105" s="1"/>
  <c r="AC136" i="105" s="1"/>
  <c r="AC137" i="105" s="1"/>
  <c r="AC138" i="105" s="1"/>
  <c r="AC139" i="105" s="1"/>
  <c r="AC140" i="105" s="1"/>
  <c r="AC141" i="105" s="1"/>
  <c r="AC142" i="105" s="1"/>
  <c r="AC143" i="105" s="1"/>
  <c r="AC144" i="105" s="1"/>
  <c r="AC145" i="105" s="1"/>
  <c r="AC146" i="105" s="1"/>
  <c r="AC147" i="105" s="1"/>
  <c r="AC148" i="105" s="1"/>
  <c r="AC149" i="105" s="1"/>
  <c r="AC150" i="105" s="1"/>
  <c r="AC151" i="105" s="1"/>
  <c r="AC152" i="105" s="1"/>
  <c r="AC153" i="105" s="1"/>
  <c r="AC154" i="105" s="1"/>
  <c r="AC155" i="105" s="1"/>
  <c r="AC156" i="105" s="1"/>
  <c r="AC157" i="105" s="1"/>
  <c r="AC158" i="105" s="1"/>
  <c r="AC159" i="105" s="1"/>
  <c r="AC160" i="105" s="1"/>
  <c r="AC161" i="105" s="1"/>
  <c r="AC162" i="105" s="1"/>
  <c r="AC163" i="105" s="1"/>
  <c r="AC164" i="105" s="1"/>
  <c r="AC165" i="105" s="1"/>
  <c r="AC166" i="105" s="1"/>
  <c r="AC167" i="105" s="1"/>
  <c r="AC168" i="105" s="1"/>
  <c r="AC169" i="105" s="1"/>
  <c r="AC170" i="105" s="1"/>
  <c r="AC171" i="105" s="1"/>
  <c r="AC172" i="105" s="1"/>
  <c r="AC173" i="105" s="1"/>
  <c r="AC174" i="105" s="1"/>
  <c r="AC175" i="105" s="1"/>
  <c r="AC176" i="105" s="1"/>
  <c r="AC177" i="105" s="1"/>
  <c r="AC178" i="105" s="1"/>
  <c r="AC179" i="105" s="1"/>
  <c r="AC180" i="105" s="1"/>
  <c r="AC181" i="105" s="1"/>
  <c r="AC182" i="105" s="1"/>
  <c r="AC183" i="105" s="1"/>
  <c r="AC184" i="105" s="1"/>
  <c r="AC185" i="105" s="1"/>
  <c r="AC186" i="105" s="1"/>
  <c r="AC187" i="105" s="1"/>
  <c r="AH60" i="105"/>
  <c r="AH61" i="105" s="1"/>
  <c r="AH62" i="105" s="1"/>
  <c r="AH63" i="105" s="1"/>
  <c r="AH64" i="105" s="1"/>
  <c r="AH65" i="105" s="1"/>
  <c r="AH66" i="105" s="1"/>
  <c r="AH67" i="105" s="1"/>
  <c r="AH68" i="105" s="1"/>
  <c r="AH69" i="105" s="1"/>
  <c r="AH70" i="105" s="1"/>
  <c r="AH71" i="105" s="1"/>
  <c r="AH72" i="105" s="1"/>
  <c r="AH73" i="105" s="1"/>
  <c r="AH74" i="105" s="1"/>
  <c r="AH75" i="105" s="1"/>
  <c r="AH76" i="105" s="1"/>
  <c r="AH77" i="105" s="1"/>
  <c r="AH78" i="105" s="1"/>
  <c r="AH79" i="105" s="1"/>
  <c r="AH80" i="105" s="1"/>
  <c r="AH81" i="105" s="1"/>
  <c r="AH82" i="105" s="1"/>
  <c r="AH83" i="105" s="1"/>
  <c r="AH84" i="105" s="1"/>
  <c r="AH85" i="105" s="1"/>
  <c r="AH86" i="105" s="1"/>
  <c r="AH87" i="105" s="1"/>
  <c r="AH88" i="105" s="1"/>
  <c r="AH89" i="105" s="1"/>
  <c r="AH90" i="105" s="1"/>
  <c r="AH91" i="105" s="1"/>
  <c r="AH92" i="105" s="1"/>
  <c r="AH93" i="105" s="1"/>
  <c r="AH94" i="105" s="1"/>
  <c r="AH95" i="105" s="1"/>
  <c r="AH96" i="105" s="1"/>
  <c r="AH97" i="105" s="1"/>
  <c r="AH98" i="105" s="1"/>
  <c r="AH99" i="105" s="1"/>
  <c r="AH100" i="105" s="1"/>
  <c r="AH101" i="105" s="1"/>
  <c r="AH102" i="105" s="1"/>
  <c r="AH103" i="105" s="1"/>
  <c r="AH104" i="105" s="1"/>
  <c r="AH105" i="105" s="1"/>
  <c r="AH106" i="105" s="1"/>
  <c r="AH107" i="105" s="1"/>
  <c r="AH108" i="105" s="1"/>
  <c r="AH109" i="105" s="1"/>
  <c r="AH110" i="105" s="1"/>
  <c r="AH111" i="105" s="1"/>
  <c r="AH112" i="105" s="1"/>
  <c r="AH113" i="105" s="1"/>
  <c r="AH114" i="105" s="1"/>
  <c r="AH115" i="105" s="1"/>
  <c r="AH116" i="105" s="1"/>
  <c r="AH117" i="105" s="1"/>
  <c r="AH118" i="105" s="1"/>
  <c r="AH119" i="105" s="1"/>
  <c r="AH120" i="105" s="1"/>
  <c r="AH121" i="105" s="1"/>
  <c r="AH122" i="105" s="1"/>
  <c r="AH123" i="105" s="1"/>
  <c r="AH124" i="105" s="1"/>
  <c r="AH125" i="105" s="1"/>
  <c r="AH126" i="105" s="1"/>
  <c r="AH127" i="105" s="1"/>
  <c r="AH128" i="105" s="1"/>
  <c r="AH129" i="105" s="1"/>
  <c r="AH130" i="105" s="1"/>
  <c r="AH131" i="105" s="1"/>
  <c r="AH132" i="105" s="1"/>
  <c r="AH133" i="105" s="1"/>
  <c r="AH134" i="105" s="1"/>
  <c r="AH135" i="105" s="1"/>
  <c r="AH136" i="105" s="1"/>
  <c r="AH137" i="105" s="1"/>
  <c r="AH138" i="105" s="1"/>
  <c r="AH139" i="105" s="1"/>
  <c r="AH140" i="105" s="1"/>
  <c r="AH141" i="105" s="1"/>
  <c r="AH142" i="105" s="1"/>
  <c r="AH143" i="105" s="1"/>
  <c r="AH144" i="105" s="1"/>
  <c r="AH145" i="105" s="1"/>
  <c r="AH146" i="105" s="1"/>
  <c r="AH147" i="105" s="1"/>
  <c r="AH148" i="105" s="1"/>
  <c r="AH149" i="105" s="1"/>
  <c r="AH150" i="105" s="1"/>
  <c r="AH151" i="105" s="1"/>
  <c r="AH152" i="105" s="1"/>
  <c r="AH153" i="105" s="1"/>
  <c r="AH154" i="105" s="1"/>
  <c r="AH155" i="105" s="1"/>
  <c r="AH156" i="105" s="1"/>
  <c r="AH157" i="105" s="1"/>
  <c r="AH158" i="105" s="1"/>
  <c r="AH159" i="105" s="1"/>
  <c r="AH160" i="105" s="1"/>
  <c r="AH161" i="105" s="1"/>
  <c r="AH162" i="105" s="1"/>
  <c r="AH163" i="105" s="1"/>
  <c r="AH164" i="105" s="1"/>
  <c r="AH165" i="105" s="1"/>
  <c r="AH166" i="105" s="1"/>
  <c r="AH167" i="105" s="1"/>
  <c r="AH168" i="105" s="1"/>
  <c r="AH169" i="105" s="1"/>
  <c r="AH170" i="105" s="1"/>
  <c r="AH171" i="105" s="1"/>
  <c r="AH172" i="105" s="1"/>
  <c r="AH173" i="105" s="1"/>
  <c r="AH174" i="105" s="1"/>
  <c r="AH175" i="105" s="1"/>
  <c r="AH176" i="105" s="1"/>
  <c r="AH177" i="105" s="1"/>
  <c r="AH178" i="105" s="1"/>
  <c r="AH179" i="105" s="1"/>
  <c r="AH180" i="105" s="1"/>
  <c r="AH181" i="105" s="1"/>
  <c r="AH182" i="105" s="1"/>
  <c r="AH183" i="105" s="1"/>
  <c r="AH184" i="105" s="1"/>
  <c r="AH185" i="105" s="1"/>
  <c r="AH186" i="105" s="1"/>
  <c r="AH187" i="105" s="1"/>
  <c r="AE45" i="105"/>
  <c r="AD46" i="105"/>
  <c r="AD47" i="105" s="1"/>
  <c r="AD48" i="105" s="1"/>
  <c r="AD49" i="105" s="1"/>
  <c r="AD50" i="105" s="1"/>
  <c r="AD51" i="105" s="1"/>
  <c r="AD52" i="105" s="1"/>
  <c r="AD53" i="105" s="1"/>
  <c r="AD54" i="105" s="1"/>
  <c r="AD55" i="105" s="1"/>
  <c r="AD56" i="105" s="1"/>
  <c r="AD57" i="105" s="1"/>
  <c r="AD58" i="105" s="1"/>
  <c r="AD59" i="105" s="1"/>
  <c r="AI46" i="105"/>
  <c r="AI47" i="105" s="1"/>
  <c r="AI48" i="105" s="1"/>
  <c r="AI49" i="105" s="1"/>
  <c r="AI50" i="105" s="1"/>
  <c r="AI51" i="105" s="1"/>
  <c r="AI52" i="105" s="1"/>
  <c r="AI53" i="105" s="1"/>
  <c r="AI54" i="105" s="1"/>
  <c r="AI55" i="105" s="1"/>
  <c r="AI56" i="105" s="1"/>
  <c r="AI57" i="105" s="1"/>
  <c r="AI58" i="105" s="1"/>
  <c r="AI59" i="105" s="1"/>
  <c r="AB60" i="105"/>
  <c r="AB61" i="105" s="1"/>
  <c r="AB62" i="105" s="1"/>
  <c r="AB63" i="105" s="1"/>
  <c r="AB64" i="105" s="1"/>
  <c r="AB65" i="105" s="1"/>
  <c r="AB66" i="105" s="1"/>
  <c r="AB67" i="105" s="1"/>
  <c r="AB68" i="105" s="1"/>
  <c r="AB69" i="105" s="1"/>
  <c r="AB70" i="105" s="1"/>
  <c r="AB71" i="105" s="1"/>
  <c r="AB72" i="105" s="1"/>
  <c r="AB73" i="105" s="1"/>
  <c r="AB74" i="105" s="1"/>
  <c r="AB75" i="105" s="1"/>
  <c r="AB76" i="105" s="1"/>
  <c r="AB77" i="105" s="1"/>
  <c r="AB78" i="105" s="1"/>
  <c r="AB79" i="105" s="1"/>
  <c r="AB80" i="105" s="1"/>
  <c r="AB81" i="105" s="1"/>
  <c r="AB82" i="105" s="1"/>
  <c r="AB83" i="105" s="1"/>
  <c r="AB84" i="105" s="1"/>
  <c r="AB85" i="105" s="1"/>
  <c r="AB86" i="105" s="1"/>
  <c r="AB87" i="105" s="1"/>
  <c r="AB88" i="105" s="1"/>
  <c r="AB89" i="105" s="1"/>
  <c r="AB90" i="105" s="1"/>
  <c r="AB91" i="105" s="1"/>
  <c r="AB92" i="105" s="1"/>
  <c r="AB93" i="105" s="1"/>
  <c r="AB94" i="105" s="1"/>
  <c r="AB95" i="105" s="1"/>
  <c r="AB96" i="105" s="1"/>
  <c r="AB97" i="105" s="1"/>
  <c r="AB98" i="105" s="1"/>
  <c r="AB99" i="105" s="1"/>
  <c r="AB100" i="105" s="1"/>
  <c r="AB101" i="105" s="1"/>
  <c r="AB102" i="105" s="1"/>
  <c r="AB103" i="105" s="1"/>
  <c r="AB104" i="105" s="1"/>
  <c r="AB105" i="105" s="1"/>
  <c r="AB106" i="105" s="1"/>
  <c r="AB107" i="105" s="1"/>
  <c r="AB108" i="105" s="1"/>
  <c r="AB109" i="105" s="1"/>
  <c r="AB110" i="105" s="1"/>
  <c r="AB111" i="105" s="1"/>
  <c r="AB112" i="105" s="1"/>
  <c r="AB113" i="105" s="1"/>
  <c r="AB114" i="105" s="1"/>
  <c r="AB115" i="105" s="1"/>
  <c r="AB116" i="105" s="1"/>
  <c r="AB117" i="105" s="1"/>
  <c r="AB118" i="105" s="1"/>
  <c r="AB119" i="105" s="1"/>
  <c r="AB120" i="105" s="1"/>
  <c r="AB121" i="105" s="1"/>
  <c r="AB122" i="105" s="1"/>
  <c r="AB123" i="105" s="1"/>
  <c r="AB124" i="105" s="1"/>
  <c r="AB125" i="105" s="1"/>
  <c r="AB126" i="105" s="1"/>
  <c r="AB127" i="105" s="1"/>
  <c r="AB128" i="105" s="1"/>
  <c r="AB129" i="105" s="1"/>
  <c r="AB130" i="105" s="1"/>
  <c r="AB131" i="105" s="1"/>
  <c r="AB132" i="105" s="1"/>
  <c r="AB133" i="105" s="1"/>
  <c r="AB134" i="105" s="1"/>
  <c r="AB135" i="105" s="1"/>
  <c r="AB136" i="105" s="1"/>
  <c r="AB137" i="105" s="1"/>
  <c r="AB138" i="105" s="1"/>
  <c r="AB139" i="105" s="1"/>
  <c r="AB140" i="105" s="1"/>
  <c r="AB141" i="105" s="1"/>
  <c r="AB142" i="105" s="1"/>
  <c r="AB143" i="105" s="1"/>
  <c r="AB144" i="105" s="1"/>
  <c r="AB145" i="105" s="1"/>
  <c r="AB146" i="105" s="1"/>
  <c r="AB147" i="105" s="1"/>
  <c r="AB148" i="105" s="1"/>
  <c r="AB149" i="105" s="1"/>
  <c r="AB150" i="105" s="1"/>
  <c r="AB151" i="105" s="1"/>
  <c r="AB152" i="105" s="1"/>
  <c r="AB153" i="105" s="1"/>
  <c r="AB154" i="105" s="1"/>
  <c r="AB155" i="105" s="1"/>
  <c r="AB156" i="105" s="1"/>
  <c r="AB157" i="105" s="1"/>
  <c r="AB158" i="105" s="1"/>
  <c r="AB159" i="105" s="1"/>
  <c r="AB160" i="105" s="1"/>
  <c r="AB161" i="105" s="1"/>
  <c r="AB162" i="105" s="1"/>
  <c r="AB163" i="105" s="1"/>
  <c r="AB164" i="105" s="1"/>
  <c r="AB165" i="105" s="1"/>
  <c r="AB166" i="105" s="1"/>
  <c r="AB167" i="105" s="1"/>
  <c r="AB168" i="105" s="1"/>
  <c r="AB169" i="105" s="1"/>
  <c r="AB170" i="105" s="1"/>
  <c r="AB171" i="105" s="1"/>
  <c r="AB172" i="105" s="1"/>
  <c r="AB173" i="105" s="1"/>
  <c r="AB174" i="105" s="1"/>
  <c r="AB175" i="105" s="1"/>
  <c r="AB176" i="105" s="1"/>
  <c r="AB177" i="105" s="1"/>
  <c r="AB178" i="105" s="1"/>
  <c r="AB179" i="105" s="1"/>
  <c r="AB180" i="105" s="1"/>
  <c r="AB181" i="105" s="1"/>
  <c r="AB182" i="105" s="1"/>
  <c r="AB183" i="105" s="1"/>
  <c r="AB184" i="105" s="1"/>
  <c r="AB185" i="105" s="1"/>
  <c r="AB186" i="105" s="1"/>
  <c r="AB187" i="105" s="1"/>
  <c r="AK45" i="105"/>
  <c r="AA46" i="105"/>
  <c r="AJ46" i="105"/>
  <c r="AJ47" i="105" s="1"/>
  <c r="AJ48" i="105" s="1"/>
  <c r="AJ49" i="105" s="1"/>
  <c r="AJ50" i="105" s="1"/>
  <c r="AJ51" i="105" s="1"/>
  <c r="AJ52" i="105" s="1"/>
  <c r="AJ53" i="105" s="1"/>
  <c r="AJ54" i="105" s="1"/>
  <c r="AJ55" i="105" s="1"/>
  <c r="AJ56" i="105" s="1"/>
  <c r="AJ57" i="105" s="1"/>
  <c r="AJ58" i="105" s="1"/>
  <c r="AJ59" i="105" s="1"/>
  <c r="AB55" i="1"/>
  <c r="AK46" i="105" l="1"/>
  <c r="Q5" i="105" s="1"/>
  <c r="AD188" i="105"/>
  <c r="AP11" i="105"/>
  <c r="AR7" i="105"/>
  <c r="AQ7" i="105"/>
  <c r="AR9" i="105"/>
  <c r="AP16" i="105"/>
  <c r="AQ9" i="105"/>
  <c r="AI60" i="105"/>
  <c r="AI61" i="105" s="1"/>
  <c r="AI62" i="105" s="1"/>
  <c r="AI63" i="105" s="1"/>
  <c r="AI64" i="105" s="1"/>
  <c r="AI65" i="105" s="1"/>
  <c r="AI66" i="105" s="1"/>
  <c r="AI67" i="105" s="1"/>
  <c r="AI68" i="105" s="1"/>
  <c r="AI69" i="105" s="1"/>
  <c r="AI70" i="105" s="1"/>
  <c r="AI71" i="105" s="1"/>
  <c r="AI72" i="105" s="1"/>
  <c r="AI73" i="105" s="1"/>
  <c r="AI74" i="105" s="1"/>
  <c r="AI75" i="105" s="1"/>
  <c r="AI76" i="105" s="1"/>
  <c r="AI77" i="105" s="1"/>
  <c r="AI78" i="105" s="1"/>
  <c r="AI79" i="105" s="1"/>
  <c r="AI80" i="105" s="1"/>
  <c r="AI81" i="105" s="1"/>
  <c r="AI82" i="105" s="1"/>
  <c r="AI83" i="105" s="1"/>
  <c r="AI84" i="105" s="1"/>
  <c r="AI85" i="105" s="1"/>
  <c r="AI86" i="105" s="1"/>
  <c r="AI87" i="105" s="1"/>
  <c r="AI88" i="105" s="1"/>
  <c r="AI89" i="105" s="1"/>
  <c r="AI90" i="105" s="1"/>
  <c r="AI91" i="105" s="1"/>
  <c r="AI92" i="105" s="1"/>
  <c r="AI93" i="105" s="1"/>
  <c r="AI94" i="105" s="1"/>
  <c r="AI95" i="105" s="1"/>
  <c r="AI96" i="105" s="1"/>
  <c r="AI97" i="105" s="1"/>
  <c r="AI98" i="105" s="1"/>
  <c r="AI99" i="105" s="1"/>
  <c r="AI100" i="105" s="1"/>
  <c r="AI101" i="105" s="1"/>
  <c r="AI102" i="105" s="1"/>
  <c r="AI103" i="105" s="1"/>
  <c r="AI104" i="105" s="1"/>
  <c r="AI105" i="105" s="1"/>
  <c r="AI106" i="105" s="1"/>
  <c r="AI107" i="105" s="1"/>
  <c r="AI108" i="105" s="1"/>
  <c r="AI109" i="105" s="1"/>
  <c r="AI110" i="105" s="1"/>
  <c r="AI111" i="105" s="1"/>
  <c r="AI112" i="105" s="1"/>
  <c r="AI113" i="105" s="1"/>
  <c r="AI114" i="105" s="1"/>
  <c r="AI115" i="105" s="1"/>
  <c r="AI116" i="105" s="1"/>
  <c r="AI117" i="105" s="1"/>
  <c r="AI118" i="105" s="1"/>
  <c r="AI119" i="105" s="1"/>
  <c r="AI120" i="105" s="1"/>
  <c r="AI121" i="105" s="1"/>
  <c r="AI122" i="105" s="1"/>
  <c r="AI123" i="105" s="1"/>
  <c r="AI124" i="105" s="1"/>
  <c r="AI125" i="105" s="1"/>
  <c r="AI126" i="105" s="1"/>
  <c r="AI127" i="105" s="1"/>
  <c r="AI128" i="105" s="1"/>
  <c r="AI129" i="105" s="1"/>
  <c r="AI130" i="105" s="1"/>
  <c r="AI131" i="105" s="1"/>
  <c r="AI132" i="105" s="1"/>
  <c r="AI133" i="105" s="1"/>
  <c r="AI134" i="105" s="1"/>
  <c r="AI135" i="105" s="1"/>
  <c r="AI136" i="105" s="1"/>
  <c r="AI137" i="105" s="1"/>
  <c r="AI138" i="105" s="1"/>
  <c r="AI139" i="105" s="1"/>
  <c r="AI140" i="105" s="1"/>
  <c r="AI141" i="105" s="1"/>
  <c r="AI142" i="105" s="1"/>
  <c r="AI143" i="105" s="1"/>
  <c r="AI144" i="105" s="1"/>
  <c r="AI145" i="105" s="1"/>
  <c r="AI146" i="105" s="1"/>
  <c r="AI147" i="105" s="1"/>
  <c r="AI148" i="105" s="1"/>
  <c r="AI149" i="105" s="1"/>
  <c r="AI150" i="105" s="1"/>
  <c r="AI151" i="105" s="1"/>
  <c r="AI152" i="105" s="1"/>
  <c r="AI153" i="105" s="1"/>
  <c r="AI154" i="105" s="1"/>
  <c r="AI155" i="105" s="1"/>
  <c r="AI156" i="105" s="1"/>
  <c r="AI157" i="105" s="1"/>
  <c r="AI158" i="105" s="1"/>
  <c r="AI159" i="105" s="1"/>
  <c r="AI160" i="105" s="1"/>
  <c r="AI161" i="105" s="1"/>
  <c r="AI162" i="105" s="1"/>
  <c r="AI163" i="105" s="1"/>
  <c r="AI164" i="105" s="1"/>
  <c r="AI165" i="105" s="1"/>
  <c r="AI166" i="105" s="1"/>
  <c r="AI167" i="105" s="1"/>
  <c r="AI168" i="105" s="1"/>
  <c r="AI169" i="105" s="1"/>
  <c r="AI170" i="105" s="1"/>
  <c r="AI171" i="105" s="1"/>
  <c r="AI172" i="105" s="1"/>
  <c r="AI173" i="105" s="1"/>
  <c r="AI174" i="105" s="1"/>
  <c r="AI175" i="105" s="1"/>
  <c r="AI176" i="105" s="1"/>
  <c r="AI177" i="105" s="1"/>
  <c r="AI178" i="105" s="1"/>
  <c r="AI179" i="105" s="1"/>
  <c r="AI180" i="105" s="1"/>
  <c r="AI181" i="105" s="1"/>
  <c r="AI182" i="105" s="1"/>
  <c r="AI183" i="105" s="1"/>
  <c r="AI184" i="105" s="1"/>
  <c r="AI185" i="105" s="1"/>
  <c r="AI186" i="105" s="1"/>
  <c r="AI187" i="105" s="1"/>
  <c r="AK47" i="105"/>
  <c r="Q6" i="105" s="1"/>
  <c r="AA47" i="105"/>
  <c r="AE46" i="105"/>
  <c r="J5" i="105" s="1"/>
  <c r="K5" i="105" s="1"/>
  <c r="M5" i="105" s="1"/>
  <c r="AC188" i="105"/>
  <c r="Q4" i="105"/>
  <c r="R4" i="105" s="1"/>
  <c r="T4" i="105" s="1"/>
  <c r="AB188" i="105"/>
  <c r="AJ60" i="105"/>
  <c r="AJ61" i="105" s="1"/>
  <c r="AJ62" i="105" s="1"/>
  <c r="AJ63" i="105" s="1"/>
  <c r="AJ64" i="105" s="1"/>
  <c r="AJ65" i="105" s="1"/>
  <c r="AJ66" i="105" s="1"/>
  <c r="AJ67" i="105" s="1"/>
  <c r="AJ68" i="105" s="1"/>
  <c r="AJ69" i="105" s="1"/>
  <c r="AJ70" i="105" s="1"/>
  <c r="AJ71" i="105" s="1"/>
  <c r="AJ72" i="105" s="1"/>
  <c r="AJ73" i="105" s="1"/>
  <c r="AJ74" i="105" s="1"/>
  <c r="AJ75" i="105" s="1"/>
  <c r="AJ76" i="105" s="1"/>
  <c r="AJ77" i="105" s="1"/>
  <c r="AJ78" i="105" s="1"/>
  <c r="AJ79" i="105" s="1"/>
  <c r="AJ80" i="105" s="1"/>
  <c r="AJ81" i="105" s="1"/>
  <c r="AJ82" i="105" s="1"/>
  <c r="AJ83" i="105" s="1"/>
  <c r="AJ84" i="105" s="1"/>
  <c r="AJ85" i="105" s="1"/>
  <c r="AJ86" i="105" s="1"/>
  <c r="AJ87" i="105" s="1"/>
  <c r="AJ88" i="105" s="1"/>
  <c r="AJ89" i="105" s="1"/>
  <c r="AJ90" i="105" s="1"/>
  <c r="AJ91" i="105" s="1"/>
  <c r="AJ92" i="105" s="1"/>
  <c r="AJ93" i="105" s="1"/>
  <c r="AJ94" i="105" s="1"/>
  <c r="AJ95" i="105" s="1"/>
  <c r="AJ96" i="105" s="1"/>
  <c r="AJ97" i="105" s="1"/>
  <c r="AJ98" i="105" s="1"/>
  <c r="AJ99" i="105" s="1"/>
  <c r="AJ100" i="105" s="1"/>
  <c r="AJ101" i="105" s="1"/>
  <c r="AJ102" i="105" s="1"/>
  <c r="AJ103" i="105" s="1"/>
  <c r="AJ104" i="105" s="1"/>
  <c r="AJ105" i="105" s="1"/>
  <c r="AJ106" i="105" s="1"/>
  <c r="AJ107" i="105" s="1"/>
  <c r="AJ108" i="105" s="1"/>
  <c r="AJ109" i="105" s="1"/>
  <c r="AJ110" i="105" s="1"/>
  <c r="AJ111" i="105" s="1"/>
  <c r="AJ112" i="105" s="1"/>
  <c r="AJ113" i="105" s="1"/>
  <c r="AJ114" i="105" s="1"/>
  <c r="AJ115" i="105" s="1"/>
  <c r="AJ116" i="105" s="1"/>
  <c r="AJ117" i="105" s="1"/>
  <c r="AJ118" i="105" s="1"/>
  <c r="AJ119" i="105" s="1"/>
  <c r="AJ120" i="105" s="1"/>
  <c r="AJ121" i="105" s="1"/>
  <c r="AJ122" i="105" s="1"/>
  <c r="AJ123" i="105" s="1"/>
  <c r="AJ124" i="105" s="1"/>
  <c r="AJ125" i="105" s="1"/>
  <c r="AJ126" i="105" s="1"/>
  <c r="AJ127" i="105" s="1"/>
  <c r="AJ128" i="105" s="1"/>
  <c r="AJ129" i="105" s="1"/>
  <c r="AJ130" i="105" s="1"/>
  <c r="AJ131" i="105" s="1"/>
  <c r="AJ132" i="105" s="1"/>
  <c r="AJ133" i="105" s="1"/>
  <c r="AJ134" i="105" s="1"/>
  <c r="AJ135" i="105" s="1"/>
  <c r="AJ136" i="105" s="1"/>
  <c r="AJ137" i="105" s="1"/>
  <c r="AJ138" i="105" s="1"/>
  <c r="AJ139" i="105" s="1"/>
  <c r="AJ140" i="105" s="1"/>
  <c r="AJ141" i="105" s="1"/>
  <c r="AJ142" i="105" s="1"/>
  <c r="AJ143" i="105" s="1"/>
  <c r="AJ144" i="105" s="1"/>
  <c r="AJ145" i="105" s="1"/>
  <c r="AJ146" i="105" s="1"/>
  <c r="AJ147" i="105" s="1"/>
  <c r="AJ148" i="105" s="1"/>
  <c r="AJ149" i="105" s="1"/>
  <c r="AJ150" i="105" s="1"/>
  <c r="AJ151" i="105" s="1"/>
  <c r="AJ152" i="105" s="1"/>
  <c r="AJ153" i="105" s="1"/>
  <c r="AJ154" i="105" s="1"/>
  <c r="AJ155" i="105" s="1"/>
  <c r="AJ156" i="105" s="1"/>
  <c r="AJ157" i="105" s="1"/>
  <c r="AJ158" i="105" s="1"/>
  <c r="AJ159" i="105" s="1"/>
  <c r="AJ160" i="105" s="1"/>
  <c r="AJ161" i="105" s="1"/>
  <c r="AJ162" i="105" s="1"/>
  <c r="AJ163" i="105" s="1"/>
  <c r="AJ164" i="105" s="1"/>
  <c r="AJ165" i="105" s="1"/>
  <c r="AJ166" i="105" s="1"/>
  <c r="AJ167" i="105" s="1"/>
  <c r="AJ168" i="105" s="1"/>
  <c r="AJ169" i="105" s="1"/>
  <c r="AJ170" i="105" s="1"/>
  <c r="AJ171" i="105" s="1"/>
  <c r="AJ172" i="105" s="1"/>
  <c r="AJ173" i="105" s="1"/>
  <c r="AJ174" i="105" s="1"/>
  <c r="AJ175" i="105" s="1"/>
  <c r="AJ176" i="105" s="1"/>
  <c r="AJ177" i="105" s="1"/>
  <c r="AJ178" i="105" s="1"/>
  <c r="AJ179" i="105" s="1"/>
  <c r="AJ180" i="105" s="1"/>
  <c r="AJ181" i="105" s="1"/>
  <c r="AJ182" i="105" s="1"/>
  <c r="AJ183" i="105" s="1"/>
  <c r="AJ184" i="105" s="1"/>
  <c r="AJ185" i="105" s="1"/>
  <c r="AJ186" i="105" s="1"/>
  <c r="AJ187" i="105" s="1"/>
  <c r="J4" i="105"/>
  <c r="K4" i="105" s="1"/>
  <c r="M4" i="105" s="1"/>
  <c r="AH188" i="105"/>
  <c r="AI188" i="105"/>
  <c r="AQ14" i="105"/>
  <c r="AR14" i="105"/>
  <c r="AG49" i="105"/>
  <c r="AK48" i="105"/>
  <c r="Q7" i="105" s="1"/>
  <c r="V88" i="104"/>
  <c r="U88" i="104"/>
  <c r="S88" i="104"/>
  <c r="T88" i="104" s="1"/>
  <c r="S87" i="104"/>
  <c r="V87" i="104" s="1"/>
  <c r="V90" i="104" s="1"/>
  <c r="L13" i="104" s="1"/>
  <c r="G13" i="104" s="1"/>
  <c r="G15" i="104" s="1"/>
  <c r="S86" i="104"/>
  <c r="U86" i="104" s="1"/>
  <c r="U90" i="104" s="1"/>
  <c r="K13" i="104" s="1"/>
  <c r="S85" i="104"/>
  <c r="T85" i="104" s="1"/>
  <c r="V78" i="104"/>
  <c r="U78" i="104"/>
  <c r="S78" i="104"/>
  <c r="T78" i="104" s="1"/>
  <c r="S77" i="104"/>
  <c r="V77" i="104" s="1"/>
  <c r="V80" i="104" s="1"/>
  <c r="L9" i="104" s="1"/>
  <c r="G9" i="104" s="1"/>
  <c r="G11" i="104" s="1"/>
  <c r="S76" i="104"/>
  <c r="U76" i="104" s="1"/>
  <c r="U80" i="104" s="1"/>
  <c r="K9" i="104" s="1"/>
  <c r="S75" i="104"/>
  <c r="S80" i="104" s="1"/>
  <c r="V68" i="104"/>
  <c r="U68" i="104"/>
  <c r="S68" i="104"/>
  <c r="T68" i="104" s="1"/>
  <c r="S67" i="104"/>
  <c r="V67" i="104" s="1"/>
  <c r="V70" i="104" s="1"/>
  <c r="S66" i="104"/>
  <c r="U66" i="104" s="1"/>
  <c r="U70" i="104" s="1"/>
  <c r="S65" i="104"/>
  <c r="S70" i="104" s="1"/>
  <c r="V58" i="104"/>
  <c r="U58" i="104"/>
  <c r="S58" i="104"/>
  <c r="T58" i="104" s="1"/>
  <c r="S57" i="104"/>
  <c r="V57" i="104" s="1"/>
  <c r="V60" i="104" s="1"/>
  <c r="S56" i="104"/>
  <c r="U56" i="104" s="1"/>
  <c r="U60" i="104" s="1"/>
  <c r="S55" i="104"/>
  <c r="S60" i="104" s="1"/>
  <c r="V49" i="104"/>
  <c r="U49" i="104"/>
  <c r="T49" i="104"/>
  <c r="S49" i="104"/>
  <c r="V48" i="104"/>
  <c r="U48" i="104"/>
  <c r="T48" i="104"/>
  <c r="S48" i="104"/>
  <c r="V47" i="104"/>
  <c r="U47" i="104"/>
  <c r="T47" i="104"/>
  <c r="S47" i="104"/>
  <c r="V46" i="104"/>
  <c r="V51" i="104" s="1"/>
  <c r="U46" i="104"/>
  <c r="U51" i="104" s="1"/>
  <c r="T46" i="104"/>
  <c r="T51" i="104" s="1"/>
  <c r="S71" i="104" s="1"/>
  <c r="S46" i="104"/>
  <c r="S51" i="104" s="1"/>
  <c r="S52" i="104" s="1"/>
  <c r="S44" i="104"/>
  <c r="V40" i="104"/>
  <c r="V52" i="104" s="1"/>
  <c r="U40" i="104"/>
  <c r="U52" i="104" s="1"/>
  <c r="T40" i="104"/>
  <c r="T52" i="104" s="1"/>
  <c r="S40" i="104"/>
  <c r="H7" i="104"/>
  <c r="AA45" i="1"/>
  <c r="AQ16" i="105" l="1"/>
  <c r="AA48" i="105"/>
  <c r="AE47" i="105"/>
  <c r="AG50" i="105"/>
  <c r="AK49" i="105"/>
  <c r="Q8" i="105" s="1"/>
  <c r="R8" i="105" s="1"/>
  <c r="AJ188" i="105"/>
  <c r="R6" i="105"/>
  <c r="T6" i="105" s="1"/>
  <c r="AR16" i="105"/>
  <c r="D17" i="105"/>
  <c r="D19" i="105" s="1"/>
  <c r="D38" i="105" s="1"/>
  <c r="D40" i="105" s="1"/>
  <c r="AR11" i="105"/>
  <c r="R7" i="105"/>
  <c r="AQ11" i="105"/>
  <c r="C17" i="105"/>
  <c r="C19" i="105" s="1"/>
  <c r="C38" i="105" s="1"/>
  <c r="C40" i="105" s="1"/>
  <c r="R5" i="105"/>
  <c r="T5" i="105" s="1"/>
  <c r="S61" i="104"/>
  <c r="S82" i="104"/>
  <c r="S72" i="104"/>
  <c r="T90" i="104"/>
  <c r="J13" i="104" s="1"/>
  <c r="E9" i="104"/>
  <c r="E11" i="104" s="1"/>
  <c r="F9" i="104"/>
  <c r="F11" i="104" s="1"/>
  <c r="S81" i="104"/>
  <c r="F13" i="104"/>
  <c r="E13" i="104"/>
  <c r="E15" i="104" s="1"/>
  <c r="T55" i="104"/>
  <c r="T60" i="104" s="1"/>
  <c r="S62" i="104" s="1"/>
  <c r="T65" i="104"/>
  <c r="T70" i="104" s="1"/>
  <c r="T75" i="104"/>
  <c r="T80" i="104" s="1"/>
  <c r="J9" i="104" s="1"/>
  <c r="S90" i="104"/>
  <c r="S92" i="104" s="1"/>
  <c r="X8" i="103"/>
  <c r="Z8" i="103" s="1"/>
  <c r="AC8" i="103"/>
  <c r="AF8" i="103"/>
  <c r="X9" i="103"/>
  <c r="Z9" i="103"/>
  <c r="AC9" i="103"/>
  <c r="AF9" i="103"/>
  <c r="X10" i="103"/>
  <c r="Z10" i="103"/>
  <c r="AC10" i="103"/>
  <c r="AF10" i="103"/>
  <c r="X11" i="103"/>
  <c r="Y11" i="103"/>
  <c r="Z11" i="103" s="1"/>
  <c r="AC11" i="103"/>
  <c r="AF11" i="103"/>
  <c r="X12" i="103"/>
  <c r="Y12" i="103"/>
  <c r="AC12" i="103"/>
  <c r="AF12" i="103"/>
  <c r="X13" i="103"/>
  <c r="Y13" i="103"/>
  <c r="AC13" i="103"/>
  <c r="AF13" i="103"/>
  <c r="X14" i="103"/>
  <c r="Y14" i="103"/>
  <c r="AC14" i="103"/>
  <c r="AF14" i="103"/>
  <c r="X15" i="103"/>
  <c r="Z15" i="103" s="1"/>
  <c r="AC15" i="103"/>
  <c r="AF15" i="103"/>
  <c r="X16" i="103"/>
  <c r="Z16" i="103" s="1"/>
  <c r="AC16" i="103"/>
  <c r="AF16" i="103"/>
  <c r="X17" i="103"/>
  <c r="Y17" i="103"/>
  <c r="AC17" i="103"/>
  <c r="AF17" i="103"/>
  <c r="X18" i="103"/>
  <c r="Y18" i="103"/>
  <c r="AC18" i="103"/>
  <c r="AF18" i="103"/>
  <c r="X19" i="103"/>
  <c r="Z19" i="103" s="1"/>
  <c r="Y19" i="103"/>
  <c r="AC19" i="103"/>
  <c r="AF19" i="103"/>
  <c r="X20" i="103"/>
  <c r="Z20" i="103" s="1"/>
  <c r="Y20" i="103"/>
  <c r="AC20" i="103"/>
  <c r="AF20" i="103"/>
  <c r="X21" i="103"/>
  <c r="Y21" i="103"/>
  <c r="AC21" i="103"/>
  <c r="AF21" i="103"/>
  <c r="X22" i="103"/>
  <c r="Y22" i="103"/>
  <c r="AC22" i="103"/>
  <c r="AF22" i="103"/>
  <c r="X23" i="103"/>
  <c r="Y23" i="103"/>
  <c r="AC23" i="103"/>
  <c r="AF23" i="103"/>
  <c r="X24" i="103"/>
  <c r="Z24" i="103" s="1"/>
  <c r="Y24" i="103"/>
  <c r="AC24" i="103"/>
  <c r="I17" i="103" s="1"/>
  <c r="AF24" i="103"/>
  <c r="X25" i="103"/>
  <c r="Y25" i="103"/>
  <c r="AC25" i="103"/>
  <c r="I20" i="103" s="1"/>
  <c r="J20" i="103" s="1"/>
  <c r="AF25" i="103"/>
  <c r="X26" i="103"/>
  <c r="Y26" i="103"/>
  <c r="AC26" i="103"/>
  <c r="I18" i="103" s="1"/>
  <c r="J18" i="103" s="1"/>
  <c r="AF26" i="103"/>
  <c r="X27" i="103"/>
  <c r="Y27" i="103"/>
  <c r="AC27" i="103"/>
  <c r="I19" i="103" s="1"/>
  <c r="J19" i="103" s="1"/>
  <c r="AF27" i="103"/>
  <c r="E9" i="103"/>
  <c r="J9" i="103"/>
  <c r="E11" i="103"/>
  <c r="E22" i="103" s="1"/>
  <c r="J11" i="103"/>
  <c r="I14" i="103"/>
  <c r="J14" i="103" s="1"/>
  <c r="I15" i="103"/>
  <c r="J15" i="103" s="1"/>
  <c r="I16" i="103"/>
  <c r="J16" i="103" s="1"/>
  <c r="C22" i="103"/>
  <c r="D22" i="103"/>
  <c r="H22" i="103"/>
  <c r="D31" i="103"/>
  <c r="J6" i="105" l="1"/>
  <c r="K6" i="105" s="1"/>
  <c r="M6" i="105" s="1"/>
  <c r="T7" i="105"/>
  <c r="AA49" i="105"/>
  <c r="AE48" i="105"/>
  <c r="J7" i="105" s="1"/>
  <c r="K7" i="105" s="1"/>
  <c r="AG51" i="105"/>
  <c r="AK50" i="105"/>
  <c r="Q9" i="105" s="1"/>
  <c r="R9" i="105" s="1"/>
  <c r="T8" i="105"/>
  <c r="M9" i="104"/>
  <c r="M10" i="104" s="1"/>
  <c r="D9" i="104"/>
  <c r="D11" i="104" s="1"/>
  <c r="C9" i="104"/>
  <c r="F15" i="104"/>
  <c r="S91" i="104"/>
  <c r="M13" i="104"/>
  <c r="M14" i="104" s="1"/>
  <c r="D13" i="104"/>
  <c r="D15" i="104" s="1"/>
  <c r="C13" i="104"/>
  <c r="Z18" i="103"/>
  <c r="Z25" i="103"/>
  <c r="Z14" i="103"/>
  <c r="Z21" i="103"/>
  <c r="Z13" i="103"/>
  <c r="Z12" i="103"/>
  <c r="Z27" i="103"/>
  <c r="Z26" i="103"/>
  <c r="Z23" i="103"/>
  <c r="Z22" i="103"/>
  <c r="Z17" i="103"/>
  <c r="J17" i="103"/>
  <c r="J22" i="103" s="1"/>
  <c r="I22" i="103"/>
  <c r="M7" i="105" l="1"/>
  <c r="AG52" i="105"/>
  <c r="AK51" i="105"/>
  <c r="T9" i="105"/>
  <c r="AA50" i="105"/>
  <c r="AE49" i="105"/>
  <c r="J8" i="105" s="1"/>
  <c r="K8" i="105" s="1"/>
  <c r="H13" i="104"/>
  <c r="C15" i="104"/>
  <c r="H9" i="104"/>
  <c r="H11" i="104" s="1"/>
  <c r="C11" i="104"/>
  <c r="Z21" i="1"/>
  <c r="Z16" i="1"/>
  <c r="Q10" i="105" l="1"/>
  <c r="R10" i="105" s="1"/>
  <c r="AE50" i="105"/>
  <c r="J9" i="105" s="1"/>
  <c r="K9" i="105" s="1"/>
  <c r="AA51" i="105"/>
  <c r="AG53" i="105"/>
  <c r="AK52" i="105"/>
  <c r="Q11" i="105" s="1"/>
  <c r="R11" i="105" s="1"/>
  <c r="M8" i="105"/>
  <c r="H15" i="104"/>
  <c r="AQ9" i="101"/>
  <c r="AS6" i="101" s="1"/>
  <c r="AQ10" i="101"/>
  <c r="AO54" i="101" s="1"/>
  <c r="AO55" i="101" s="1"/>
  <c r="AF14" i="101"/>
  <c r="AG14" i="101"/>
  <c r="AH14" i="101"/>
  <c r="AK14" i="101"/>
  <c r="AL14" i="101"/>
  <c r="AL17" i="101" s="1"/>
  <c r="AL20" i="101" s="1"/>
  <c r="AL23" i="101" s="1"/>
  <c r="AG17" i="101"/>
  <c r="AH17" i="101"/>
  <c r="AK17" i="101"/>
  <c r="AK20" i="101" s="1"/>
  <c r="AK23" i="101" s="1"/>
  <c r="AF41" i="101"/>
  <c r="AE18" i="101"/>
  <c r="AH20" i="101"/>
  <c r="AI21" i="101"/>
  <c r="AJ21" i="101"/>
  <c r="AK21" i="101"/>
  <c r="AL21" i="101"/>
  <c r="AL44" i="101" s="1"/>
  <c r="AK48" i="101"/>
  <c r="AL37" i="101"/>
  <c r="AL40" i="101" s="1"/>
  <c r="AL43" i="101" s="1"/>
  <c r="AJ37" i="101"/>
  <c r="AJ40" i="101" s="1"/>
  <c r="AH37" i="101"/>
  <c r="AF38" i="101"/>
  <c r="AG38" i="101"/>
  <c r="AH38" i="101"/>
  <c r="AE38" i="101" s="1"/>
  <c r="AI38" i="101"/>
  <c r="AJ38" i="101"/>
  <c r="AK38" i="101"/>
  <c r="AL38" i="101"/>
  <c r="AH40" i="101"/>
  <c r="AH41" i="101"/>
  <c r="AI41" i="101"/>
  <c r="AJ41" i="101"/>
  <c r="AK41" i="101"/>
  <c r="AL41" i="101"/>
  <c r="AH43" i="101"/>
  <c r="AH46" i="101" s="1"/>
  <c r="AI44" i="101"/>
  <c r="AJ44" i="101"/>
  <c r="AK44" i="101"/>
  <c r="AF48" i="101"/>
  <c r="AG48" i="101"/>
  <c r="AH48" i="101"/>
  <c r="AI48" i="101"/>
  <c r="AJ48" i="101"/>
  <c r="AL48" i="101"/>
  <c r="AF49" i="101"/>
  <c r="AO53" i="101"/>
  <c r="AJ43" i="101" l="1"/>
  <c r="AJ46" i="101" s="1"/>
  <c r="M9" i="105"/>
  <c r="T11" i="105"/>
  <c r="T10" i="105"/>
  <c r="AG54" i="105"/>
  <c r="AK53" i="105"/>
  <c r="Q12" i="105" s="1"/>
  <c r="R12" i="105" s="1"/>
  <c r="AA52" i="105"/>
  <c r="AE51" i="105"/>
  <c r="AG37" i="101"/>
  <c r="AG40" i="101" s="1"/>
  <c r="AG20" i="101"/>
  <c r="AF37" i="101"/>
  <c r="AF40" i="101" s="1"/>
  <c r="AK37" i="101"/>
  <c r="AK40" i="101" s="1"/>
  <c r="AK43" i="101" s="1"/>
  <c r="AK46" i="101" s="1"/>
  <c r="AL46" i="101"/>
  <c r="AF17" i="101"/>
  <c r="AI37" i="101"/>
  <c r="AI40" i="101" s="1"/>
  <c r="AI43" i="101" s="1"/>
  <c r="AI46" i="101" s="1"/>
  <c r="AG41" i="101"/>
  <c r="AE41" i="101" s="1"/>
  <c r="AJ14" i="101"/>
  <c r="AJ17" i="101" s="1"/>
  <c r="AJ20" i="101" s="1"/>
  <c r="AJ23" i="101" s="1"/>
  <c r="AI14" i="101"/>
  <c r="AI17" i="101" s="1"/>
  <c r="AI20" i="101" s="1"/>
  <c r="AI23" i="101" s="1"/>
  <c r="AO56" i="101"/>
  <c r="AA53" i="105" l="1"/>
  <c r="AE52" i="105"/>
  <c r="J11" i="105" s="1"/>
  <c r="T12" i="105"/>
  <c r="J10" i="105"/>
  <c r="K10" i="105" s="1"/>
  <c r="AG55" i="105"/>
  <c r="AK54" i="105"/>
  <c r="Q13" i="105" s="1"/>
  <c r="AG43" i="101"/>
  <c r="AE14" i="101"/>
  <c r="AE40" i="101"/>
  <c r="AF43" i="101"/>
  <c r="AE37" i="101"/>
  <c r="AE17" i="101"/>
  <c r="AF20" i="101"/>
  <c r="R13" i="105" l="1"/>
  <c r="AG56" i="105"/>
  <c r="AK55" i="105"/>
  <c r="Q14" i="105" s="1"/>
  <c r="R14" i="105" s="1"/>
  <c r="K11" i="105"/>
  <c r="M10" i="105"/>
  <c r="AA54" i="105"/>
  <c r="AE53" i="105"/>
  <c r="J12" i="105" s="1"/>
  <c r="K12" i="105" s="1"/>
  <c r="AE43" i="101"/>
  <c r="AE20" i="101"/>
  <c r="AF106" i="101"/>
  <c r="AG106" i="101"/>
  <c r="AH106" i="101"/>
  <c r="AI106" i="101"/>
  <c r="AJ106" i="101"/>
  <c r="AK106" i="101"/>
  <c r="AL106" i="101"/>
  <c r="AF107" i="101"/>
  <c r="AE107" i="101" s="1"/>
  <c r="AG107" i="101"/>
  <c r="AH107" i="101"/>
  <c r="AI107" i="101"/>
  <c r="AK107" i="101"/>
  <c r="AL107" i="101"/>
  <c r="AF108" i="101"/>
  <c r="AG108" i="101"/>
  <c r="AH108" i="101"/>
  <c r="AI108" i="101"/>
  <c r="AJ108" i="101"/>
  <c r="AK108" i="101"/>
  <c r="AL108" i="101"/>
  <c r="AF109" i="101"/>
  <c r="AG109" i="101"/>
  <c r="AH109" i="101"/>
  <c r="AI109" i="101"/>
  <c r="AJ109" i="101"/>
  <c r="AK109" i="101"/>
  <c r="AL109" i="101"/>
  <c r="AF110" i="101"/>
  <c r="AG110" i="101"/>
  <c r="AH110" i="101"/>
  <c r="AI110" i="101"/>
  <c r="AJ110" i="101"/>
  <c r="AK110" i="101"/>
  <c r="AL110" i="101"/>
  <c r="AF111" i="101"/>
  <c r="AG111" i="101"/>
  <c r="AH111" i="101"/>
  <c r="AI111" i="101"/>
  <c r="AJ111" i="101"/>
  <c r="AK111" i="101"/>
  <c r="AL111" i="101"/>
  <c r="AF112" i="101"/>
  <c r="AG112" i="101"/>
  <c r="AH112" i="101"/>
  <c r="AI112" i="101"/>
  <c r="AJ112" i="101"/>
  <c r="AK112" i="101"/>
  <c r="AL112" i="101"/>
  <c r="AE113" i="101"/>
  <c r="AF115" i="101"/>
  <c r="AF118" i="101" s="1"/>
  <c r="AK119" i="101"/>
  <c r="AL119" i="101"/>
  <c r="AE126" i="101"/>
  <c r="AG174" i="101"/>
  <c r="AG182" i="101" s="1"/>
  <c r="AH128" i="101"/>
  <c r="AE130" i="101"/>
  <c r="AF131" i="101"/>
  <c r="AF132" i="101" s="1"/>
  <c r="AE132" i="101" s="1"/>
  <c r="AG131" i="101"/>
  <c r="AG132" i="101" s="1"/>
  <c r="AH134" i="101"/>
  <c r="AH21" i="101" s="1"/>
  <c r="AH23" i="101" s="1"/>
  <c r="AE137" i="101"/>
  <c r="AF138" i="101"/>
  <c r="AF139" i="101" s="1"/>
  <c r="AH139" i="101"/>
  <c r="AI142" i="101"/>
  <c r="AJ142" i="101"/>
  <c r="AK142" i="101"/>
  <c r="AL142" i="101"/>
  <c r="AF155" i="101"/>
  <c r="AG155" i="101"/>
  <c r="AH155" i="101"/>
  <c r="AI155" i="101"/>
  <c r="AJ155" i="101"/>
  <c r="AK155" i="101"/>
  <c r="AL155" i="101"/>
  <c r="AF156" i="101"/>
  <c r="AG156" i="101"/>
  <c r="AH156" i="101"/>
  <c r="AI156" i="101"/>
  <c r="AK156" i="101"/>
  <c r="AL156" i="101"/>
  <c r="AF157" i="101"/>
  <c r="AE157" i="101" s="1"/>
  <c r="AG157" i="101"/>
  <c r="AI157" i="101"/>
  <c r="AJ157" i="101"/>
  <c r="AK157" i="101"/>
  <c r="AL157" i="101"/>
  <c r="AF158" i="101"/>
  <c r="AK158" i="101"/>
  <c r="AL158" i="101"/>
  <c r="AK159" i="101"/>
  <c r="AL159" i="101"/>
  <c r="AK160" i="101"/>
  <c r="AL160" i="101"/>
  <c r="AK161" i="101"/>
  <c r="AL161" i="101"/>
  <c r="AE162" i="101"/>
  <c r="AK168" i="101"/>
  <c r="AL168" i="101"/>
  <c r="AH176" i="101"/>
  <c r="AF178" i="101"/>
  <c r="AE178" i="101" s="1"/>
  <c r="AG178" i="101"/>
  <c r="AH178" i="101"/>
  <c r="AF179" i="101"/>
  <c r="AG179" i="101"/>
  <c r="AH179" i="101"/>
  <c r="AG180" i="101"/>
  <c r="AF185" i="101"/>
  <c r="AE185" i="101" s="1"/>
  <c r="AG185" i="101"/>
  <c r="AF186" i="101"/>
  <c r="AH187" i="101"/>
  <c r="AH190" i="101"/>
  <c r="AI190" i="101"/>
  <c r="AJ190" i="101"/>
  <c r="AK190" i="101"/>
  <c r="AL190" i="101"/>
  <c r="AG204" i="101"/>
  <c r="AG207" i="101" s="1"/>
  <c r="AH204" i="101"/>
  <c r="AJ204" i="101" s="1"/>
  <c r="AI204" i="101"/>
  <c r="AG205" i="101"/>
  <c r="AF207" i="101"/>
  <c r="AG213" i="101"/>
  <c r="AH213" i="101"/>
  <c r="AI213" i="101" s="1"/>
  <c r="AJ213" i="101"/>
  <c r="AK213" i="101" s="1"/>
  <c r="AG214" i="101"/>
  <c r="AF216" i="101"/>
  <c r="AG216" i="101"/>
  <c r="AH216" i="101"/>
  <c r="AH214" i="101" s="1"/>
  <c r="AG225" i="101"/>
  <c r="AH225" i="101"/>
  <c r="AI225" i="101"/>
  <c r="AJ225" i="101"/>
  <c r="AK225" i="101" s="1"/>
  <c r="AG226" i="101"/>
  <c r="AH226" i="101"/>
  <c r="AI226" i="101" s="1"/>
  <c r="AG227" i="101"/>
  <c r="AG228" i="101"/>
  <c r="AG229" i="101"/>
  <c r="AF231" i="101"/>
  <c r="AG231" i="101"/>
  <c r="AG237" i="101"/>
  <c r="AH237" i="101"/>
  <c r="AI237" i="101" s="1"/>
  <c r="AG238" i="101"/>
  <c r="AG239" i="101"/>
  <c r="AG240" i="101"/>
  <c r="AG241" i="101"/>
  <c r="AF243" i="101"/>
  <c r="AH243" i="101"/>
  <c r="T14" i="105" l="1"/>
  <c r="M12" i="105"/>
  <c r="M11" i="105"/>
  <c r="AG57" i="105"/>
  <c r="AK56" i="105"/>
  <c r="Q15" i="105" s="1"/>
  <c r="R15" i="105" s="1"/>
  <c r="AE54" i="105"/>
  <c r="J13" i="105" s="1"/>
  <c r="AA55" i="105"/>
  <c r="T13" i="105"/>
  <c r="AE155" i="101"/>
  <c r="AH180" i="101"/>
  <c r="AE156" i="101"/>
  <c r="AE111" i="101"/>
  <c r="AI115" i="101"/>
  <c r="AI118" i="101" s="1"/>
  <c r="AE112" i="101"/>
  <c r="AE108" i="101"/>
  <c r="AH115" i="101"/>
  <c r="AH118" i="101" s="1"/>
  <c r="AH121" i="101" s="1"/>
  <c r="AE109" i="101"/>
  <c r="AG115" i="101"/>
  <c r="AG118" i="101" s="1"/>
  <c r="AE110" i="101"/>
  <c r="AJ115" i="101"/>
  <c r="AJ118" i="101" s="1"/>
  <c r="AE106" i="101"/>
  <c r="AI168" i="101"/>
  <c r="AL164" i="101"/>
  <c r="AL167" i="101" s="1"/>
  <c r="AL170" i="101" s="1"/>
  <c r="AL191" i="101" s="1"/>
  <c r="AL192" i="101" s="1"/>
  <c r="AI119" i="101"/>
  <c r="AI121" i="101" s="1"/>
  <c r="AI143" i="101" s="1"/>
  <c r="AI145" i="101" s="1"/>
  <c r="AI193" i="101" s="1"/>
  <c r="AG134" i="101"/>
  <c r="AG21" i="101" s="1"/>
  <c r="AF174" i="101"/>
  <c r="AE174" i="101" s="1"/>
  <c r="AE182" i="101" s="1"/>
  <c r="AF134" i="101"/>
  <c r="AG186" i="101"/>
  <c r="AG187" i="101" s="1"/>
  <c r="AL115" i="101"/>
  <c r="AL118" i="101" s="1"/>
  <c r="AL121" i="101" s="1"/>
  <c r="AL143" i="101" s="1"/>
  <c r="AL145" i="101" s="1"/>
  <c r="AK164" i="101"/>
  <c r="AK167" i="101" s="1"/>
  <c r="AK170" i="101" s="1"/>
  <c r="AK191" i="101" s="1"/>
  <c r="AK192" i="101" s="1"/>
  <c r="AK115" i="101"/>
  <c r="AK118" i="101" s="1"/>
  <c r="AK121" i="101" s="1"/>
  <c r="AK143" i="101" s="1"/>
  <c r="AK145" i="101" s="1"/>
  <c r="AK193" i="101" s="1"/>
  <c r="AJ119" i="101"/>
  <c r="AJ127" i="101"/>
  <c r="AI159" i="101"/>
  <c r="AJ161" i="101"/>
  <c r="AF161" i="101"/>
  <c r="AG160" i="101"/>
  <c r="AH159" i="101"/>
  <c r="AH164" i="101" s="1"/>
  <c r="AH167" i="101" s="1"/>
  <c r="AH170" i="101" s="1"/>
  <c r="AH191" i="101" s="1"/>
  <c r="AH192" i="101" s="1"/>
  <c r="AI158" i="101"/>
  <c r="AI164" i="101" s="1"/>
  <c r="AI167" i="101" s="1"/>
  <c r="AG161" i="101"/>
  <c r="AH160" i="101"/>
  <c r="AJ158" i="101"/>
  <c r="AJ164" i="101" s="1"/>
  <c r="AJ167" i="101" s="1"/>
  <c r="AI161" i="101"/>
  <c r="AJ160" i="101"/>
  <c r="AF160" i="101"/>
  <c r="AG159" i="101"/>
  <c r="AH161" i="101"/>
  <c r="AI160" i="101"/>
  <c r="AJ159" i="101"/>
  <c r="AF159" i="101"/>
  <c r="AE159" i="101" s="1"/>
  <c r="AG158" i="101"/>
  <c r="AG164" i="101" s="1"/>
  <c r="AG167" i="101" s="1"/>
  <c r="AG243" i="101"/>
  <c r="AJ214" i="101"/>
  <c r="AK214" i="101" s="1"/>
  <c r="AK216" i="101" s="1"/>
  <c r="AI214" i="101"/>
  <c r="AI216" i="101"/>
  <c r="AJ168" i="101"/>
  <c r="AJ175" i="101"/>
  <c r="AK204" i="101"/>
  <c r="AH239" i="101"/>
  <c r="AJ237" i="101"/>
  <c r="AJ216" i="101"/>
  <c r="AH205" i="101"/>
  <c r="AF187" i="101"/>
  <c r="AF180" i="101"/>
  <c r="AE180" i="101" s="1"/>
  <c r="AH238" i="101"/>
  <c r="AJ226" i="101"/>
  <c r="AK226" i="101" s="1"/>
  <c r="AG44" i="101"/>
  <c r="AG46" i="101" s="1"/>
  <c r="AG23" i="101"/>
  <c r="AH227" i="101"/>
  <c r="AH182" i="101"/>
  <c r="AE118" i="101" l="1"/>
  <c r="T15" i="105"/>
  <c r="AG58" i="105"/>
  <c r="AK57" i="105"/>
  <c r="Q16" i="105" s="1"/>
  <c r="R16" i="105" s="1"/>
  <c r="AE55" i="105"/>
  <c r="J14" i="105" s="1"/>
  <c r="K14" i="105" s="1"/>
  <c r="AA56" i="105"/>
  <c r="K13" i="105"/>
  <c r="AE115" i="101"/>
  <c r="AJ121" i="101"/>
  <c r="AJ143" i="101" s="1"/>
  <c r="AJ145" i="101" s="1"/>
  <c r="AJ193" i="101" s="1"/>
  <c r="AJ195" i="101" s="1"/>
  <c r="AJ196" i="101" s="1"/>
  <c r="AF164" i="101"/>
  <c r="AF167" i="101" s="1"/>
  <c r="AE167" i="101" s="1"/>
  <c r="AI170" i="101"/>
  <c r="AI191" i="101" s="1"/>
  <c r="AI192" i="101" s="1"/>
  <c r="AE158" i="101"/>
  <c r="AE164" i="101" s="1"/>
  <c r="AE160" i="101"/>
  <c r="AJ170" i="101"/>
  <c r="AJ191" i="101" s="1"/>
  <c r="AJ192" i="101" s="1"/>
  <c r="AE161" i="101"/>
  <c r="AG168" i="101"/>
  <c r="AG170" i="101" s="1"/>
  <c r="AG191" i="101" s="1"/>
  <c r="AI195" i="101"/>
  <c r="AI196" i="101" s="1"/>
  <c r="AG175" i="101"/>
  <c r="AG176" i="101" s="1"/>
  <c r="AG183" i="101" s="1"/>
  <c r="AG190" i="101" s="1"/>
  <c r="AF175" i="101"/>
  <c r="AF176" i="101" s="1"/>
  <c r="AE176" i="101" s="1"/>
  <c r="AE183" i="101" s="1"/>
  <c r="AF21" i="101"/>
  <c r="AE134" i="101"/>
  <c r="AF182" i="101"/>
  <c r="AF119" i="101"/>
  <c r="AF127" i="101"/>
  <c r="AF128" i="101" s="1"/>
  <c r="AF168" i="101"/>
  <c r="AH228" i="101"/>
  <c r="AE187" i="101"/>
  <c r="AK237" i="101"/>
  <c r="AJ239" i="101"/>
  <c r="AK239" i="101" s="1"/>
  <c r="AI239" i="101"/>
  <c r="AL193" i="101"/>
  <c r="AL195" i="101" s="1"/>
  <c r="AL196" i="101" s="1"/>
  <c r="AG138" i="101"/>
  <c r="AG139" i="101" s="1"/>
  <c r="AE139" i="101" s="1"/>
  <c r="AG119" i="101"/>
  <c r="AG121" i="101" s="1"/>
  <c r="AG143" i="101" s="1"/>
  <c r="AG127" i="101"/>
  <c r="AG128" i="101" s="1"/>
  <c r="AG135" i="101" s="1"/>
  <c r="AI227" i="101"/>
  <c r="AJ227" i="101"/>
  <c r="AK227" i="101" s="1"/>
  <c r="AH241" i="101"/>
  <c r="AI238" i="101"/>
  <c r="AI243" i="101" s="1"/>
  <c r="AJ238" i="101"/>
  <c r="AK238" i="101" s="1"/>
  <c r="AH240" i="101"/>
  <c r="AJ205" i="101"/>
  <c r="AI205" i="101"/>
  <c r="AI207" i="101" s="1"/>
  <c r="AK195" i="101"/>
  <c r="M13" i="105" l="1"/>
  <c r="T16" i="105"/>
  <c r="AG59" i="105"/>
  <c r="AK58" i="105"/>
  <c r="Q17" i="105" s="1"/>
  <c r="R17" i="105" s="1"/>
  <c r="M14" i="105"/>
  <c r="AA57" i="105"/>
  <c r="AE56" i="105"/>
  <c r="J15" i="105" s="1"/>
  <c r="K15" i="105" s="1"/>
  <c r="AG192" i="101"/>
  <c r="AE21" i="101"/>
  <c r="AF44" i="101"/>
  <c r="AF23" i="101"/>
  <c r="AE168" i="101"/>
  <c r="AF170" i="101"/>
  <c r="AF183" i="101"/>
  <c r="AF190" i="101" s="1"/>
  <c r="AE190" i="101" s="1"/>
  <c r="AE128" i="101"/>
  <c r="AF135" i="101"/>
  <c r="AG142" i="101"/>
  <c r="AG145" i="101" s="1"/>
  <c r="AG193" i="101" s="1"/>
  <c r="AE119" i="101"/>
  <c r="AF121" i="101"/>
  <c r="AF143" i="101" s="1"/>
  <c r="AE143" i="101" s="1"/>
  <c r="AK205" i="101"/>
  <c r="AK207" i="101" s="1"/>
  <c r="AJ207" i="101"/>
  <c r="AM204" i="101" s="1"/>
  <c r="AI228" i="101"/>
  <c r="AJ228" i="101"/>
  <c r="AK228" i="101" s="1"/>
  <c r="AI241" i="101"/>
  <c r="AJ241" i="101"/>
  <c r="AK241" i="101" s="1"/>
  <c r="AI240" i="101"/>
  <c r="AJ240" i="101"/>
  <c r="AK240" i="101" s="1"/>
  <c r="AK243" i="101" s="1"/>
  <c r="AK196" i="101"/>
  <c r="AH229" i="101"/>
  <c r="AA58" i="105" l="1"/>
  <c r="AE57" i="105"/>
  <c r="J16" i="105" s="1"/>
  <c r="K16" i="105" s="1"/>
  <c r="T17" i="105"/>
  <c r="M15" i="105"/>
  <c r="AK59" i="105"/>
  <c r="Q18" i="105" s="1"/>
  <c r="AG60" i="105"/>
  <c r="AG195" i="101"/>
  <c r="AG196" i="101" s="1"/>
  <c r="AF46" i="101"/>
  <c r="AE44" i="101"/>
  <c r="AE23" i="101"/>
  <c r="AE121" i="101"/>
  <c r="AE170" i="101"/>
  <c r="AF191" i="101"/>
  <c r="AF142" i="101"/>
  <c r="AE135" i="101"/>
  <c r="AJ229" i="101"/>
  <c r="AI229" i="101"/>
  <c r="AI231" i="101" s="1"/>
  <c r="AM205" i="101"/>
  <c r="AJ243" i="101"/>
  <c r="AE46" i="101" l="1"/>
  <c r="M16" i="105"/>
  <c r="AG61" i="105"/>
  <c r="AG62" i="105" s="1"/>
  <c r="AG63" i="105" s="1"/>
  <c r="AG64" i="105" s="1"/>
  <c r="AG65" i="105" s="1"/>
  <c r="AG66" i="105" s="1"/>
  <c r="AG67" i="105" s="1"/>
  <c r="AG68" i="105" s="1"/>
  <c r="AG69" i="105" s="1"/>
  <c r="AG70" i="105" s="1"/>
  <c r="AG71" i="105" s="1"/>
  <c r="AG72" i="105" s="1"/>
  <c r="AG73" i="105" s="1"/>
  <c r="AG74" i="105" s="1"/>
  <c r="AG75" i="105" s="1"/>
  <c r="AG76" i="105" s="1"/>
  <c r="AG77" i="105" s="1"/>
  <c r="AG78" i="105" s="1"/>
  <c r="AG79" i="105" s="1"/>
  <c r="AG80" i="105" s="1"/>
  <c r="AG81" i="105" s="1"/>
  <c r="AG82" i="105" s="1"/>
  <c r="AG83" i="105" s="1"/>
  <c r="AG84" i="105" s="1"/>
  <c r="AG85" i="105" s="1"/>
  <c r="AG86" i="105" s="1"/>
  <c r="AG87" i="105" s="1"/>
  <c r="AG88" i="105" s="1"/>
  <c r="AG89" i="105" s="1"/>
  <c r="AG90" i="105" s="1"/>
  <c r="AG91" i="105" s="1"/>
  <c r="AG92" i="105" s="1"/>
  <c r="AG93" i="105" s="1"/>
  <c r="AG94" i="105" s="1"/>
  <c r="AG95" i="105" s="1"/>
  <c r="AG96" i="105" s="1"/>
  <c r="AG97" i="105" s="1"/>
  <c r="AG98" i="105" s="1"/>
  <c r="AG99" i="105" s="1"/>
  <c r="AG100" i="105" s="1"/>
  <c r="AG101" i="105" s="1"/>
  <c r="AG102" i="105" s="1"/>
  <c r="AG103" i="105" s="1"/>
  <c r="AG104" i="105" s="1"/>
  <c r="AG105" i="105" s="1"/>
  <c r="AG106" i="105" s="1"/>
  <c r="AG107" i="105" s="1"/>
  <c r="AG108" i="105" s="1"/>
  <c r="AG109" i="105" s="1"/>
  <c r="AG110" i="105" s="1"/>
  <c r="AG111" i="105" s="1"/>
  <c r="AG112" i="105" s="1"/>
  <c r="AG113" i="105" s="1"/>
  <c r="AG114" i="105" s="1"/>
  <c r="AG115" i="105" s="1"/>
  <c r="AG116" i="105" s="1"/>
  <c r="AG117" i="105" s="1"/>
  <c r="AG118" i="105" s="1"/>
  <c r="AG119" i="105" s="1"/>
  <c r="AG120" i="105" s="1"/>
  <c r="AG121" i="105" s="1"/>
  <c r="AG122" i="105" s="1"/>
  <c r="AG123" i="105" s="1"/>
  <c r="AG124" i="105" s="1"/>
  <c r="AG125" i="105" s="1"/>
  <c r="AG126" i="105" s="1"/>
  <c r="AG127" i="105" s="1"/>
  <c r="AG128" i="105" s="1"/>
  <c r="AG129" i="105" s="1"/>
  <c r="AG130" i="105" s="1"/>
  <c r="AG131" i="105" s="1"/>
  <c r="AG132" i="105" s="1"/>
  <c r="AG133" i="105" s="1"/>
  <c r="AG134" i="105" s="1"/>
  <c r="AG135" i="105" s="1"/>
  <c r="AG136" i="105" s="1"/>
  <c r="AG137" i="105" s="1"/>
  <c r="AG138" i="105" s="1"/>
  <c r="AG139" i="105" s="1"/>
  <c r="AG140" i="105" s="1"/>
  <c r="AG141" i="105" s="1"/>
  <c r="AG142" i="105" s="1"/>
  <c r="AG143" i="105" s="1"/>
  <c r="AG144" i="105" s="1"/>
  <c r="AG145" i="105" s="1"/>
  <c r="AG146" i="105" s="1"/>
  <c r="AG147" i="105" s="1"/>
  <c r="AG148" i="105" s="1"/>
  <c r="AG149" i="105" s="1"/>
  <c r="AG150" i="105" s="1"/>
  <c r="AG151" i="105" s="1"/>
  <c r="AG152" i="105" s="1"/>
  <c r="AG153" i="105" s="1"/>
  <c r="AG154" i="105" s="1"/>
  <c r="AG155" i="105" s="1"/>
  <c r="AG156" i="105" s="1"/>
  <c r="AG157" i="105" s="1"/>
  <c r="AG158" i="105" s="1"/>
  <c r="AG159" i="105" s="1"/>
  <c r="AG160" i="105" s="1"/>
  <c r="AG161" i="105" s="1"/>
  <c r="AG162" i="105" s="1"/>
  <c r="AG163" i="105" s="1"/>
  <c r="AG164" i="105" s="1"/>
  <c r="AG165" i="105" s="1"/>
  <c r="AG166" i="105" s="1"/>
  <c r="AG167" i="105" s="1"/>
  <c r="AG168" i="105" s="1"/>
  <c r="AG169" i="105" s="1"/>
  <c r="AG170" i="105" s="1"/>
  <c r="AG171" i="105" s="1"/>
  <c r="AG172" i="105" s="1"/>
  <c r="AG173" i="105" s="1"/>
  <c r="AG174" i="105" s="1"/>
  <c r="AG175" i="105" s="1"/>
  <c r="AG176" i="105" s="1"/>
  <c r="AG177" i="105" s="1"/>
  <c r="AG178" i="105" s="1"/>
  <c r="AG179" i="105" s="1"/>
  <c r="AG180" i="105" s="1"/>
  <c r="AG181" i="105" s="1"/>
  <c r="AG182" i="105" s="1"/>
  <c r="AG183" i="105" s="1"/>
  <c r="AG184" i="105" s="1"/>
  <c r="AG185" i="105" s="1"/>
  <c r="AG186" i="105" s="1"/>
  <c r="AG187" i="105" s="1"/>
  <c r="AG188" i="105" s="1"/>
  <c r="AK60" i="105"/>
  <c r="AA59" i="105"/>
  <c r="AE58" i="105"/>
  <c r="J17" i="105" s="1"/>
  <c r="K17" i="105" s="1"/>
  <c r="R18" i="105"/>
  <c r="AF145" i="101"/>
  <c r="AE142" i="101"/>
  <c r="AE191" i="101"/>
  <c r="AF192" i="101"/>
  <c r="AK229" i="101"/>
  <c r="AK231" i="101" s="1"/>
  <c r="AJ231" i="101"/>
  <c r="AK61" i="105" l="1"/>
  <c r="Q19" i="105"/>
  <c r="R19" i="105" s="1"/>
  <c r="T18" i="105"/>
  <c r="M17" i="105"/>
  <c r="AE59" i="105"/>
  <c r="J18" i="105" s="1"/>
  <c r="AA60" i="105"/>
  <c r="AE145" i="101"/>
  <c r="AF193" i="101"/>
  <c r="AE193" i="101" s="1"/>
  <c r="AE192" i="101"/>
  <c r="V6" i="101"/>
  <c r="V10" i="101"/>
  <c r="Q10" i="101" s="1"/>
  <c r="W10" i="101" s="1"/>
  <c r="T11" i="101"/>
  <c r="V11" i="101" s="1"/>
  <c r="W11" i="101" s="1"/>
  <c r="T12" i="101"/>
  <c r="V12" i="101" s="1"/>
  <c r="W12" i="101" s="1"/>
  <c r="T13" i="101"/>
  <c r="V13" i="101" s="1"/>
  <c r="W13" i="101" s="1"/>
  <c r="T17" i="101"/>
  <c r="V17" i="101"/>
  <c r="W17" i="101" s="1"/>
  <c r="R19" i="101"/>
  <c r="U19" i="101"/>
  <c r="V21" i="101"/>
  <c r="Q22" i="101"/>
  <c r="Q21" i="101" s="1"/>
  <c r="W21" i="101" s="1"/>
  <c r="V22" i="101"/>
  <c r="V23" i="101"/>
  <c r="W23" i="101" s="1"/>
  <c r="D14" i="101" s="1"/>
  <c r="G14" i="101" s="1"/>
  <c r="H14" i="101" s="1"/>
  <c r="R24" i="101"/>
  <c r="S24" i="101"/>
  <c r="T24" i="101"/>
  <c r="Q26" i="101"/>
  <c r="R26" i="101"/>
  <c r="V27" i="101"/>
  <c r="Q27" i="101" s="1"/>
  <c r="W27" i="101" s="1"/>
  <c r="V28" i="101"/>
  <c r="Q28" i="101" s="1"/>
  <c r="W28" i="101" s="1"/>
  <c r="V29" i="101"/>
  <c r="W29" i="101" s="1"/>
  <c r="D18" i="101" s="1"/>
  <c r="G18" i="101" s="1"/>
  <c r="H18" i="101" s="1"/>
  <c r="V30" i="101"/>
  <c r="W30" i="101" s="1"/>
  <c r="D19" i="101" s="1"/>
  <c r="G19" i="101" s="1"/>
  <c r="H19" i="101" s="1"/>
  <c r="Q31" i="101"/>
  <c r="W31" i="101" s="1"/>
  <c r="V31" i="101"/>
  <c r="Q32" i="101"/>
  <c r="V32" i="101"/>
  <c r="V33" i="101"/>
  <c r="Q34" i="101"/>
  <c r="R34" i="101"/>
  <c r="S34" i="101"/>
  <c r="T34" i="101"/>
  <c r="U34" i="101"/>
  <c r="Q35" i="101"/>
  <c r="U35" i="101"/>
  <c r="R38" i="101"/>
  <c r="V38" i="101" s="1"/>
  <c r="W38" i="101" s="1"/>
  <c r="Q39" i="101"/>
  <c r="T40" i="101"/>
  <c r="T39" i="101" s="1"/>
  <c r="V41" i="101"/>
  <c r="W41" i="101" s="1"/>
  <c r="D25" i="101" s="1"/>
  <c r="F25" i="101" s="1"/>
  <c r="G25" i="101" s="1"/>
  <c r="H25" i="101" s="1"/>
  <c r="T42" i="101"/>
  <c r="V42" i="101" s="1"/>
  <c r="W42" i="101" s="1"/>
  <c r="T43" i="101"/>
  <c r="V43" i="101" s="1"/>
  <c r="W43" i="101" s="1"/>
  <c r="T44" i="101"/>
  <c r="V44" i="101" s="1"/>
  <c r="W44" i="101" s="1"/>
  <c r="T45" i="101"/>
  <c r="V45" i="101" s="1"/>
  <c r="W45" i="101" s="1"/>
  <c r="T46" i="101"/>
  <c r="T47" i="101"/>
  <c r="T48" i="101"/>
  <c r="V48" i="101" s="1"/>
  <c r="W48" i="101" s="1"/>
  <c r="Q58" i="101"/>
  <c r="T58" i="101" s="1"/>
  <c r="S73" i="101"/>
  <c r="S75" i="101"/>
  <c r="S76" i="101"/>
  <c r="S77" i="101"/>
  <c r="S81" i="101"/>
  <c r="S82" i="101"/>
  <c r="S86" i="101"/>
  <c r="S87" i="101"/>
  <c r="S89" i="101"/>
  <c r="S90" i="101"/>
  <c r="S92" i="101"/>
  <c r="S93" i="101"/>
  <c r="S94" i="101"/>
  <c r="S95" i="101"/>
  <c r="X49" i="101"/>
  <c r="X51" i="101"/>
  <c r="U51" i="101" s="1"/>
  <c r="K18" i="105" l="1"/>
  <c r="T19" i="105"/>
  <c r="S19" i="105"/>
  <c r="AA61" i="105"/>
  <c r="AE60" i="105"/>
  <c r="J19" i="105" s="1"/>
  <c r="K19" i="105" s="1"/>
  <c r="AK62" i="105"/>
  <c r="Q20" i="105"/>
  <c r="R20" i="105" s="1"/>
  <c r="AF195" i="101"/>
  <c r="AE195" i="101" s="1"/>
  <c r="AE196" i="101" s="1"/>
  <c r="I29" i="101"/>
  <c r="I36" i="101" s="1"/>
  <c r="S97" i="101"/>
  <c r="R35" i="101"/>
  <c r="R52" i="101"/>
  <c r="Q51" i="101"/>
  <c r="V24" i="101"/>
  <c r="W22" i="101"/>
  <c r="S78" i="101"/>
  <c r="S79" i="101" s="1"/>
  <c r="S83" i="101" s="1"/>
  <c r="S98" i="101" s="1"/>
  <c r="W32" i="101"/>
  <c r="D20" i="101" s="1"/>
  <c r="G20" i="101" s="1"/>
  <c r="H20" i="101" s="1"/>
  <c r="D12" i="101"/>
  <c r="W24" i="101"/>
  <c r="Q49" i="101"/>
  <c r="U49" i="101"/>
  <c r="Q33" i="101"/>
  <c r="W33" i="101" s="1"/>
  <c r="V39" i="101"/>
  <c r="W39" i="101" s="1"/>
  <c r="V40" i="101"/>
  <c r="W40" i="101" s="1"/>
  <c r="F15" i="101"/>
  <c r="V34" i="101"/>
  <c r="X50" i="101"/>
  <c r="U50" i="101" s="1"/>
  <c r="F10" i="101"/>
  <c r="AK63" i="105" l="1"/>
  <c r="Q21" i="105"/>
  <c r="R21" i="105" s="1"/>
  <c r="U19" i="105"/>
  <c r="M18" i="105"/>
  <c r="AA62" i="105"/>
  <c r="AE61" i="105"/>
  <c r="J20" i="105" s="1"/>
  <c r="K20" i="105" s="1"/>
  <c r="T20" i="105"/>
  <c r="S20" i="105"/>
  <c r="M19" i="105"/>
  <c r="L19" i="105"/>
  <c r="AF196" i="101"/>
  <c r="W34" i="101"/>
  <c r="R54" i="101"/>
  <c r="F37" i="101"/>
  <c r="D24" i="101"/>
  <c r="G24" i="101" s="1"/>
  <c r="H24" i="101" s="1"/>
  <c r="D15" i="101"/>
  <c r="G15" i="101" s="1"/>
  <c r="G12" i="101"/>
  <c r="H12" i="101" s="1"/>
  <c r="H15" i="101" s="1"/>
  <c r="Z15" i="1" s="1"/>
  <c r="X52" i="101"/>
  <c r="X53" i="101" s="1"/>
  <c r="Q50" i="101"/>
  <c r="Q52" i="101" s="1"/>
  <c r="Q54" i="101" s="1"/>
  <c r="U52" i="101"/>
  <c r="U54" i="101" s="1"/>
  <c r="F17" i="101"/>
  <c r="F21" i="101" s="1"/>
  <c r="AA63" i="105" l="1"/>
  <c r="AE62" i="105"/>
  <c r="J21" i="105" s="1"/>
  <c r="K21" i="105" s="1"/>
  <c r="M20" i="105"/>
  <c r="L20" i="105"/>
  <c r="T21" i="105"/>
  <c r="S21" i="105"/>
  <c r="N19" i="105"/>
  <c r="U20" i="105"/>
  <c r="AK64" i="105"/>
  <c r="Q22" i="105"/>
  <c r="R22" i="105" s="1"/>
  <c r="S7" i="101"/>
  <c r="T15" i="101"/>
  <c r="V15" i="101" s="1"/>
  <c r="Q15" i="101" s="1"/>
  <c r="W15" i="101" s="1"/>
  <c r="T9" i="101"/>
  <c r="T14" i="101"/>
  <c r="V14" i="101" s="1"/>
  <c r="Q14" i="101" s="1"/>
  <c r="W14" i="101" s="1"/>
  <c r="T16" i="101"/>
  <c r="V16" i="101" s="1"/>
  <c r="Q16" i="101" s="1"/>
  <c r="W16" i="101" s="1"/>
  <c r="Q7" i="101"/>
  <c r="T18" i="101"/>
  <c r="V18" i="101" s="1"/>
  <c r="W18" i="101" s="1"/>
  <c r="D9" i="101" s="1"/>
  <c r="G9" i="101" s="1"/>
  <c r="H9" i="101" s="1"/>
  <c r="AK65" i="105" l="1"/>
  <c r="Q23" i="105"/>
  <c r="R23" i="105" s="1"/>
  <c r="N20" i="105"/>
  <c r="T22" i="105"/>
  <c r="S22" i="105"/>
  <c r="U21" i="105"/>
  <c r="M21" i="105"/>
  <c r="L21" i="105"/>
  <c r="AA64" i="105"/>
  <c r="AE63" i="105"/>
  <c r="J22" i="105" s="1"/>
  <c r="K22" i="105" s="1"/>
  <c r="V9" i="101"/>
  <c r="Q9" i="101" s="1"/>
  <c r="W9" i="101" s="1"/>
  <c r="T19" i="101"/>
  <c r="T26" i="101" s="1"/>
  <c r="V7" i="101"/>
  <c r="W7" i="101" s="1"/>
  <c r="D7" i="101" s="1"/>
  <c r="G7" i="101" s="1"/>
  <c r="H7" i="101" s="1"/>
  <c r="S8" i="101"/>
  <c r="V8" i="101" s="1"/>
  <c r="W8" i="101" s="1"/>
  <c r="D8" i="101" s="1"/>
  <c r="G8" i="101" s="1"/>
  <c r="H8" i="101" s="1"/>
  <c r="N21" i="105" l="1"/>
  <c r="M22" i="105"/>
  <c r="L22" i="105"/>
  <c r="T23" i="105"/>
  <c r="S23" i="105"/>
  <c r="AA65" i="105"/>
  <c r="AE64" i="105"/>
  <c r="J23" i="105" s="1"/>
  <c r="K23" i="105" s="1"/>
  <c r="U22" i="105"/>
  <c r="AK66" i="105"/>
  <c r="Q24" i="105"/>
  <c r="Q6" i="101"/>
  <c r="W6" i="101" s="1"/>
  <c r="W19" i="101"/>
  <c r="W26" i="101" s="1"/>
  <c r="W35" i="101" s="1"/>
  <c r="T50" i="101"/>
  <c r="T49" i="101"/>
  <c r="T35" i="101"/>
  <c r="T51" i="101"/>
  <c r="S19" i="101"/>
  <c r="S26" i="101" s="1"/>
  <c r="V19" i="101"/>
  <c r="D6" i="101"/>
  <c r="U23" i="105" l="1"/>
  <c r="N22" i="105"/>
  <c r="R24" i="105"/>
  <c r="U149" i="105"/>
  <c r="D11" i="105" s="1"/>
  <c r="M23" i="105"/>
  <c r="L23" i="105"/>
  <c r="AK67" i="105"/>
  <c r="Q25" i="105"/>
  <c r="R25" i="105" s="1"/>
  <c r="AA66" i="105"/>
  <c r="AE65" i="105"/>
  <c r="J24" i="105" s="1"/>
  <c r="T52" i="101"/>
  <c r="T54" i="101" s="1"/>
  <c r="S49" i="101"/>
  <c r="S35" i="101"/>
  <c r="S50" i="101"/>
  <c r="V50" i="101" s="1"/>
  <c r="W50" i="101" s="1"/>
  <c r="S51" i="101"/>
  <c r="V51" i="101" s="1"/>
  <c r="W51" i="101" s="1"/>
  <c r="V26" i="101"/>
  <c r="V35" i="101" s="1"/>
  <c r="D10" i="101"/>
  <c r="G10" i="101" s="1"/>
  <c r="G17" i="101" s="1"/>
  <c r="G21" i="101" s="1"/>
  <c r="G6" i="101"/>
  <c r="H6" i="101" s="1"/>
  <c r="H10" i="101" s="1"/>
  <c r="H17" i="101" l="1"/>
  <c r="H28" i="101" s="1"/>
  <c r="Z14" i="1"/>
  <c r="AA67" i="105"/>
  <c r="AE66" i="105"/>
  <c r="J25" i="105" s="1"/>
  <c r="N23" i="105"/>
  <c r="T25" i="105"/>
  <c r="S25" i="105"/>
  <c r="AK68" i="105"/>
  <c r="Q26" i="105"/>
  <c r="R26" i="105" s="1"/>
  <c r="K24" i="105"/>
  <c r="N149" i="105"/>
  <c r="C11" i="105" s="1"/>
  <c r="T24" i="105"/>
  <c r="S24" i="105"/>
  <c r="T57" i="101"/>
  <c r="S52" i="101"/>
  <c r="S54" i="101" s="1"/>
  <c r="V54" i="101" s="1"/>
  <c r="V49" i="101"/>
  <c r="H21" i="101"/>
  <c r="H26" i="101"/>
  <c r="I35" i="101"/>
  <c r="I37" i="101" s="1"/>
  <c r="D17" i="101"/>
  <c r="D21" i="101" s="1"/>
  <c r="H27" i="101" l="1"/>
  <c r="I38" i="101" s="1"/>
  <c r="I39" i="101" s="1"/>
  <c r="R149" i="105"/>
  <c r="U25" i="105"/>
  <c r="K25" i="105"/>
  <c r="M24" i="105"/>
  <c r="L24" i="105"/>
  <c r="T26" i="105"/>
  <c r="S26" i="105"/>
  <c r="U24" i="105"/>
  <c r="S149" i="105" s="1"/>
  <c r="AK69" i="105"/>
  <c r="Q27" i="105"/>
  <c r="R27" i="105" s="1"/>
  <c r="AE67" i="105"/>
  <c r="J26" i="105" s="1"/>
  <c r="K26" i="105" s="1"/>
  <c r="AA68" i="105"/>
  <c r="W49" i="101"/>
  <c r="W52" i="101" s="1"/>
  <c r="W54" i="101" s="1"/>
  <c r="V52" i="101"/>
  <c r="Q57" i="101"/>
  <c r="T59" i="101"/>
  <c r="T61" i="101" s="1"/>
  <c r="H29" i="101" l="1"/>
  <c r="H31" i="101" s="1"/>
  <c r="AK70" i="105"/>
  <c r="Q28" i="105"/>
  <c r="R28" i="105" s="1"/>
  <c r="T27" i="105"/>
  <c r="S27" i="105"/>
  <c r="N24" i="105"/>
  <c r="L149" i="105" s="1"/>
  <c r="U26" i="105"/>
  <c r="V24" i="105"/>
  <c r="AA69" i="105"/>
  <c r="AE68" i="105"/>
  <c r="J27" i="105" s="1"/>
  <c r="K27" i="105" s="1"/>
  <c r="M26" i="105"/>
  <c r="L26" i="105"/>
  <c r="K149" i="105"/>
  <c r="M149" i="105" s="1"/>
  <c r="C3" i="105" s="1"/>
  <c r="M25" i="105"/>
  <c r="L25" i="105"/>
  <c r="T149" i="105"/>
  <c r="D3" i="105" s="1"/>
  <c r="H32" i="101"/>
  <c r="H33" i="101" s="1"/>
  <c r="BF73" i="1"/>
  <c r="BF70" i="1"/>
  <c r="BF69" i="1"/>
  <c r="BF68" i="1"/>
  <c r="BF64" i="1"/>
  <c r="BF63" i="1"/>
  <c r="BF62" i="1"/>
  <c r="BF44" i="1"/>
  <c r="BF34" i="1"/>
  <c r="BF28" i="1"/>
  <c r="AT73" i="1"/>
  <c r="AT70" i="1"/>
  <c r="AT69" i="1"/>
  <c r="AT68" i="1"/>
  <c r="AT64" i="1"/>
  <c r="AT63" i="1"/>
  <c r="AT62" i="1"/>
  <c r="AT44" i="1"/>
  <c r="AT34" i="1"/>
  <c r="AT28" i="1"/>
  <c r="AP73" i="1"/>
  <c r="AP70" i="1"/>
  <c r="AP69" i="1"/>
  <c r="AP68" i="1"/>
  <c r="AP64" i="1"/>
  <c r="AP63" i="1"/>
  <c r="AP62" i="1"/>
  <c r="AP44" i="1"/>
  <c r="AP34" i="1"/>
  <c r="AP28" i="1"/>
  <c r="AO44" i="1"/>
  <c r="AO34" i="1"/>
  <c r="AO28" i="1"/>
  <c r="AN73" i="1"/>
  <c r="AN69" i="1"/>
  <c r="AN70" i="1"/>
  <c r="AN68" i="1"/>
  <c r="AN64" i="1"/>
  <c r="AN63" i="1"/>
  <c r="AN62" i="1"/>
  <c r="AN44" i="1"/>
  <c r="AN34" i="1"/>
  <c r="AN28" i="1"/>
  <c r="W73" i="1"/>
  <c r="W70" i="1"/>
  <c r="W69" i="1"/>
  <c r="W68" i="1"/>
  <c r="W64" i="1"/>
  <c r="W63" i="1"/>
  <c r="W62" i="1"/>
  <c r="C11" i="100"/>
  <c r="J11" i="100"/>
  <c r="H15" i="100"/>
  <c r="H18" i="100" s="1"/>
  <c r="Q11" i="100"/>
  <c r="V11" i="100"/>
  <c r="T15" i="100"/>
  <c r="T17" i="100" s="1"/>
  <c r="AC11" i="100"/>
  <c r="AH15" i="100"/>
  <c r="AO11" i="100"/>
  <c r="J12" i="100"/>
  <c r="L12" i="100" s="1"/>
  <c r="Q12" i="100"/>
  <c r="V12" i="100"/>
  <c r="AC12" i="100"/>
  <c r="AJ12" i="100"/>
  <c r="AN12" i="100"/>
  <c r="AO12" i="100"/>
  <c r="C13" i="100"/>
  <c r="J13" i="100"/>
  <c r="L13" i="100" s="1"/>
  <c r="Q13" i="100"/>
  <c r="V13" i="100"/>
  <c r="AC13" i="100"/>
  <c r="AJ13" i="100"/>
  <c r="AO13" i="100"/>
  <c r="J14" i="100"/>
  <c r="L14" i="100" s="1"/>
  <c r="Q14" i="100"/>
  <c r="V14" i="100"/>
  <c r="AC14" i="100"/>
  <c r="AJ14" i="100"/>
  <c r="AN14" i="100"/>
  <c r="AO14" i="100"/>
  <c r="D15" i="100"/>
  <c r="E15" i="100"/>
  <c r="E18" i="100" s="1"/>
  <c r="G15" i="100"/>
  <c r="G18" i="100" s="1"/>
  <c r="I15" i="100"/>
  <c r="O15" i="100"/>
  <c r="P15" i="100"/>
  <c r="P18" i="100" s="1"/>
  <c r="S15" i="100"/>
  <c r="S17" i="100" s="1"/>
  <c r="U15" i="100"/>
  <c r="Z15" i="100"/>
  <c r="Z17" i="100" s="1"/>
  <c r="AA15" i="100"/>
  <c r="AG15" i="100"/>
  <c r="I17" i="100"/>
  <c r="O17" i="100"/>
  <c r="I18" i="100"/>
  <c r="O18" i="100"/>
  <c r="T18" i="100"/>
  <c r="C23" i="100"/>
  <c r="AC23" i="100"/>
  <c r="V24" i="100"/>
  <c r="C25" i="100"/>
  <c r="J25" i="100"/>
  <c r="L25" i="100" s="1"/>
  <c r="V25" i="100"/>
  <c r="AC25" i="100"/>
  <c r="AJ25" i="100"/>
  <c r="C26" i="100"/>
  <c r="J26" i="100"/>
  <c r="V26" i="100"/>
  <c r="AC26" i="100"/>
  <c r="AJ26" i="100"/>
  <c r="D27" i="100"/>
  <c r="G27" i="100"/>
  <c r="N27" i="100"/>
  <c r="O27" i="100"/>
  <c r="P27" i="100"/>
  <c r="P43" i="100" s="1"/>
  <c r="Q27" i="100"/>
  <c r="S27" i="100"/>
  <c r="U27" i="100"/>
  <c r="Z27" i="100"/>
  <c r="AA27" i="100"/>
  <c r="AF27" i="100"/>
  <c r="AG27" i="100"/>
  <c r="J30" i="100"/>
  <c r="C31" i="100"/>
  <c r="V31" i="100"/>
  <c r="C32" i="100"/>
  <c r="L32" i="100"/>
  <c r="J32" i="100"/>
  <c r="V32" i="100"/>
  <c r="AC32" i="100"/>
  <c r="AJ32" i="100"/>
  <c r="C33" i="100"/>
  <c r="J33" i="100"/>
  <c r="V33" i="100"/>
  <c r="AC33" i="100"/>
  <c r="AJ33" i="100"/>
  <c r="D34" i="100"/>
  <c r="N34" i="100"/>
  <c r="O34" i="100"/>
  <c r="P34" i="100"/>
  <c r="Q34" i="100"/>
  <c r="T34" i="100"/>
  <c r="C37" i="100"/>
  <c r="J37" i="100"/>
  <c r="V37" i="100"/>
  <c r="AC37" i="100"/>
  <c r="AJ37" i="100"/>
  <c r="AJ41" i="100" s="1"/>
  <c r="C38" i="100"/>
  <c r="J38" i="100"/>
  <c r="L38" i="100" s="1"/>
  <c r="X38" i="100" s="1"/>
  <c r="AE38" i="100" s="1"/>
  <c r="V38" i="100"/>
  <c r="AC38" i="100"/>
  <c r="AJ38" i="100"/>
  <c r="C39" i="100"/>
  <c r="J39" i="100"/>
  <c r="L39" i="100" s="1"/>
  <c r="X39" i="100" s="1"/>
  <c r="V39" i="100"/>
  <c r="AC39" i="100"/>
  <c r="AJ39" i="100"/>
  <c r="C40" i="100"/>
  <c r="J40" i="100"/>
  <c r="L40" i="100" s="1"/>
  <c r="V40" i="100"/>
  <c r="AC40" i="100"/>
  <c r="AJ40" i="100"/>
  <c r="B41" i="100"/>
  <c r="D41" i="100"/>
  <c r="E41" i="100"/>
  <c r="G41" i="100"/>
  <c r="H41" i="100"/>
  <c r="I41" i="100"/>
  <c r="N41" i="100"/>
  <c r="O41" i="100"/>
  <c r="P41" i="100"/>
  <c r="Q41" i="100"/>
  <c r="S41" i="100"/>
  <c r="T41" i="100"/>
  <c r="U41" i="100"/>
  <c r="Z41" i="100"/>
  <c r="AA41" i="100"/>
  <c r="AB41" i="100"/>
  <c r="AG41" i="100"/>
  <c r="AH41" i="100"/>
  <c r="AI41" i="100"/>
  <c r="D43" i="100"/>
  <c r="N43" i="100"/>
  <c r="O43" i="100"/>
  <c r="Q43" i="100"/>
  <c r="M27" i="105" l="1"/>
  <c r="L27" i="105"/>
  <c r="AA70" i="105"/>
  <c r="AE69" i="105"/>
  <c r="J28" i="105" s="1"/>
  <c r="K28" i="105" s="1"/>
  <c r="U27" i="105"/>
  <c r="N25" i="105"/>
  <c r="T28" i="105"/>
  <c r="S28" i="105"/>
  <c r="O24" i="105"/>
  <c r="N26" i="105"/>
  <c r="AK71" i="105"/>
  <c r="Q29" i="105"/>
  <c r="R29" i="105" s="1"/>
  <c r="AL38" i="100"/>
  <c r="AO15" i="100"/>
  <c r="AE39" i="100"/>
  <c r="AL39" i="100" s="1"/>
  <c r="Z18" i="100"/>
  <c r="X40" i="100"/>
  <c r="AE40" i="100" s="1"/>
  <c r="AL40" i="100" s="1"/>
  <c r="X32" i="100"/>
  <c r="AE32" i="100" s="1"/>
  <c r="AL32" i="100" s="1"/>
  <c r="X25" i="100"/>
  <c r="AE25" i="100" s="1"/>
  <c r="AL25" i="100" s="1"/>
  <c r="S18" i="100"/>
  <c r="X12" i="100"/>
  <c r="AE12" i="100" s="1"/>
  <c r="AL12" i="100" s="1"/>
  <c r="C41" i="100"/>
  <c r="I19" i="100"/>
  <c r="J18" i="100"/>
  <c r="AC24" i="100"/>
  <c r="AB27" i="100"/>
  <c r="V15" i="100"/>
  <c r="Z34" i="100"/>
  <c r="Z43" i="100" s="1"/>
  <c r="V30" i="100"/>
  <c r="V34" i="100" s="1"/>
  <c r="U34" i="100"/>
  <c r="U43" i="100" s="1"/>
  <c r="AJ23" i="100"/>
  <c r="AH27" i="100"/>
  <c r="X13" i="100"/>
  <c r="AE13" i="100" s="1"/>
  <c r="AL13" i="100" s="1"/>
  <c r="AC15" i="100"/>
  <c r="AC41" i="100"/>
  <c r="AI34" i="100"/>
  <c r="H34" i="100"/>
  <c r="L26" i="100"/>
  <c r="X26" i="100" s="1"/>
  <c r="AE26" i="100" s="1"/>
  <c r="AL26" i="100" s="1"/>
  <c r="AJ24" i="100"/>
  <c r="AI27" i="100"/>
  <c r="AI43" i="100" s="1"/>
  <c r="O19" i="100"/>
  <c r="Q15" i="100"/>
  <c r="L37" i="100"/>
  <c r="J41" i="100"/>
  <c r="L30" i="100"/>
  <c r="E34" i="100"/>
  <c r="C30" i="100"/>
  <c r="C34" i="100" s="1"/>
  <c r="J24" i="100"/>
  <c r="L24" i="100" s="1"/>
  <c r="X24" i="100" s="1"/>
  <c r="AE24" i="100" s="1"/>
  <c r="AL24" i="100" s="1"/>
  <c r="I27" i="100"/>
  <c r="AG18" i="100"/>
  <c r="AG17" i="100"/>
  <c r="V41" i="100"/>
  <c r="AC31" i="100"/>
  <c r="AB34" i="100"/>
  <c r="B34" i="100"/>
  <c r="AG34" i="100"/>
  <c r="AG43" i="100" s="1"/>
  <c r="AJ30" i="100"/>
  <c r="V23" i="100"/>
  <c r="V27" i="100" s="1"/>
  <c r="T27" i="100"/>
  <c r="T43" i="100" s="1"/>
  <c r="S19" i="100"/>
  <c r="H17" i="100"/>
  <c r="H19" i="100" s="1"/>
  <c r="AA18" i="100"/>
  <c r="AA17" i="100"/>
  <c r="L11" i="100"/>
  <c r="J15" i="100"/>
  <c r="I34" i="100"/>
  <c r="L33" i="100"/>
  <c r="X33" i="100" s="1"/>
  <c r="AE33" i="100" s="1"/>
  <c r="AL33" i="100" s="1"/>
  <c r="AJ31" i="100"/>
  <c r="AH34" i="100"/>
  <c r="S34" i="100"/>
  <c r="S43" i="100" s="1"/>
  <c r="G34" i="100"/>
  <c r="G43" i="100" s="1"/>
  <c r="J31" i="100"/>
  <c r="L31" i="100" s="1"/>
  <c r="X31" i="100" s="1"/>
  <c r="AE31" i="100" s="1"/>
  <c r="AL31" i="100" s="1"/>
  <c r="AA34" i="100"/>
  <c r="AA43" i="100" s="1"/>
  <c r="AC30" i="100"/>
  <c r="E27" i="100"/>
  <c r="C24" i="100"/>
  <c r="C27" i="100" s="1"/>
  <c r="C43" i="100" s="1"/>
  <c r="B27" i="100"/>
  <c r="AC27" i="100"/>
  <c r="J23" i="100"/>
  <c r="H27" i="100"/>
  <c r="Z19" i="100"/>
  <c r="U18" i="100"/>
  <c r="V18" i="100" s="1"/>
  <c r="U17" i="100"/>
  <c r="X14" i="100"/>
  <c r="AE14" i="100" s="1"/>
  <c r="AL14" i="100" s="1"/>
  <c r="AH18" i="100"/>
  <c r="AH17" i="100"/>
  <c r="T19" i="100"/>
  <c r="AN13" i="100"/>
  <c r="G17" i="100"/>
  <c r="C14" i="100"/>
  <c r="C12" i="100"/>
  <c r="AN11" i="100"/>
  <c r="AN15" i="100" s="1"/>
  <c r="AO16" i="100" s="1"/>
  <c r="P17" i="100"/>
  <c r="P19" i="100" s="1"/>
  <c r="E17" i="100"/>
  <c r="AI15" i="100"/>
  <c r="N15" i="100"/>
  <c r="AJ11" i="100"/>
  <c r="AJ15" i="100" s="1"/>
  <c r="AB15" i="100"/>
  <c r="B15" i="100"/>
  <c r="AA71" i="105" l="1"/>
  <c r="AE70" i="105"/>
  <c r="J29" i="105" s="1"/>
  <c r="K29" i="105" s="1"/>
  <c r="T29" i="105"/>
  <c r="S29" i="105"/>
  <c r="U28" i="105"/>
  <c r="AK72" i="105"/>
  <c r="Q30" i="105"/>
  <c r="R30" i="105" s="1"/>
  <c r="N27" i="105"/>
  <c r="M28" i="105"/>
  <c r="L28" i="105"/>
  <c r="AJ27" i="100"/>
  <c r="AH19" i="100"/>
  <c r="U19" i="100"/>
  <c r="H43" i="100"/>
  <c r="I43" i="100"/>
  <c r="E43" i="100"/>
  <c r="C15" i="100"/>
  <c r="B43" i="100"/>
  <c r="L15" i="100"/>
  <c r="X11" i="100"/>
  <c r="Q18" i="100"/>
  <c r="Q17" i="100"/>
  <c r="G19" i="100"/>
  <c r="J17" i="100"/>
  <c r="J19" i="100" s="1"/>
  <c r="L23" i="100"/>
  <c r="J27" i="100"/>
  <c r="AA19" i="100"/>
  <c r="AC17" i="100"/>
  <c r="J34" i="100"/>
  <c r="AB18" i="100"/>
  <c r="AC18" i="100" s="1"/>
  <c r="AB17" i="100"/>
  <c r="AJ34" i="100"/>
  <c r="AJ43" i="100" s="1"/>
  <c r="X30" i="100"/>
  <c r="L34" i="100"/>
  <c r="N18" i="100"/>
  <c r="N17" i="100"/>
  <c r="AC34" i="100"/>
  <c r="AC43" i="100" s="1"/>
  <c r="AG19" i="100"/>
  <c r="AB43" i="100"/>
  <c r="E19" i="100"/>
  <c r="V17" i="100"/>
  <c r="V19" i="100" s="1"/>
  <c r="B18" i="100"/>
  <c r="C18" i="100" s="1"/>
  <c r="B17" i="100"/>
  <c r="B19" i="100" s="1"/>
  <c r="AI18" i="100"/>
  <c r="AJ18" i="100" s="1"/>
  <c r="AI17" i="100"/>
  <c r="AJ17" i="100" s="1"/>
  <c r="V43" i="100"/>
  <c r="X37" i="100"/>
  <c r="L41" i="100"/>
  <c r="AH43" i="100"/>
  <c r="U29" i="105" l="1"/>
  <c r="M29" i="105"/>
  <c r="L29" i="105"/>
  <c r="AK73" i="105"/>
  <c r="Q31" i="105"/>
  <c r="R31" i="105" s="1"/>
  <c r="N28" i="105"/>
  <c r="T30" i="105"/>
  <c r="S30" i="105"/>
  <c r="AE71" i="105"/>
  <c r="J30" i="105" s="1"/>
  <c r="K30" i="105" s="1"/>
  <c r="AA72" i="105"/>
  <c r="AC19" i="100"/>
  <c r="AB19" i="100"/>
  <c r="Q19" i="100"/>
  <c r="J43" i="100"/>
  <c r="AE37" i="100"/>
  <c r="X41" i="100"/>
  <c r="AJ19" i="100"/>
  <c r="X15" i="100"/>
  <c r="AE11" i="100"/>
  <c r="C17" i="100"/>
  <c r="C19" i="100" s="1"/>
  <c r="L18" i="100"/>
  <c r="L17" i="100"/>
  <c r="L19" i="100" s="1"/>
  <c r="AI19" i="100"/>
  <c r="N19" i="100"/>
  <c r="AE30" i="100"/>
  <c r="X34" i="100"/>
  <c r="L27" i="100"/>
  <c r="L43" i="100" s="1"/>
  <c r="X23" i="100"/>
  <c r="T31" i="105" l="1"/>
  <c r="S31" i="105"/>
  <c r="N29" i="105"/>
  <c r="AA73" i="105"/>
  <c r="AE72" i="105"/>
  <c r="J31" i="105" s="1"/>
  <c r="K31" i="105" s="1"/>
  <c r="U30" i="105"/>
  <c r="AK74" i="105"/>
  <c r="Q32" i="105"/>
  <c r="R32" i="105" s="1"/>
  <c r="M30" i="105"/>
  <c r="L30" i="105"/>
  <c r="X18" i="100"/>
  <c r="AE18" i="100" s="1"/>
  <c r="X17" i="100"/>
  <c r="AE34" i="100"/>
  <c r="AL30" i="100"/>
  <c r="AL34" i="100" s="1"/>
  <c r="X27" i="100"/>
  <c r="X43" i="100" s="1"/>
  <c r="AE23" i="100"/>
  <c r="AL11" i="100"/>
  <c r="AL15" i="100" s="1"/>
  <c r="AE15" i="100"/>
  <c r="AL37" i="100"/>
  <c r="AL41" i="100" s="1"/>
  <c r="AE41" i="100"/>
  <c r="T32" i="105" l="1"/>
  <c r="S32" i="105"/>
  <c r="N30" i="105"/>
  <c r="M31" i="105"/>
  <c r="L31" i="105"/>
  <c r="AK75" i="105"/>
  <c r="Q33" i="105"/>
  <c r="R33" i="105" s="1"/>
  <c r="AA74" i="105"/>
  <c r="AE73" i="105"/>
  <c r="J32" i="105" s="1"/>
  <c r="K32" i="105" s="1"/>
  <c r="U31" i="105"/>
  <c r="AL23" i="100"/>
  <c r="AL27" i="100" s="1"/>
  <c r="AL43" i="100" s="1"/>
  <c r="AE27" i="100"/>
  <c r="AE43" i="100" s="1"/>
  <c r="AE17" i="100"/>
  <c r="AE19" i="100" s="1"/>
  <c r="X19" i="100"/>
  <c r="AL18" i="100"/>
  <c r="AL17" i="100"/>
  <c r="M32" i="105" l="1"/>
  <c r="L32" i="105"/>
  <c r="T33" i="105"/>
  <c r="S33" i="105"/>
  <c r="N31" i="105"/>
  <c r="AA75" i="105"/>
  <c r="AE74" i="105"/>
  <c r="J33" i="105" s="1"/>
  <c r="K33" i="105" s="1"/>
  <c r="AK76" i="105"/>
  <c r="Q34" i="105"/>
  <c r="R34" i="105" s="1"/>
  <c r="U32" i="105"/>
  <c r="AL19" i="100"/>
  <c r="T34" i="105" l="1"/>
  <c r="S34" i="105"/>
  <c r="AK77" i="105"/>
  <c r="Q35" i="105"/>
  <c r="R35" i="105" s="1"/>
  <c r="N32" i="105"/>
  <c r="M33" i="105"/>
  <c r="L33" i="105"/>
  <c r="AA76" i="105"/>
  <c r="AE75" i="105"/>
  <c r="J34" i="105" s="1"/>
  <c r="K34" i="105" s="1"/>
  <c r="U33" i="105"/>
  <c r="U43" i="1"/>
  <c r="AB57" i="99"/>
  <c r="AB48" i="99"/>
  <c r="AB47" i="99"/>
  <c r="AB46" i="99"/>
  <c r="AB45" i="99"/>
  <c r="AB44" i="99"/>
  <c r="AB43" i="99"/>
  <c r="AB40" i="99"/>
  <c r="AB38" i="99" s="1"/>
  <c r="AB39" i="99"/>
  <c r="AA38" i="99"/>
  <c r="Z38" i="99"/>
  <c r="Y38" i="99"/>
  <c r="X38" i="99"/>
  <c r="W38" i="99"/>
  <c r="AB37" i="99"/>
  <c r="AB36" i="99"/>
  <c r="AB35" i="99"/>
  <c r="AA35" i="99"/>
  <c r="Z35" i="99"/>
  <c r="Y35" i="99"/>
  <c r="X35" i="99"/>
  <c r="W35" i="99"/>
  <c r="AB34" i="99"/>
  <c r="AB33" i="99"/>
  <c r="AB32" i="99"/>
  <c r="AA32" i="99"/>
  <c r="Z32" i="99"/>
  <c r="Y32" i="99"/>
  <c r="X32" i="99"/>
  <c r="W32" i="99"/>
  <c r="AB31" i="99"/>
  <c r="AB30" i="99"/>
  <c r="AB29" i="99" s="1"/>
  <c r="AA29" i="99"/>
  <c r="Z29" i="99"/>
  <c r="Y29" i="99"/>
  <c r="X29" i="99"/>
  <c r="W29" i="99"/>
  <c r="V29" i="99"/>
  <c r="V32" i="99" s="1"/>
  <c r="V35" i="99" s="1"/>
  <c r="V38" i="99" s="1"/>
  <c r="AB28" i="99"/>
  <c r="AB26" i="99" s="1"/>
  <c r="AB27" i="99"/>
  <c r="AA26" i="99"/>
  <c r="Z26" i="99"/>
  <c r="Y26" i="99"/>
  <c r="X26" i="99"/>
  <c r="W26" i="99"/>
  <c r="V26" i="99"/>
  <c r="AB25" i="99"/>
  <c r="AB24" i="99"/>
  <c r="R24" i="99"/>
  <c r="AB53" i="99" s="1"/>
  <c r="Q24" i="99"/>
  <c r="P24" i="99"/>
  <c r="AB23" i="99"/>
  <c r="AA23" i="99"/>
  <c r="Z23" i="99"/>
  <c r="Y23" i="99"/>
  <c r="X23" i="99"/>
  <c r="W23" i="99"/>
  <c r="AB22" i="99"/>
  <c r="AB20" i="99" s="1"/>
  <c r="G22" i="99"/>
  <c r="F22" i="99"/>
  <c r="E22" i="99"/>
  <c r="D22" i="99"/>
  <c r="C22" i="99"/>
  <c r="B22" i="99"/>
  <c r="AB21" i="99"/>
  <c r="E21" i="99"/>
  <c r="D21" i="99"/>
  <c r="AA20" i="99"/>
  <c r="Z20" i="99"/>
  <c r="Y20" i="99"/>
  <c r="X20" i="99"/>
  <c r="W20" i="99"/>
  <c r="AB19" i="99"/>
  <c r="J19" i="99"/>
  <c r="G19" i="99"/>
  <c r="F19" i="99"/>
  <c r="E19" i="99"/>
  <c r="D19" i="99"/>
  <c r="C19" i="99"/>
  <c r="B19" i="99"/>
  <c r="AB18" i="99"/>
  <c r="AB17" i="99" s="1"/>
  <c r="J18" i="99"/>
  <c r="I18" i="99"/>
  <c r="AA17" i="99"/>
  <c r="Z17" i="99"/>
  <c r="Y17" i="99"/>
  <c r="X17" i="99"/>
  <c r="W17" i="99"/>
  <c r="J17" i="99"/>
  <c r="I17" i="99"/>
  <c r="I19" i="99" s="1"/>
  <c r="AB16" i="99"/>
  <c r="AB15" i="99"/>
  <c r="AB14" i="99"/>
  <c r="AA14" i="99"/>
  <c r="Z14" i="99"/>
  <c r="Y14" i="99"/>
  <c r="X14" i="99"/>
  <c r="W14" i="99"/>
  <c r="J14" i="99"/>
  <c r="G14" i="99"/>
  <c r="G21" i="99" s="1"/>
  <c r="F14" i="99"/>
  <c r="F21" i="99" s="1"/>
  <c r="E14" i="99"/>
  <c r="D14" i="99"/>
  <c r="C14" i="99"/>
  <c r="C21" i="99" s="1"/>
  <c r="B14" i="99"/>
  <c r="B21" i="99" s="1"/>
  <c r="AB13" i="99"/>
  <c r="AB12" i="99"/>
  <c r="G12" i="99"/>
  <c r="H11" i="99" s="1"/>
  <c r="F12" i="99"/>
  <c r="F23" i="99" s="1"/>
  <c r="E12" i="99"/>
  <c r="E23" i="99" s="1"/>
  <c r="D12" i="99"/>
  <c r="D23" i="99" s="1"/>
  <c r="C12" i="99"/>
  <c r="C23" i="99" s="1"/>
  <c r="B12" i="99"/>
  <c r="B23" i="99" s="1"/>
  <c r="AB11" i="99"/>
  <c r="AB55" i="99" s="1"/>
  <c r="AA11" i="99"/>
  <c r="Z11" i="99"/>
  <c r="Y11" i="99"/>
  <c r="Y50" i="99" s="1"/>
  <c r="X11" i="99"/>
  <c r="X50" i="99" s="1"/>
  <c r="W11" i="99"/>
  <c r="V11" i="99"/>
  <c r="V14" i="99" s="1"/>
  <c r="V17" i="99" s="1"/>
  <c r="V20" i="99" s="1"/>
  <c r="I11" i="99"/>
  <c r="AB10" i="99"/>
  <c r="I10" i="99"/>
  <c r="H10" i="99"/>
  <c r="AB9" i="99"/>
  <c r="I9" i="99"/>
  <c r="H9" i="99"/>
  <c r="AB8" i="99"/>
  <c r="AA8" i="99"/>
  <c r="Z8" i="99"/>
  <c r="Y8" i="99"/>
  <c r="X8" i="99"/>
  <c r="W8" i="99"/>
  <c r="V8" i="99"/>
  <c r="I8" i="99"/>
  <c r="I12" i="99" s="1"/>
  <c r="H8" i="99"/>
  <c r="AB7" i="99"/>
  <c r="AB6" i="99"/>
  <c r="AB5" i="99"/>
  <c r="AA5" i="99"/>
  <c r="AA50" i="99" s="1"/>
  <c r="Z5" i="99"/>
  <c r="Z50" i="99" s="1"/>
  <c r="Y5" i="99"/>
  <c r="X5" i="99"/>
  <c r="W5" i="99"/>
  <c r="W50" i="99" s="1"/>
  <c r="T43" i="1"/>
  <c r="T39" i="1"/>
  <c r="T33" i="1"/>
  <c r="Q3" i="98"/>
  <c r="R3" i="98"/>
  <c r="S3" i="98"/>
  <c r="Q4" i="98"/>
  <c r="R4" i="98"/>
  <c r="Q5" i="98"/>
  <c r="R5" i="98"/>
  <c r="Q6" i="98"/>
  <c r="R6" i="98"/>
  <c r="Q7" i="98"/>
  <c r="R7" i="98"/>
  <c r="Q8" i="98"/>
  <c r="R8" i="98"/>
  <c r="Q9" i="98"/>
  <c r="R9" i="98"/>
  <c r="Q10" i="98"/>
  <c r="R10" i="98"/>
  <c r="Q11" i="98"/>
  <c r="R11" i="98"/>
  <c r="Q12" i="98"/>
  <c r="R12" i="98"/>
  <c r="Q13" i="98"/>
  <c r="S13" i="98" s="1"/>
  <c r="R13" i="98"/>
  <c r="Q14" i="98"/>
  <c r="R14" i="98"/>
  <c r="Q15" i="98"/>
  <c r="R15" i="98"/>
  <c r="Q16" i="98"/>
  <c r="R16" i="98"/>
  <c r="S16" i="98"/>
  <c r="Q17" i="98"/>
  <c r="R17" i="98"/>
  <c r="Q18" i="98"/>
  <c r="S18" i="98" s="1"/>
  <c r="R18" i="98"/>
  <c r="Q19" i="98"/>
  <c r="R19" i="98"/>
  <c r="Q20" i="98"/>
  <c r="R20" i="98"/>
  <c r="Q21" i="98"/>
  <c r="R21" i="98"/>
  <c r="Q22" i="98"/>
  <c r="R22" i="98"/>
  <c r="Q23" i="98"/>
  <c r="R23" i="98"/>
  <c r="Q24" i="98"/>
  <c r="R24" i="98"/>
  <c r="Q25" i="98"/>
  <c r="R25" i="98"/>
  <c r="Q26" i="98"/>
  <c r="R26" i="98"/>
  <c r="Q27" i="98"/>
  <c r="R27" i="98"/>
  <c r="Q28" i="98"/>
  <c r="S28" i="98" s="1"/>
  <c r="R28" i="98"/>
  <c r="Q29" i="98"/>
  <c r="R29" i="98"/>
  <c r="Q30" i="98"/>
  <c r="R30" i="98"/>
  <c r="Q31" i="98"/>
  <c r="R31" i="98"/>
  <c r="Q32" i="98"/>
  <c r="R32" i="98"/>
  <c r="Q33" i="98"/>
  <c r="R33" i="98"/>
  <c r="J34" i="98"/>
  <c r="K34" i="98"/>
  <c r="L34" i="98"/>
  <c r="E15" i="98" s="1"/>
  <c r="M34" i="98"/>
  <c r="E17" i="98" s="1"/>
  <c r="N34" i="98"/>
  <c r="O34" i="98"/>
  <c r="P34" i="98"/>
  <c r="E23" i="98" s="1"/>
  <c r="Q34" i="98"/>
  <c r="E11" i="98"/>
  <c r="E13" i="98"/>
  <c r="E25" i="98" s="1"/>
  <c r="E31" i="98" s="1"/>
  <c r="E19" i="98"/>
  <c r="E21" i="98"/>
  <c r="C25" i="98"/>
  <c r="C29" i="98"/>
  <c r="E29" i="98"/>
  <c r="AA77" i="105" l="1"/>
  <c r="AE76" i="105"/>
  <c r="J35" i="105" s="1"/>
  <c r="K35" i="105" s="1"/>
  <c r="AK78" i="105"/>
  <c r="Q36" i="105"/>
  <c r="R36" i="105" s="1"/>
  <c r="M34" i="105"/>
  <c r="L34" i="105"/>
  <c r="N33" i="105"/>
  <c r="T35" i="105"/>
  <c r="S35" i="105"/>
  <c r="U34" i="105"/>
  <c r="J8" i="99"/>
  <c r="AA51" i="99"/>
  <c r="J11" i="99"/>
  <c r="J10" i="99"/>
  <c r="K10" i="99" s="1"/>
  <c r="K12" i="99" s="1"/>
  <c r="Y51" i="99"/>
  <c r="J9" i="99"/>
  <c r="AB50" i="99"/>
  <c r="K17" i="99"/>
  <c r="K19" i="99" s="1"/>
  <c r="G23" i="99"/>
  <c r="S34" i="98"/>
  <c r="C31" i="98"/>
  <c r="T36" i="105" l="1"/>
  <c r="S36" i="105"/>
  <c r="U35" i="105"/>
  <c r="N34" i="105"/>
  <c r="M35" i="105"/>
  <c r="L35" i="105"/>
  <c r="AK79" i="105"/>
  <c r="Q37" i="105"/>
  <c r="R37" i="105" s="1"/>
  <c r="AA78" i="105"/>
  <c r="AE77" i="105"/>
  <c r="J36" i="105" s="1"/>
  <c r="K36" i="105" s="1"/>
  <c r="K21" i="99"/>
  <c r="AB59" i="99"/>
  <c r="AB62" i="99" s="1"/>
  <c r="AB51" i="99"/>
  <c r="Z51" i="99"/>
  <c r="W51" i="99"/>
  <c r="X51" i="99"/>
  <c r="J12" i="99"/>
  <c r="S45" i="1"/>
  <c r="S39" i="1"/>
  <c r="S23" i="1"/>
  <c r="S21" i="1"/>
  <c r="S16" i="1"/>
  <c r="S14" i="1"/>
  <c r="CD6" i="97"/>
  <c r="CJ6" i="97"/>
  <c r="CL6" i="97"/>
  <c r="BU7" i="97"/>
  <c r="CD7" i="97"/>
  <c r="CF7" i="97"/>
  <c r="CJ7" i="97"/>
  <c r="CL7" i="97"/>
  <c r="BV7" i="97" s="1"/>
  <c r="CD8" i="97"/>
  <c r="CF8" i="97"/>
  <c r="BU8" i="97" s="1"/>
  <c r="CJ8" i="97"/>
  <c r="CD9" i="97"/>
  <c r="CF9" i="97"/>
  <c r="BU9" i="97" s="1"/>
  <c r="BW9" i="97" s="1"/>
  <c r="CJ9" i="97"/>
  <c r="CL9" i="97"/>
  <c r="BV9" i="97" s="1"/>
  <c r="CD10" i="97"/>
  <c r="CF10" i="97" s="1"/>
  <c r="BU10" i="97" s="1"/>
  <c r="CJ10" i="97"/>
  <c r="CL10" i="97"/>
  <c r="BV10" i="97" s="1"/>
  <c r="CD11" i="97"/>
  <c r="CF11" i="97"/>
  <c r="BU11" i="97" s="1"/>
  <c r="BW11" i="97" s="1"/>
  <c r="CJ11" i="97"/>
  <c r="CL11" i="97"/>
  <c r="BV11" i="97" s="1"/>
  <c r="CD12" i="97"/>
  <c r="CF12" i="97"/>
  <c r="BU12" i="97" s="1"/>
  <c r="CJ12" i="97"/>
  <c r="CL12" i="97" s="1"/>
  <c r="BV12" i="97" s="1"/>
  <c r="CD13" i="97"/>
  <c r="CF13" i="97"/>
  <c r="BU13" i="97" s="1"/>
  <c r="BW13" i="97" s="1"/>
  <c r="CJ13" i="97"/>
  <c r="CL13" i="97"/>
  <c r="BV13" i="97" s="1"/>
  <c r="CD14" i="97"/>
  <c r="CF14" i="97" s="1"/>
  <c r="BU14" i="97" s="1"/>
  <c r="BW14" i="97" s="1"/>
  <c r="CJ14" i="97"/>
  <c r="CL14" i="97"/>
  <c r="BV14" i="97" s="1"/>
  <c r="CD15" i="97"/>
  <c r="CF15" i="97"/>
  <c r="BU15" i="97" s="1"/>
  <c r="BW15" i="97" s="1"/>
  <c r="CJ15" i="97"/>
  <c r="CL15" i="97"/>
  <c r="BV15" i="97" s="1"/>
  <c r="CD16" i="97"/>
  <c r="CF16" i="97"/>
  <c r="BU16" i="97" s="1"/>
  <c r="CJ16" i="97"/>
  <c r="CL16" i="97" s="1"/>
  <c r="BV16" i="97" s="1"/>
  <c r="CD17" i="97"/>
  <c r="CF17" i="97"/>
  <c r="BU17" i="97" s="1"/>
  <c r="CJ17" i="97"/>
  <c r="CL17" i="97"/>
  <c r="BV17" i="97" s="1"/>
  <c r="BW17" i="97" s="1"/>
  <c r="CD18" i="97"/>
  <c r="CF18" i="97" s="1"/>
  <c r="BU18" i="97" s="1"/>
  <c r="BW18" i="97" s="1"/>
  <c r="CJ18" i="97"/>
  <c r="CL18" i="97"/>
  <c r="BV18" i="97" s="1"/>
  <c r="BU19" i="97"/>
  <c r="CD19" i="97"/>
  <c r="CF19" i="97"/>
  <c r="CJ19" i="97"/>
  <c r="CL19" i="97"/>
  <c r="BV19" i="97" s="1"/>
  <c r="BV20" i="97"/>
  <c r="CD20" i="97"/>
  <c r="CF20" i="97"/>
  <c r="BU20" i="97" s="1"/>
  <c r="CJ20" i="97"/>
  <c r="CL20" i="97" s="1"/>
  <c r="CD21" i="97"/>
  <c r="CF21" i="97"/>
  <c r="BU21" i="97" s="1"/>
  <c r="CJ21" i="97"/>
  <c r="CL21" i="97"/>
  <c r="BV21" i="97" s="1"/>
  <c r="BW21" i="97" s="1"/>
  <c r="CD22" i="97"/>
  <c r="CF22" i="97" s="1"/>
  <c r="BU22" i="97" s="1"/>
  <c r="CJ22" i="97"/>
  <c r="CL22" i="97"/>
  <c r="BV22" i="97" s="1"/>
  <c r="BU23" i="97"/>
  <c r="CD23" i="97"/>
  <c r="CF23" i="97"/>
  <c r="CJ23" i="97"/>
  <c r="CL23" i="97"/>
  <c r="BV23" i="97" s="1"/>
  <c r="BY24" i="97"/>
  <c r="BZ24" i="97"/>
  <c r="CB24" i="97"/>
  <c r="CC24" i="97"/>
  <c r="CE24" i="97"/>
  <c r="CH24" i="97"/>
  <c r="CI24" i="97"/>
  <c r="CK24" i="97"/>
  <c r="BU28" i="97"/>
  <c r="BV28" i="97"/>
  <c r="BW28" i="97"/>
  <c r="CJ28" i="97"/>
  <c r="CL28" i="97"/>
  <c r="BU29" i="97"/>
  <c r="BW29" i="97" s="1"/>
  <c r="W9" i="97" s="1"/>
  <c r="K41" i="97" s="1"/>
  <c r="BV29" i="97"/>
  <c r="CJ29" i="97"/>
  <c r="CL29" i="97"/>
  <c r="BU30" i="97"/>
  <c r="CJ30" i="97"/>
  <c r="CL30" i="97"/>
  <c r="BV30" i="97" s="1"/>
  <c r="BU31" i="97"/>
  <c r="CJ31" i="97"/>
  <c r="CL31" i="97" s="1"/>
  <c r="BV31" i="97" s="1"/>
  <c r="BW31" i="97" s="1"/>
  <c r="W11" i="97" s="1"/>
  <c r="H17" i="97" s="1"/>
  <c r="BU32" i="97"/>
  <c r="BV32" i="97"/>
  <c r="BW32" i="97"/>
  <c r="CJ32" i="97"/>
  <c r="CL32" i="97"/>
  <c r="BU33" i="97"/>
  <c r="BW33" i="97" s="1"/>
  <c r="BV33" i="97"/>
  <c r="CJ33" i="97"/>
  <c r="CL33" i="97"/>
  <c r="BU34" i="97"/>
  <c r="CJ34" i="97"/>
  <c r="CL34" i="97"/>
  <c r="BV34" i="97" s="1"/>
  <c r="BU35" i="97"/>
  <c r="CJ35" i="97"/>
  <c r="CL35" i="97" s="1"/>
  <c r="BV35" i="97" s="1"/>
  <c r="BW35" i="97" s="1"/>
  <c r="W15" i="97" s="1"/>
  <c r="BU36" i="97"/>
  <c r="BV36" i="97"/>
  <c r="BW36" i="97"/>
  <c r="CJ36" i="97"/>
  <c r="CL36" i="97"/>
  <c r="BV39" i="97"/>
  <c r="CD39" i="97"/>
  <c r="CF39" i="97"/>
  <c r="BU39" i="97" s="1"/>
  <c r="BV40" i="97"/>
  <c r="CD40" i="97"/>
  <c r="CF40" i="97"/>
  <c r="BU40" i="97" s="1"/>
  <c r="BU41" i="97"/>
  <c r="BW41" i="97" s="1"/>
  <c r="BV41" i="97"/>
  <c r="CD41" i="97"/>
  <c r="CF41" i="97"/>
  <c r="BV42" i="97"/>
  <c r="CD42" i="97"/>
  <c r="CF42" i="97" s="1"/>
  <c r="BU42" i="97" s="1"/>
  <c r="BW42" i="97" s="1"/>
  <c r="BV43" i="97"/>
  <c r="CD43" i="97"/>
  <c r="CF43" i="97"/>
  <c r="BU43" i="97" s="1"/>
  <c r="BW43" i="97" s="1"/>
  <c r="BV44" i="97"/>
  <c r="CD44" i="97"/>
  <c r="CF44" i="97"/>
  <c r="BU44" i="97" s="1"/>
  <c r="BW44" i="97" s="1"/>
  <c r="BV45" i="97"/>
  <c r="CD45" i="97"/>
  <c r="CF45" i="97"/>
  <c r="BU45" i="97" s="1"/>
  <c r="BW45" i="97" s="1"/>
  <c r="BV46" i="97"/>
  <c r="CD46" i="97"/>
  <c r="CF46" i="97" s="1"/>
  <c r="BU46" i="97" s="1"/>
  <c r="BW46" i="97" s="1"/>
  <c r="BV47" i="97"/>
  <c r="BW47" i="97"/>
  <c r="CD47" i="97"/>
  <c r="CF47" i="97"/>
  <c r="BU47" i="97" s="1"/>
  <c r="BV48" i="97"/>
  <c r="CD48" i="97"/>
  <c r="CF48" i="97"/>
  <c r="BU48" i="97" s="1"/>
  <c r="BW48" i="97" s="1"/>
  <c r="BU49" i="97"/>
  <c r="BW49" i="97" s="1"/>
  <c r="BV49" i="97"/>
  <c r="CD49" i="97"/>
  <c r="CF49" i="97"/>
  <c r="BV50" i="97"/>
  <c r="CD50" i="97"/>
  <c r="CF50" i="97" s="1"/>
  <c r="BU50" i="97" s="1"/>
  <c r="BW50" i="97" s="1"/>
  <c r="BV51" i="97"/>
  <c r="BW51" i="97"/>
  <c r="CD51" i="97"/>
  <c r="CF51" i="97"/>
  <c r="BU51" i="97" s="1"/>
  <c r="BV52" i="97"/>
  <c r="CD52" i="97"/>
  <c r="CF52" i="97"/>
  <c r="BU52" i="97" s="1"/>
  <c r="BV53" i="97"/>
  <c r="CD53" i="97"/>
  <c r="CF53" i="97"/>
  <c r="BU53" i="97" s="1"/>
  <c r="BW53" i="97" s="1"/>
  <c r="BG4" i="97"/>
  <c r="BI4" i="97" s="1"/>
  <c r="BK4" i="97"/>
  <c r="BM4" i="97"/>
  <c r="BN4" i="97"/>
  <c r="BG5" i="97"/>
  <c r="BI5" i="97" s="1"/>
  <c r="BK5" i="97"/>
  <c r="BM5" i="97"/>
  <c r="BN5" i="97"/>
  <c r="BG6" i="97"/>
  <c r="BI6" i="97" s="1"/>
  <c r="BK6" i="97"/>
  <c r="BM6" i="97"/>
  <c r="BN6" i="97"/>
  <c r="BG7" i="97"/>
  <c r="BI7" i="97"/>
  <c r="BK7" i="97"/>
  <c r="BM7" i="97"/>
  <c r="BN7" i="97"/>
  <c r="BG8" i="97"/>
  <c r="BI8" i="97" s="1"/>
  <c r="BO8" i="97" s="1"/>
  <c r="BK8" i="97"/>
  <c r="BM8" i="97"/>
  <c r="BN8" i="97"/>
  <c r="BG9" i="97"/>
  <c r="BI9" i="97" s="1"/>
  <c r="BO9" i="97" s="1"/>
  <c r="BK9" i="97"/>
  <c r="BM9" i="97"/>
  <c r="BN9" i="97"/>
  <c r="BN17" i="97" s="1"/>
  <c r="BG10" i="97"/>
  <c r="BI10" i="97" s="1"/>
  <c r="BK10" i="97"/>
  <c r="BM10" i="97"/>
  <c r="BN10" i="97"/>
  <c r="BG11" i="97"/>
  <c r="BI11" i="97" s="1"/>
  <c r="BK11" i="97"/>
  <c r="BM11" i="97"/>
  <c r="BN11" i="97"/>
  <c r="BG12" i="97"/>
  <c r="BI12" i="97" s="1"/>
  <c r="BK12" i="97"/>
  <c r="BM12" i="97"/>
  <c r="BN12" i="97"/>
  <c r="BG13" i="97"/>
  <c r="BI13" i="97"/>
  <c r="BK13" i="97"/>
  <c r="BM13" i="97"/>
  <c r="BN13" i="97"/>
  <c r="BG14" i="97"/>
  <c r="BI14" i="97" s="1"/>
  <c r="BK14" i="97"/>
  <c r="BM14" i="97"/>
  <c r="BN14" i="97"/>
  <c r="BG15" i="97"/>
  <c r="BI15" i="97"/>
  <c r="BK15" i="97"/>
  <c r="BO15" i="97" s="1"/>
  <c r="BM15" i="97"/>
  <c r="BN15" i="97"/>
  <c r="BB17" i="97"/>
  <c r="BC17" i="97"/>
  <c r="BD17" i="97"/>
  <c r="BE17" i="97"/>
  <c r="BF17" i="97"/>
  <c r="BL17" i="97"/>
  <c r="BL18" i="97"/>
  <c r="BL19" i="97" s="1"/>
  <c r="BG26" i="97"/>
  <c r="BI26" i="97" s="1"/>
  <c r="BK26" i="97"/>
  <c r="BG27" i="97"/>
  <c r="BI27" i="97"/>
  <c r="BK27" i="97"/>
  <c r="BG28" i="97"/>
  <c r="BI28" i="97"/>
  <c r="BK28" i="97"/>
  <c r="BG29" i="97"/>
  <c r="BI29" i="97" s="1"/>
  <c r="BK29" i="97"/>
  <c r="BG30" i="97"/>
  <c r="BI30" i="97" s="1"/>
  <c r="BK30" i="97"/>
  <c r="BG31" i="97"/>
  <c r="BI31" i="97" s="1"/>
  <c r="BK31" i="97"/>
  <c r="BG32" i="97"/>
  <c r="BI32" i="97"/>
  <c r="BK32" i="97"/>
  <c r="BG33" i="97"/>
  <c r="BI33" i="97" s="1"/>
  <c r="BK33" i="97"/>
  <c r="BG34" i="97"/>
  <c r="BI34" i="97" s="1"/>
  <c r="BK34" i="97"/>
  <c r="BG35" i="97"/>
  <c r="BI35" i="97"/>
  <c r="BK35" i="97"/>
  <c r="BG36" i="97"/>
  <c r="BI36" i="97"/>
  <c r="BK36" i="97"/>
  <c r="BG37" i="97"/>
  <c r="BI37" i="97" s="1"/>
  <c r="BK37" i="97"/>
  <c r="BB39" i="97"/>
  <c r="BC39" i="97"/>
  <c r="BD39" i="97"/>
  <c r="BE39" i="97"/>
  <c r="BF39" i="97"/>
  <c r="AL4" i="97"/>
  <c r="AN4" i="97" s="1"/>
  <c r="AP4" i="97"/>
  <c r="AR4" i="97"/>
  <c r="AS4" i="97"/>
  <c r="AL5" i="97"/>
  <c r="AN5" i="97" s="1"/>
  <c r="AP5" i="97"/>
  <c r="AR5" i="97"/>
  <c r="AS5" i="97"/>
  <c r="AL6" i="97"/>
  <c r="AN6" i="97" s="1"/>
  <c r="AP6" i="97"/>
  <c r="AP17" i="97" s="1"/>
  <c r="AP18" i="97" s="1"/>
  <c r="AR6" i="97"/>
  <c r="AS6" i="97"/>
  <c r="AL7" i="97"/>
  <c r="AN7" i="97"/>
  <c r="AP7" i="97"/>
  <c r="AR7" i="97"/>
  <c r="AS7" i="97"/>
  <c r="AL8" i="97"/>
  <c r="AN8" i="97" s="1"/>
  <c r="AP8" i="97"/>
  <c r="AR8" i="97"/>
  <c r="AS8" i="97"/>
  <c r="AL9" i="97"/>
  <c r="AN9" i="97" s="1"/>
  <c r="AT9" i="97" s="1"/>
  <c r="AP9" i="97"/>
  <c r="AR9" i="97"/>
  <c r="AS9" i="97"/>
  <c r="AL10" i="97"/>
  <c r="AN10" i="97" s="1"/>
  <c r="AP10" i="97"/>
  <c r="AR10" i="97"/>
  <c r="AS10" i="97"/>
  <c r="AL11" i="97"/>
  <c r="AN11" i="97" s="1"/>
  <c r="AP11" i="97"/>
  <c r="AR11" i="97"/>
  <c r="AS11" i="97"/>
  <c r="AL12" i="97"/>
  <c r="AN12" i="97" s="1"/>
  <c r="AP12" i="97"/>
  <c r="AR12" i="97"/>
  <c r="AS12" i="97"/>
  <c r="AL13" i="97"/>
  <c r="AN13" i="97"/>
  <c r="AP13" i="97"/>
  <c r="AR13" i="97"/>
  <c r="AS13" i="97"/>
  <c r="AL14" i="97"/>
  <c r="AN14" i="97" s="1"/>
  <c r="AP14" i="97"/>
  <c r="AR14" i="97"/>
  <c r="AS14" i="97"/>
  <c r="AL15" i="97"/>
  <c r="AN15" i="97"/>
  <c r="AP15" i="97"/>
  <c r="AR15" i="97"/>
  <c r="AS15" i="97"/>
  <c r="AG17" i="97"/>
  <c r="AH17" i="97"/>
  <c r="AI17" i="97"/>
  <c r="AJ17" i="97"/>
  <c r="AK17" i="97"/>
  <c r="AQ17" i="97"/>
  <c r="AQ18" i="97" s="1"/>
  <c r="AQ19" i="97" s="1"/>
  <c r="AL26" i="97"/>
  <c r="AN26" i="97" s="1"/>
  <c r="AP26" i="97"/>
  <c r="AL27" i="97"/>
  <c r="AN27" i="97" s="1"/>
  <c r="AP27" i="97"/>
  <c r="AL28" i="97"/>
  <c r="AN28" i="97" s="1"/>
  <c r="AP28" i="97"/>
  <c r="AL29" i="97"/>
  <c r="AN29" i="97" s="1"/>
  <c r="AP29" i="97"/>
  <c r="AL30" i="97"/>
  <c r="AN30" i="97" s="1"/>
  <c r="AP30" i="97"/>
  <c r="AL31" i="97"/>
  <c r="AN31" i="97" s="1"/>
  <c r="AP31" i="97"/>
  <c r="AL32" i="97"/>
  <c r="AN32" i="97" s="1"/>
  <c r="AP32" i="97"/>
  <c r="AL33" i="97"/>
  <c r="AN33" i="97" s="1"/>
  <c r="AP33" i="97"/>
  <c r="AL34" i="97"/>
  <c r="AN34" i="97" s="1"/>
  <c r="AP34" i="97"/>
  <c r="AL35" i="97"/>
  <c r="AN35" i="97"/>
  <c r="AP35" i="97"/>
  <c r="AL36" i="97"/>
  <c r="AN36" i="97"/>
  <c r="AP36" i="97"/>
  <c r="AL37" i="97"/>
  <c r="AN37" i="97" s="1"/>
  <c r="AP37" i="97"/>
  <c r="AG39" i="97"/>
  <c r="AH39" i="97"/>
  <c r="AI39" i="97"/>
  <c r="AJ39" i="97"/>
  <c r="AK39" i="97"/>
  <c r="W8" i="97"/>
  <c r="N41" i="97" s="1"/>
  <c r="W12" i="97"/>
  <c r="W13" i="97"/>
  <c r="M35" i="97" s="1"/>
  <c r="M10" i="97" s="1"/>
  <c r="W16" i="97"/>
  <c r="W22" i="97"/>
  <c r="E12" i="97" s="1"/>
  <c r="F12" i="97" s="1"/>
  <c r="W41" i="97"/>
  <c r="W45" i="97"/>
  <c r="W46" i="97"/>
  <c r="W47" i="97"/>
  <c r="W48" i="97"/>
  <c r="W49" i="97"/>
  <c r="W50" i="97"/>
  <c r="Y69" i="97"/>
  <c r="Y71" i="97" s="1"/>
  <c r="D10" i="97"/>
  <c r="N10" i="97"/>
  <c r="N13" i="97" s="1"/>
  <c r="G11" i="97"/>
  <c r="P11" i="97"/>
  <c r="P14" i="97"/>
  <c r="P15" i="97"/>
  <c r="P16" i="97"/>
  <c r="G18" i="97"/>
  <c r="P18" i="97"/>
  <c r="E19" i="97"/>
  <c r="F19" i="97" s="1"/>
  <c r="Q19" i="97" s="1"/>
  <c r="P19" i="97"/>
  <c r="I20" i="97"/>
  <c r="J20" i="97"/>
  <c r="K20" i="97"/>
  <c r="L20" i="97"/>
  <c r="M20" i="97"/>
  <c r="N20" i="97"/>
  <c r="O20" i="97"/>
  <c r="P21" i="97"/>
  <c r="P22" i="97"/>
  <c r="G23" i="97"/>
  <c r="P23" i="97"/>
  <c r="G24" i="97"/>
  <c r="G26" i="97" s="1"/>
  <c r="P24" i="97"/>
  <c r="G25" i="97"/>
  <c r="P25" i="97"/>
  <c r="E26" i="97"/>
  <c r="F26" i="97"/>
  <c r="H26" i="97"/>
  <c r="I26" i="97"/>
  <c r="J26" i="97"/>
  <c r="K26" i="97"/>
  <c r="L26" i="97"/>
  <c r="M26" i="97"/>
  <c r="N26" i="97"/>
  <c r="O26" i="97"/>
  <c r="Q26" i="97"/>
  <c r="P27" i="97"/>
  <c r="P28" i="97"/>
  <c r="G29" i="97"/>
  <c r="P29" i="97"/>
  <c r="G30" i="97"/>
  <c r="P30" i="97"/>
  <c r="F32" i="97"/>
  <c r="O32" i="97"/>
  <c r="P33" i="97"/>
  <c r="G35" i="97"/>
  <c r="G36" i="97"/>
  <c r="P36" i="97"/>
  <c r="P37" i="97"/>
  <c r="P38" i="97"/>
  <c r="G40" i="97"/>
  <c r="P40" i="97"/>
  <c r="G41" i="97"/>
  <c r="L41" i="97"/>
  <c r="G42" i="97"/>
  <c r="P42" i="97"/>
  <c r="F43" i="97"/>
  <c r="O43" i="97"/>
  <c r="P45" i="97"/>
  <c r="J54" i="97"/>
  <c r="J56" i="97" s="1"/>
  <c r="L54" i="97"/>
  <c r="L56" i="97" s="1"/>
  <c r="T37" i="105" l="1"/>
  <c r="S37" i="105"/>
  <c r="AK80" i="105"/>
  <c r="Q38" i="105"/>
  <c r="R38" i="105" s="1"/>
  <c r="M36" i="105"/>
  <c r="L36" i="105"/>
  <c r="U36" i="105"/>
  <c r="AA79" i="105"/>
  <c r="AE78" i="105"/>
  <c r="J37" i="105" s="1"/>
  <c r="K37" i="105" s="1"/>
  <c r="N35" i="105"/>
  <c r="K27" i="99"/>
  <c r="K24" i="99"/>
  <c r="BN18" i="97"/>
  <c r="BN19" i="97"/>
  <c r="BK39" i="97"/>
  <c r="BK17" i="97"/>
  <c r="BK18" i="97" s="1"/>
  <c r="BK19" i="97" s="1"/>
  <c r="CL8" i="97"/>
  <c r="BV8" i="97" s="1"/>
  <c r="CJ24" i="97"/>
  <c r="AT5" i="97"/>
  <c r="BO5" i="97"/>
  <c r="BW40" i="97"/>
  <c r="BW19" i="97"/>
  <c r="BW8" i="97"/>
  <c r="CL24" i="97"/>
  <c r="BU54" i="97"/>
  <c r="BV37" i="97"/>
  <c r="BW12" i="97"/>
  <c r="AT15" i="97"/>
  <c r="BW52" i="97"/>
  <c r="BW39" i="97"/>
  <c r="BW54" i="97" s="1"/>
  <c r="BW34" i="97"/>
  <c r="W14" i="97" s="1"/>
  <c r="O12" i="97" s="1"/>
  <c r="O13" i="97" s="1"/>
  <c r="BW20" i="97"/>
  <c r="BW10" i="97"/>
  <c r="BU37" i="97"/>
  <c r="BW30" i="97"/>
  <c r="W10" i="97" s="1"/>
  <c r="BW23" i="97"/>
  <c r="BW7" i="97"/>
  <c r="BO11" i="97"/>
  <c r="BO10" i="97"/>
  <c r="BV54" i="97"/>
  <c r="BW22" i="97"/>
  <c r="BW16" i="97"/>
  <c r="CF6" i="97"/>
  <c r="CD24" i="97"/>
  <c r="W44" i="97"/>
  <c r="BO14" i="97"/>
  <c r="BO13" i="97"/>
  <c r="BG17" i="97"/>
  <c r="BO6" i="97"/>
  <c r="BM17" i="97"/>
  <c r="BM18" i="97" s="1"/>
  <c r="BM19" i="97" s="1"/>
  <c r="BV6" i="97"/>
  <c r="BV24" i="97" s="1"/>
  <c r="BO7" i="97"/>
  <c r="AS17" i="97"/>
  <c r="AS19" i="97" s="1"/>
  <c r="N34" i="97"/>
  <c r="N31" i="97"/>
  <c r="AT11" i="97"/>
  <c r="AT10" i="97"/>
  <c r="BO12" i="97"/>
  <c r="AS18" i="97"/>
  <c r="BI39" i="97"/>
  <c r="BO4" i="97"/>
  <c r="BI17" i="97"/>
  <c r="L10" i="97"/>
  <c r="AP39" i="97"/>
  <c r="AT14" i="97"/>
  <c r="AT13" i="97"/>
  <c r="AT8" i="97"/>
  <c r="AT7" i="97"/>
  <c r="K10" i="97"/>
  <c r="K58" i="97" s="1"/>
  <c r="AT12" i="97"/>
  <c r="AT6" i="97"/>
  <c r="AR17" i="97"/>
  <c r="AR18" i="97" s="1"/>
  <c r="AR19" i="97" s="1"/>
  <c r="N39" i="97"/>
  <c r="N43" i="97" s="1"/>
  <c r="N44" i="97" s="1"/>
  <c r="N46" i="97" s="1"/>
  <c r="BG39" i="97"/>
  <c r="AN39" i="97"/>
  <c r="AT4" i="97"/>
  <c r="AN17" i="97"/>
  <c r="I12" i="97"/>
  <c r="I10" i="97" s="1"/>
  <c r="I13" i="97" s="1"/>
  <c r="AP19" i="97"/>
  <c r="AL17" i="97"/>
  <c r="AL39" i="97"/>
  <c r="W25" i="97"/>
  <c r="W29" i="97" s="1"/>
  <c r="W17" i="97"/>
  <c r="K54" i="97"/>
  <c r="K56" i="97" s="1"/>
  <c r="W51" i="97"/>
  <c r="H20" i="97"/>
  <c r="P17" i="97"/>
  <c r="H10" i="97"/>
  <c r="H39" i="97" s="1"/>
  <c r="H43" i="97" s="1"/>
  <c r="O44" i="97"/>
  <c r="O46" i="97" s="1"/>
  <c r="K31" i="97"/>
  <c r="K32" i="97" s="1"/>
  <c r="P26" i="97"/>
  <c r="P41" i="97"/>
  <c r="Q41" i="97" s="1"/>
  <c r="L13" i="97"/>
  <c r="L31" i="97"/>
  <c r="L32" i="97" s="1"/>
  <c r="L34" i="97"/>
  <c r="L58" i="97"/>
  <c r="L59" i="97" s="1"/>
  <c r="M39" i="97"/>
  <c r="M43" i="97" s="1"/>
  <c r="M13" i="97"/>
  <c r="M31" i="97"/>
  <c r="M32" i="97" s="1"/>
  <c r="M34" i="97"/>
  <c r="P20" i="97"/>
  <c r="F13" i="97"/>
  <c r="F17" i="97"/>
  <c r="L39" i="97"/>
  <c r="L43" i="97" s="1"/>
  <c r="P35" i="97"/>
  <c r="Q35" i="97" s="1"/>
  <c r="G19" i="97"/>
  <c r="G12" i="97"/>
  <c r="N36" i="105" l="1"/>
  <c r="M37" i="105"/>
  <c r="L37" i="105"/>
  <c r="AK81" i="105"/>
  <c r="Q39" i="105"/>
  <c r="R39" i="105" s="1"/>
  <c r="AA80" i="105"/>
  <c r="AE79" i="105"/>
  <c r="J38" i="105" s="1"/>
  <c r="K38" i="105" s="1"/>
  <c r="T38" i="105"/>
  <c r="S38" i="105"/>
  <c r="U37" i="105"/>
  <c r="P12" i="97"/>
  <c r="Q12" i="97" s="1"/>
  <c r="BU6" i="97"/>
  <c r="CF24" i="97"/>
  <c r="H34" i="97"/>
  <c r="BW37" i="97"/>
  <c r="J10" i="97"/>
  <c r="K13" i="97"/>
  <c r="K34" i="97"/>
  <c r="K59" i="97"/>
  <c r="K60" i="97" s="1"/>
  <c r="K61" i="97" s="1"/>
  <c r="K49" i="97" s="1"/>
  <c r="K39" i="97"/>
  <c r="K43" i="97" s="1"/>
  <c r="I39" i="97"/>
  <c r="K44" i="97"/>
  <c r="K46" i="97" s="1"/>
  <c r="K48" i="97" s="1"/>
  <c r="O48" i="97"/>
  <c r="O50" i="97" s="1"/>
  <c r="I34" i="97"/>
  <c r="H31" i="97"/>
  <c r="I31" i="97"/>
  <c r="I32" i="97" s="1"/>
  <c r="H13" i="97"/>
  <c r="W28" i="97"/>
  <c r="E17" i="97"/>
  <c r="E20" i="97" s="1"/>
  <c r="E10" i="97" s="1"/>
  <c r="L44" i="97"/>
  <c r="L46" i="97" s="1"/>
  <c r="J39" i="97"/>
  <c r="J43" i="97" s="1"/>
  <c r="J13" i="97"/>
  <c r="P13" i="97" s="1"/>
  <c r="J58" i="97"/>
  <c r="J59" i="97" s="1"/>
  <c r="J31" i="97"/>
  <c r="J32" i="97" s="1"/>
  <c r="J34" i="97"/>
  <c r="P10" i="97"/>
  <c r="Q10" i="97" s="1"/>
  <c r="Q13" i="97" s="1"/>
  <c r="Q17" i="97"/>
  <c r="Q20" i="97" s="1"/>
  <c r="F20" i="97"/>
  <c r="F44" i="97" s="1"/>
  <c r="F46" i="97" s="1"/>
  <c r="H32" i="97"/>
  <c r="L60" i="97"/>
  <c r="L61" i="97" s="1"/>
  <c r="L49" i="97" s="1"/>
  <c r="I43" i="97"/>
  <c r="N48" i="97"/>
  <c r="N50" i="97" s="1"/>
  <c r="M44" i="97"/>
  <c r="M46" i="97" s="1"/>
  <c r="N37" i="105" l="1"/>
  <c r="T39" i="105"/>
  <c r="S39" i="105"/>
  <c r="U38" i="105"/>
  <c r="AK82" i="105"/>
  <c r="Q40" i="105"/>
  <c r="R40" i="105" s="1"/>
  <c r="AA81" i="105"/>
  <c r="AE80" i="105"/>
  <c r="J39" i="105" s="1"/>
  <c r="K39" i="105" s="1"/>
  <c r="M38" i="105"/>
  <c r="L38" i="105"/>
  <c r="P34" i="97"/>
  <c r="Q34" i="97" s="1"/>
  <c r="BW6" i="97"/>
  <c r="BW24" i="97" s="1"/>
  <c r="BU24" i="97"/>
  <c r="K50" i="97"/>
  <c r="P39" i="97"/>
  <c r="Q39" i="97" s="1"/>
  <c r="Q43" i="97" s="1"/>
  <c r="P31" i="97"/>
  <c r="Q31" i="97" s="1"/>
  <c r="Q32" i="97" s="1"/>
  <c r="Q44" i="97" s="1"/>
  <c r="Q46" i="97" s="1"/>
  <c r="E34" i="97"/>
  <c r="G34" i="97" s="1"/>
  <c r="E13" i="97"/>
  <c r="E31" i="97"/>
  <c r="E39" i="97"/>
  <c r="G17" i="97"/>
  <c r="G20" i="97" s="1"/>
  <c r="M48" i="97"/>
  <c r="M50" i="97" s="1"/>
  <c r="F48" i="97"/>
  <c r="F50" i="97" s="1"/>
  <c r="G10" i="97"/>
  <c r="G13" i="97" s="1"/>
  <c r="J60" i="97"/>
  <c r="J61" i="97" s="1"/>
  <c r="J49" i="97" s="1"/>
  <c r="P49" i="97" s="1"/>
  <c r="Q49" i="97" s="1"/>
  <c r="P43" i="97"/>
  <c r="J44" i="97"/>
  <c r="L48" i="97"/>
  <c r="L50" i="97" s="1"/>
  <c r="I44" i="97"/>
  <c r="I46" i="97" s="1"/>
  <c r="P32" i="97"/>
  <c r="H44" i="97"/>
  <c r="J46" i="97"/>
  <c r="AK83" i="105" l="1"/>
  <c r="Q41" i="105"/>
  <c r="R41" i="105" s="1"/>
  <c r="U39" i="105"/>
  <c r="AA82" i="105"/>
  <c r="AE81" i="105"/>
  <c r="J40" i="105" s="1"/>
  <c r="K40" i="105" s="1"/>
  <c r="M39" i="105"/>
  <c r="L39" i="105"/>
  <c r="N38" i="105"/>
  <c r="T40" i="105"/>
  <c r="S40" i="105"/>
  <c r="E43" i="97"/>
  <c r="G39" i="97"/>
  <c r="G43" i="97" s="1"/>
  <c r="E32" i="97"/>
  <c r="G31" i="97"/>
  <c r="G32" i="97" s="1"/>
  <c r="J48" i="97"/>
  <c r="J50" i="97" s="1"/>
  <c r="I48" i="97"/>
  <c r="I50" i="97" s="1"/>
  <c r="P44" i="97"/>
  <c r="P46" i="97" s="1"/>
  <c r="H46" i="97"/>
  <c r="N39" i="105" l="1"/>
  <c r="M40" i="105"/>
  <c r="L40" i="105"/>
  <c r="T41" i="105"/>
  <c r="S41" i="105"/>
  <c r="U40" i="105"/>
  <c r="AA83" i="105"/>
  <c r="AE82" i="105"/>
  <c r="J41" i="105" s="1"/>
  <c r="K41" i="105" s="1"/>
  <c r="AK84" i="105"/>
  <c r="Q42" i="105"/>
  <c r="R42" i="105" s="1"/>
  <c r="G44" i="97"/>
  <c r="G46" i="97" s="1"/>
  <c r="G48" i="97" s="1"/>
  <c r="E44" i="97"/>
  <c r="E46" i="97" s="1"/>
  <c r="E48" i="97" s="1"/>
  <c r="E50" i="97" s="1"/>
  <c r="H48" i="97"/>
  <c r="P48" i="97" s="1"/>
  <c r="Q48" i="97" s="1"/>
  <c r="Q50" i="97" s="1"/>
  <c r="AA84" i="105" l="1"/>
  <c r="AE83" i="105"/>
  <c r="J42" i="105" s="1"/>
  <c r="K42" i="105" s="1"/>
  <c r="N40" i="105"/>
  <c r="U41" i="105"/>
  <c r="M41" i="105"/>
  <c r="L41" i="105"/>
  <c r="T42" i="105"/>
  <c r="S42" i="105"/>
  <c r="AK85" i="105"/>
  <c r="Q43" i="105"/>
  <c r="G50" i="97"/>
  <c r="H50" i="97"/>
  <c r="P50" i="97"/>
  <c r="M42" i="105" l="1"/>
  <c r="L42" i="105"/>
  <c r="N41" i="105"/>
  <c r="R43" i="105"/>
  <c r="U42" i="105"/>
  <c r="AK86" i="105"/>
  <c r="Q44" i="105"/>
  <c r="R44" i="105" s="1"/>
  <c r="AA85" i="105"/>
  <c r="AE84" i="105"/>
  <c r="J43" i="105" s="1"/>
  <c r="R21" i="1"/>
  <c r="R16" i="1"/>
  <c r="R14" i="1"/>
  <c r="D8" i="96"/>
  <c r="D9" i="96"/>
  <c r="E20" i="96"/>
  <c r="F20" i="96" s="1"/>
  <c r="G20" i="96" s="1"/>
  <c r="H20" i="96" s="1"/>
  <c r="I20" i="96" s="1"/>
  <c r="J20" i="96" s="1"/>
  <c r="K20" i="96" s="1"/>
  <c r="L20" i="96" s="1"/>
  <c r="M20" i="96" s="1"/>
  <c r="N20" i="96" s="1"/>
  <c r="O20" i="96" s="1"/>
  <c r="P20" i="96"/>
  <c r="E29" i="96"/>
  <c r="E31" i="96"/>
  <c r="F31" i="96"/>
  <c r="G31" i="96"/>
  <c r="H31" i="96"/>
  <c r="I31" i="96"/>
  <c r="J31" i="96"/>
  <c r="K31" i="96"/>
  <c r="L31" i="96"/>
  <c r="M31" i="96"/>
  <c r="N31" i="96"/>
  <c r="O31" i="96"/>
  <c r="P31" i="96"/>
  <c r="E41" i="96"/>
  <c r="E28" i="96" s="1"/>
  <c r="F41" i="96"/>
  <c r="K41" i="96"/>
  <c r="K28" i="96" s="1"/>
  <c r="O41" i="96"/>
  <c r="O28" i="96" s="1"/>
  <c r="O30" i="96" s="1"/>
  <c r="E42" i="96"/>
  <c r="K42" i="96"/>
  <c r="K29" i="96" s="1"/>
  <c r="O42" i="96"/>
  <c r="O29" i="96" s="1"/>
  <c r="F44" i="96"/>
  <c r="H45" i="96"/>
  <c r="D46" i="96"/>
  <c r="F47" i="96"/>
  <c r="F51" i="96"/>
  <c r="F52" i="96"/>
  <c r="H53" i="96"/>
  <c r="H54" i="96"/>
  <c r="H55" i="96"/>
  <c r="D56" i="96"/>
  <c r="F57" i="96"/>
  <c r="T44" i="105" l="1"/>
  <c r="S44" i="105"/>
  <c r="T43" i="105"/>
  <c r="S43" i="105"/>
  <c r="AK87" i="105"/>
  <c r="Q45" i="105"/>
  <c r="R45" i="105" s="1"/>
  <c r="N42" i="105"/>
  <c r="AA86" i="105"/>
  <c r="AE85" i="105"/>
  <c r="J44" i="105" s="1"/>
  <c r="K43" i="105"/>
  <c r="H44" i="96"/>
  <c r="K30" i="96"/>
  <c r="F42" i="96"/>
  <c r="E30" i="96"/>
  <c r="F46" i="96"/>
  <c r="G41" i="96"/>
  <c r="D31" i="96"/>
  <c r="F28" i="96"/>
  <c r="F56" i="96"/>
  <c r="H52" i="96"/>
  <c r="H51" i="96"/>
  <c r="P42" i="96"/>
  <c r="P29" i="96" s="1"/>
  <c r="L42" i="96"/>
  <c r="P41" i="96"/>
  <c r="P28" i="96" s="1"/>
  <c r="L41" i="96"/>
  <c r="T45" i="105" l="1"/>
  <c r="S45" i="105"/>
  <c r="M43" i="105"/>
  <c r="L43" i="105"/>
  <c r="AK88" i="105"/>
  <c r="Q46" i="105"/>
  <c r="R46" i="105" s="1"/>
  <c r="AA87" i="105"/>
  <c r="AE86" i="105"/>
  <c r="J45" i="105" s="1"/>
  <c r="U44" i="105"/>
  <c r="K44" i="105"/>
  <c r="U43" i="105"/>
  <c r="L29" i="96"/>
  <c r="M42" i="96"/>
  <c r="G53" i="96"/>
  <c r="G55" i="96"/>
  <c r="G54" i="96"/>
  <c r="G28" i="96"/>
  <c r="H41" i="96"/>
  <c r="G46" i="96"/>
  <c r="G45" i="96"/>
  <c r="G47" i="96"/>
  <c r="G51" i="96"/>
  <c r="G56" i="96" s="1"/>
  <c r="L28" i="96"/>
  <c r="L30" i="96" s="1"/>
  <c r="M41" i="96"/>
  <c r="H56" i="96"/>
  <c r="I51" i="96"/>
  <c r="G52" i="96"/>
  <c r="H46" i="96"/>
  <c r="I44" i="96"/>
  <c r="P30" i="96"/>
  <c r="F29" i="96"/>
  <c r="G42" i="96"/>
  <c r="G44" i="96"/>
  <c r="N43" i="105" l="1"/>
  <c r="AK89" i="105"/>
  <c r="Q47" i="105"/>
  <c r="R47" i="105" s="1"/>
  <c r="K45" i="105"/>
  <c r="U45" i="105"/>
  <c r="T46" i="105"/>
  <c r="S46" i="105"/>
  <c r="M44" i="105"/>
  <c r="L44" i="105"/>
  <c r="AA88" i="105"/>
  <c r="AE87" i="105"/>
  <c r="J46" i="105" s="1"/>
  <c r="K46" i="105" s="1"/>
  <c r="G29" i="96"/>
  <c r="H42" i="96"/>
  <c r="I54" i="96"/>
  <c r="O56" i="96" s="1"/>
  <c r="I53" i="96"/>
  <c r="I55" i="96"/>
  <c r="F30" i="96"/>
  <c r="H28" i="96"/>
  <c r="I41" i="96"/>
  <c r="I46" i="96"/>
  <c r="I45" i="96"/>
  <c r="N46" i="96" s="1"/>
  <c r="M28" i="96"/>
  <c r="N41" i="96"/>
  <c r="N28" i="96" s="1"/>
  <c r="N30" i="96" s="1"/>
  <c r="G30" i="96"/>
  <c r="N42" i="96"/>
  <c r="N29" i="96" s="1"/>
  <c r="M29" i="96"/>
  <c r="I52" i="96"/>
  <c r="I56" i="96" s="1"/>
  <c r="AA89" i="105" l="1"/>
  <c r="AE88" i="105"/>
  <c r="J47" i="105" s="1"/>
  <c r="AK90" i="105"/>
  <c r="Q48" i="105"/>
  <c r="T47" i="105"/>
  <c r="S47" i="105"/>
  <c r="U46" i="105"/>
  <c r="M46" i="105"/>
  <c r="L46" i="105"/>
  <c r="N44" i="105"/>
  <c r="M45" i="105"/>
  <c r="L45" i="105"/>
  <c r="O35" i="96"/>
  <c r="O38" i="96"/>
  <c r="K36" i="96"/>
  <c r="K39" i="96"/>
  <c r="L46" i="96"/>
  <c r="N56" i="96"/>
  <c r="O46" i="96"/>
  <c r="L56" i="96"/>
  <c r="H29" i="96"/>
  <c r="I42" i="96"/>
  <c r="M30" i="96"/>
  <c r="I28" i="96"/>
  <c r="J41" i="96"/>
  <c r="AK91" i="105" l="1"/>
  <c r="Q49" i="105"/>
  <c r="N46" i="105"/>
  <c r="U47" i="105"/>
  <c r="K47" i="105"/>
  <c r="N45" i="105"/>
  <c r="R48" i="105"/>
  <c r="AA90" i="105"/>
  <c r="AE89" i="105"/>
  <c r="J48" i="105" s="1"/>
  <c r="K48" i="105" s="1"/>
  <c r="K35" i="96"/>
  <c r="K38" i="96"/>
  <c r="J42" i="96"/>
  <c r="J29" i="96" s="1"/>
  <c r="I29" i="96"/>
  <c r="I30" i="96" s="1"/>
  <c r="D42" i="96"/>
  <c r="O36" i="96"/>
  <c r="O39" i="96"/>
  <c r="K13" i="96"/>
  <c r="K24" i="96" s="1"/>
  <c r="L36" i="96"/>
  <c r="J28" i="96"/>
  <c r="J30" i="96" s="1"/>
  <c r="D41" i="96"/>
  <c r="D29" i="96"/>
  <c r="E38" i="96"/>
  <c r="E35" i="96"/>
  <c r="O17" i="96"/>
  <c r="P38" i="96"/>
  <c r="P17" i="96" s="1"/>
  <c r="L39" i="96"/>
  <c r="K18" i="96"/>
  <c r="D28" i="96"/>
  <c r="D30" i="96" s="1"/>
  <c r="E39" i="96"/>
  <c r="E36" i="96"/>
  <c r="H30" i="96"/>
  <c r="O12" i="96"/>
  <c r="P35" i="96"/>
  <c r="P12" i="96" s="1"/>
  <c r="Q34" i="1"/>
  <c r="BP124" i="95"/>
  <c r="BM124" i="95"/>
  <c r="BP112" i="95"/>
  <c r="BP100" i="95"/>
  <c r="CB88" i="95"/>
  <c r="BY88" i="95"/>
  <c r="BP88" i="95"/>
  <c r="CB76" i="95"/>
  <c r="BP76" i="95"/>
  <c r="AI68" i="95"/>
  <c r="AE68" i="95"/>
  <c r="AA68" i="95"/>
  <c r="T71" i="95" s="1"/>
  <c r="W68" i="95"/>
  <c r="S68" i="95"/>
  <c r="O68" i="95"/>
  <c r="K68" i="95"/>
  <c r="G68" i="95"/>
  <c r="C68" i="95"/>
  <c r="B68" i="95"/>
  <c r="AK67" i="95"/>
  <c r="AK68" i="95" s="1"/>
  <c r="AJ67" i="95"/>
  <c r="AI67" i="95"/>
  <c r="AH67" i="95"/>
  <c r="AG67" i="95"/>
  <c r="AF67" i="95"/>
  <c r="AE67" i="95"/>
  <c r="AD67" i="95"/>
  <c r="AC67" i="95"/>
  <c r="AB67" i="95"/>
  <c r="AL67" i="95" s="1"/>
  <c r="AJ66" i="95"/>
  <c r="AJ68" i="95" s="1"/>
  <c r="AI66" i="95"/>
  <c r="AH66" i="95"/>
  <c r="AG66" i="95"/>
  <c r="AF66" i="95"/>
  <c r="AE66" i="95"/>
  <c r="AD66" i="95"/>
  <c r="AC66" i="95"/>
  <c r="AB66" i="95"/>
  <c r="AA66" i="95"/>
  <c r="AL66" i="95" s="1"/>
  <c r="AI65" i="95"/>
  <c r="AH65" i="95"/>
  <c r="AG65" i="95"/>
  <c r="AF65" i="95"/>
  <c r="AE65" i="95"/>
  <c r="AD65" i="95"/>
  <c r="AC65" i="95"/>
  <c r="AB65" i="95"/>
  <c r="AL65" i="95" s="1"/>
  <c r="AA65" i="95"/>
  <c r="Z65" i="95"/>
  <c r="CB64" i="95"/>
  <c r="BP64" i="95"/>
  <c r="AH64" i="95"/>
  <c r="AH68" i="95" s="1"/>
  <c r="AG64" i="95"/>
  <c r="AF64" i="95"/>
  <c r="AE64" i="95"/>
  <c r="AD64" i="95"/>
  <c r="AC64" i="95"/>
  <c r="AB64" i="95"/>
  <c r="AA64" i="95"/>
  <c r="Z64" i="95"/>
  <c r="Y64" i="95"/>
  <c r="AL64" i="95" s="1"/>
  <c r="AG63" i="95"/>
  <c r="AG68" i="95" s="1"/>
  <c r="AF63" i="95"/>
  <c r="AE63" i="95"/>
  <c r="AD63" i="95"/>
  <c r="AC63" i="95"/>
  <c r="AB63" i="95"/>
  <c r="AA63" i="95"/>
  <c r="Z63" i="95"/>
  <c r="AL63" i="95" s="1"/>
  <c r="Y63" i="95"/>
  <c r="X63" i="95"/>
  <c r="AF62" i="95"/>
  <c r="AF68" i="95" s="1"/>
  <c r="AE62" i="95"/>
  <c r="AD62" i="95"/>
  <c r="AC62" i="95"/>
  <c r="AB62" i="95"/>
  <c r="AA62" i="95"/>
  <c r="Z62" i="95"/>
  <c r="Y62" i="95"/>
  <c r="X62" i="95"/>
  <c r="W62" i="95"/>
  <c r="AL62" i="95" s="1"/>
  <c r="AE61" i="95"/>
  <c r="AD61" i="95"/>
  <c r="AC61" i="95"/>
  <c r="AB61" i="95"/>
  <c r="AA61" i="95"/>
  <c r="Z61" i="95"/>
  <c r="Y61" i="95"/>
  <c r="X61" i="95"/>
  <c r="W61" i="95"/>
  <c r="V61" i="95"/>
  <c r="AL61" i="95" s="1"/>
  <c r="AD60" i="95"/>
  <c r="AD68" i="95" s="1"/>
  <c r="AC60" i="95"/>
  <c r="AB60" i="95"/>
  <c r="AA60" i="95"/>
  <c r="Z60" i="95"/>
  <c r="Y60" i="95"/>
  <c r="X60" i="95"/>
  <c r="W60" i="95"/>
  <c r="V60" i="95"/>
  <c r="U60" i="95"/>
  <c r="AL60" i="95" s="1"/>
  <c r="AC59" i="95"/>
  <c r="AC68" i="95" s="1"/>
  <c r="AB59" i="95"/>
  <c r="AB68" i="95" s="1"/>
  <c r="AA59" i="95"/>
  <c r="Z59" i="95"/>
  <c r="Z68" i="95" s="1"/>
  <c r="Y59" i="95"/>
  <c r="Y68" i="95" s="1"/>
  <c r="X59" i="95"/>
  <c r="X68" i="95" s="1"/>
  <c r="W59" i="95"/>
  <c r="V59" i="95"/>
  <c r="V68" i="95" s="1"/>
  <c r="U59" i="95"/>
  <c r="U68" i="95" s="1"/>
  <c r="T59" i="95"/>
  <c r="T68" i="95" s="1"/>
  <c r="AL58" i="95"/>
  <c r="AL57" i="95"/>
  <c r="AL56" i="95"/>
  <c r="AL55" i="95"/>
  <c r="AL54" i="95"/>
  <c r="AL53" i="95"/>
  <c r="CB52" i="95"/>
  <c r="BP52" i="95"/>
  <c r="AL52" i="95"/>
  <c r="AL51" i="95"/>
  <c r="R48" i="95"/>
  <c r="R68" i="95" s="1"/>
  <c r="Q48" i="95"/>
  <c r="P48" i="95"/>
  <c r="O48" i="95"/>
  <c r="N48" i="95"/>
  <c r="M48" i="95"/>
  <c r="L48" i="95"/>
  <c r="K48" i="95"/>
  <c r="J48" i="95"/>
  <c r="I48" i="95"/>
  <c r="AL48" i="95" s="1"/>
  <c r="Q47" i="95"/>
  <c r="Q68" i="95" s="1"/>
  <c r="P47" i="95"/>
  <c r="O47" i="95"/>
  <c r="N47" i="95"/>
  <c r="M47" i="95"/>
  <c r="L47" i="95"/>
  <c r="K47" i="95"/>
  <c r="J47" i="95"/>
  <c r="AL47" i="95" s="1"/>
  <c r="I47" i="95"/>
  <c r="H47" i="95"/>
  <c r="P46" i="95"/>
  <c r="P68" i="95" s="1"/>
  <c r="O46" i="95"/>
  <c r="N46" i="95"/>
  <c r="M46" i="95"/>
  <c r="L46" i="95"/>
  <c r="K46" i="95"/>
  <c r="J46" i="95"/>
  <c r="I46" i="95"/>
  <c r="H46" i="95"/>
  <c r="G46" i="95"/>
  <c r="AL46" i="95" s="1"/>
  <c r="O45" i="95"/>
  <c r="N45" i="95"/>
  <c r="M45" i="95"/>
  <c r="L45" i="95"/>
  <c r="K45" i="95"/>
  <c r="J45" i="95"/>
  <c r="I45" i="95"/>
  <c r="H45" i="95"/>
  <c r="G45" i="95"/>
  <c r="F45" i="95"/>
  <c r="AL45" i="95" s="1"/>
  <c r="N44" i="95"/>
  <c r="N68" i="95" s="1"/>
  <c r="M44" i="95"/>
  <c r="L44" i="95"/>
  <c r="K44" i="95"/>
  <c r="J44" i="95"/>
  <c r="I44" i="95"/>
  <c r="H44" i="95"/>
  <c r="G44" i="95"/>
  <c r="F44" i="95"/>
  <c r="E44" i="95"/>
  <c r="AL44" i="95" s="1"/>
  <c r="M43" i="95"/>
  <c r="M68" i="95" s="1"/>
  <c r="L43" i="95"/>
  <c r="L68" i="95" s="1"/>
  <c r="K43" i="95"/>
  <c r="J43" i="95"/>
  <c r="J68" i="95" s="1"/>
  <c r="I43" i="95"/>
  <c r="I68" i="95" s="1"/>
  <c r="H43" i="95"/>
  <c r="H68" i="95" s="1"/>
  <c r="G43" i="95"/>
  <c r="F43" i="95"/>
  <c r="F68" i="95" s="1"/>
  <c r="E43" i="95"/>
  <c r="E68" i="95" s="1"/>
  <c r="D43" i="95"/>
  <c r="D68" i="95" s="1"/>
  <c r="AL42" i="95"/>
  <c r="CB40" i="95"/>
  <c r="BP40" i="95"/>
  <c r="AK34" i="95"/>
  <c r="AG34" i="95"/>
  <c r="AC34" i="95"/>
  <c r="Y34" i="95"/>
  <c r="U34" i="95"/>
  <c r="S34" i="95"/>
  <c r="Q34" i="95"/>
  <c r="B34" i="95"/>
  <c r="AK33" i="95"/>
  <c r="AJ33" i="95"/>
  <c r="AI33" i="95"/>
  <c r="AH33" i="95"/>
  <c r="AG33" i="95"/>
  <c r="AF33" i="95"/>
  <c r="AE33" i="95"/>
  <c r="AD33" i="95"/>
  <c r="AL33" i="95" s="1"/>
  <c r="AC33" i="95"/>
  <c r="AB33" i="95"/>
  <c r="AJ32" i="95"/>
  <c r="AJ34" i="95" s="1"/>
  <c r="AI32" i="95"/>
  <c r="AH32" i="95"/>
  <c r="AG32" i="95"/>
  <c r="AF32" i="95"/>
  <c r="AE32" i="95"/>
  <c r="AD32" i="95"/>
  <c r="AC32" i="95"/>
  <c r="AB32" i="95"/>
  <c r="AA32" i="95"/>
  <c r="AL32" i="95" s="1"/>
  <c r="AI31" i="95"/>
  <c r="AI34" i="95" s="1"/>
  <c r="AH31" i="95"/>
  <c r="AG31" i="95"/>
  <c r="AF31" i="95"/>
  <c r="AE31" i="95"/>
  <c r="AD31" i="95"/>
  <c r="AC31" i="95"/>
  <c r="AB31" i="95"/>
  <c r="AA31" i="95"/>
  <c r="Z31" i="95"/>
  <c r="AL31" i="95" s="1"/>
  <c r="AH30" i="95"/>
  <c r="AH34" i="95" s="1"/>
  <c r="AG30" i="95"/>
  <c r="AF30" i="95"/>
  <c r="AE30" i="95"/>
  <c r="AD30" i="95"/>
  <c r="AC30" i="95"/>
  <c r="AB30" i="95"/>
  <c r="AA30" i="95"/>
  <c r="Z30" i="95"/>
  <c r="Y30" i="95"/>
  <c r="AL30" i="95" s="1"/>
  <c r="AS29" i="95"/>
  <c r="AG29" i="95"/>
  <c r="AF29" i="95"/>
  <c r="AE29" i="95"/>
  <c r="AD29" i="95"/>
  <c r="AC29" i="95"/>
  <c r="AB29" i="95"/>
  <c r="AA29" i="95"/>
  <c r="Z29" i="95"/>
  <c r="Y29" i="95"/>
  <c r="X29" i="95"/>
  <c r="AL29" i="95" s="1"/>
  <c r="CB28" i="95"/>
  <c r="AS10" i="95" s="1"/>
  <c r="BY28" i="95"/>
  <c r="BM28" i="95"/>
  <c r="BP28" i="95" s="1"/>
  <c r="AS14" i="95" s="1"/>
  <c r="AS28" i="95"/>
  <c r="AF28" i="95"/>
  <c r="AF34" i="95" s="1"/>
  <c r="AE28" i="95"/>
  <c r="AD28" i="95"/>
  <c r="AC28" i="95"/>
  <c r="AB28" i="95"/>
  <c r="AA28" i="95"/>
  <c r="Z28" i="95"/>
  <c r="Y28" i="95"/>
  <c r="X28" i="95"/>
  <c r="W28" i="95"/>
  <c r="AL28" i="95" s="1"/>
  <c r="AL27" i="95"/>
  <c r="AE27" i="95"/>
  <c r="AE34" i="95" s="1"/>
  <c r="AD27" i="95"/>
  <c r="AC27" i="95"/>
  <c r="AB27" i="95"/>
  <c r="AA27" i="95"/>
  <c r="Z27" i="95"/>
  <c r="Y27" i="95"/>
  <c r="X27" i="95"/>
  <c r="W27" i="95"/>
  <c r="V27" i="95"/>
  <c r="AZ26" i="95"/>
  <c r="AV26" i="95"/>
  <c r="AD26" i="95"/>
  <c r="AD34" i="95" s="1"/>
  <c r="AC26" i="95"/>
  <c r="AB26" i="95"/>
  <c r="AA26" i="95"/>
  <c r="Z26" i="95"/>
  <c r="Y26" i="95"/>
  <c r="X26" i="95"/>
  <c r="W26" i="95"/>
  <c r="V26" i="95"/>
  <c r="U26" i="95"/>
  <c r="AL26" i="95" s="1"/>
  <c r="AV25" i="95"/>
  <c r="AC25" i="95"/>
  <c r="AB25" i="95"/>
  <c r="AB34" i="95" s="1"/>
  <c r="AA25" i="95"/>
  <c r="AA34" i="95" s="1"/>
  <c r="Z25" i="95"/>
  <c r="Z34" i="95" s="1"/>
  <c r="Y25" i="95"/>
  <c r="X25" i="95"/>
  <c r="X34" i="95" s="1"/>
  <c r="W25" i="95"/>
  <c r="W34" i="95" s="1"/>
  <c r="V25" i="95"/>
  <c r="V34" i="95" s="1"/>
  <c r="U25" i="95"/>
  <c r="T25" i="95"/>
  <c r="T34" i="95" s="1"/>
  <c r="AL24" i="95"/>
  <c r="AL23" i="95"/>
  <c r="AL22" i="95"/>
  <c r="AL21" i="95"/>
  <c r="BE20" i="95"/>
  <c r="BD20" i="95"/>
  <c r="BB20" i="95"/>
  <c r="BA20" i="95"/>
  <c r="AZ20" i="95"/>
  <c r="AW20" i="95"/>
  <c r="AV20" i="95"/>
  <c r="AL20" i="95"/>
  <c r="AL19" i="95"/>
  <c r="AS18" i="95"/>
  <c r="AL18" i="95"/>
  <c r="AL17" i="95"/>
  <c r="BP16" i="95"/>
  <c r="BP127" i="95" s="1"/>
  <c r="BM16" i="95"/>
  <c r="AS16" i="95"/>
  <c r="AL16" i="95"/>
  <c r="AL15" i="95"/>
  <c r="R14" i="95"/>
  <c r="R34" i="95" s="1"/>
  <c r="Q14" i="95"/>
  <c r="P14" i="95"/>
  <c r="O14" i="95"/>
  <c r="N14" i="95"/>
  <c r="M14" i="95"/>
  <c r="L14" i="95"/>
  <c r="K14" i="95"/>
  <c r="J14" i="95"/>
  <c r="I14" i="95"/>
  <c r="AL14" i="95" s="1"/>
  <c r="Q13" i="95"/>
  <c r="P13" i="95"/>
  <c r="O13" i="95"/>
  <c r="N13" i="95"/>
  <c r="M13" i="95"/>
  <c r="L13" i="95"/>
  <c r="K13" i="95"/>
  <c r="J13" i="95"/>
  <c r="I13" i="95"/>
  <c r="H13" i="95"/>
  <c r="AL13" i="95" s="1"/>
  <c r="AP12" i="95"/>
  <c r="AP14" i="95" s="1"/>
  <c r="P12" i="95"/>
  <c r="P34" i="95" s="1"/>
  <c r="O12" i="95"/>
  <c r="N12" i="95"/>
  <c r="M12" i="95"/>
  <c r="L12" i="95"/>
  <c r="K12" i="95"/>
  <c r="J12" i="95"/>
  <c r="I12" i="95"/>
  <c r="H12" i="95"/>
  <c r="G12" i="95"/>
  <c r="AL12" i="95" s="1"/>
  <c r="O11" i="95"/>
  <c r="O34" i="95" s="1"/>
  <c r="N11" i="95"/>
  <c r="M11" i="95"/>
  <c r="L11" i="95"/>
  <c r="K11" i="95"/>
  <c r="J11" i="95"/>
  <c r="I11" i="95"/>
  <c r="H11" i="95"/>
  <c r="G11" i="95"/>
  <c r="F11" i="95"/>
  <c r="AL11" i="95" s="1"/>
  <c r="BY10" i="95"/>
  <c r="BY16" i="95" s="1"/>
  <c r="CB16" i="95" s="1"/>
  <c r="AP10" i="95"/>
  <c r="N10" i="95"/>
  <c r="N34" i="95" s="1"/>
  <c r="M10" i="95"/>
  <c r="L10" i="95"/>
  <c r="K10" i="95"/>
  <c r="J10" i="95"/>
  <c r="I10" i="95"/>
  <c r="H10" i="95"/>
  <c r="G10" i="95"/>
  <c r="AL10" i="95" s="1"/>
  <c r="F10" i="95"/>
  <c r="E10" i="95"/>
  <c r="M9" i="95"/>
  <c r="M34" i="95" s="1"/>
  <c r="L9" i="95"/>
  <c r="K9" i="95"/>
  <c r="J9" i="95"/>
  <c r="I9" i="95"/>
  <c r="I34" i="95" s="1"/>
  <c r="H9" i="95"/>
  <c r="G9" i="95"/>
  <c r="F9" i="95"/>
  <c r="E9" i="95"/>
  <c r="E34" i="95" s="1"/>
  <c r="D9" i="95"/>
  <c r="AL9" i="95" s="1"/>
  <c r="AX8" i="95"/>
  <c r="AX20" i="95" s="1"/>
  <c r="AW8" i="95"/>
  <c r="L8" i="95"/>
  <c r="L34" i="95" s="1"/>
  <c r="K8" i="95"/>
  <c r="K34" i="95" s="1"/>
  <c r="J8" i="95"/>
  <c r="J34" i="95" s="1"/>
  <c r="I8" i="95"/>
  <c r="H8" i="95"/>
  <c r="H34" i="95" s="1"/>
  <c r="G8" i="95"/>
  <c r="G34" i="95" s="1"/>
  <c r="F8" i="95"/>
  <c r="F34" i="95" s="1"/>
  <c r="E8" i="95"/>
  <c r="D8" i="95"/>
  <c r="D34" i="95" s="1"/>
  <c r="C8" i="95"/>
  <c r="C34" i="95" s="1"/>
  <c r="P35" i="1"/>
  <c r="Z42" i="94"/>
  <c r="F42" i="94"/>
  <c r="AC40" i="94"/>
  <c r="AB40" i="94"/>
  <c r="AA40" i="94"/>
  <c r="Z40" i="94"/>
  <c r="AC35" i="94"/>
  <c r="AC42" i="94" s="1"/>
  <c r="AB35" i="94"/>
  <c r="AB42" i="94" s="1"/>
  <c r="AA35" i="94"/>
  <c r="AA42" i="94" s="1"/>
  <c r="Z35" i="94"/>
  <c r="F27" i="94"/>
  <c r="D27" i="94"/>
  <c r="D31" i="94" s="1"/>
  <c r="F26" i="94"/>
  <c r="F31" i="94" s="1"/>
  <c r="D26" i="94"/>
  <c r="AI23" i="94"/>
  <c r="Q23" i="94"/>
  <c r="Q25" i="94" s="1"/>
  <c r="Q27" i="94" s="1"/>
  <c r="P23" i="94"/>
  <c r="P25" i="94" s="1"/>
  <c r="O23" i="94"/>
  <c r="O25" i="94" s="1"/>
  <c r="AR22" i="94"/>
  <c r="AR24" i="94" s="1"/>
  <c r="F16" i="94" s="1"/>
  <c r="AN22" i="94"/>
  <c r="AN24" i="94" s="1"/>
  <c r="F12" i="94" s="1"/>
  <c r="AJ22" i="94"/>
  <c r="P21" i="94"/>
  <c r="N21" i="94"/>
  <c r="N23" i="94" s="1"/>
  <c r="N25" i="94" s="1"/>
  <c r="AU20" i="94"/>
  <c r="AU22" i="94" s="1"/>
  <c r="AU24" i="94" s="1"/>
  <c r="F19" i="94" s="1"/>
  <c r="AT20" i="94"/>
  <c r="AT22" i="94" s="1"/>
  <c r="AT24" i="94" s="1"/>
  <c r="F18" i="94" s="1"/>
  <c r="AS20" i="94"/>
  <c r="AS22" i="94" s="1"/>
  <c r="AS24" i="94" s="1"/>
  <c r="F17" i="94" s="1"/>
  <c r="AR20" i="94"/>
  <c r="AQ20" i="94"/>
  <c r="AQ22" i="94" s="1"/>
  <c r="AQ24" i="94" s="1"/>
  <c r="F15" i="94" s="1"/>
  <c r="AP20" i="94"/>
  <c r="AP22" i="94" s="1"/>
  <c r="AP24" i="94" s="1"/>
  <c r="F14" i="94" s="1"/>
  <c r="AO20" i="94"/>
  <c r="AO22" i="94" s="1"/>
  <c r="AO24" i="94" s="1"/>
  <c r="F13" i="94" s="1"/>
  <c r="AN20" i="94"/>
  <c r="AM20" i="94"/>
  <c r="AM22" i="94" s="1"/>
  <c r="AM24" i="94" s="1"/>
  <c r="F11" i="94" s="1"/>
  <c r="AL20" i="94"/>
  <c r="AL22" i="94" s="1"/>
  <c r="AL24" i="94" s="1"/>
  <c r="F10" i="94" s="1"/>
  <c r="AK20" i="94"/>
  <c r="AK22" i="94" s="1"/>
  <c r="AK24" i="94" s="1"/>
  <c r="F9" i="94" s="1"/>
  <c r="AJ20" i="94"/>
  <c r="AI19" i="94"/>
  <c r="AI18" i="94"/>
  <c r="AC17" i="94"/>
  <c r="AC19" i="94" s="1"/>
  <c r="AA17" i="94"/>
  <c r="Z17" i="94"/>
  <c r="AB16" i="94"/>
  <c r="Q16" i="94"/>
  <c r="AB15" i="94"/>
  <c r="AI14" i="94"/>
  <c r="AB14" i="94"/>
  <c r="Q14" i="94"/>
  <c r="P14" i="94"/>
  <c r="P16" i="94" s="1"/>
  <c r="O14" i="94"/>
  <c r="O16" i="94" s="1"/>
  <c r="N14" i="94"/>
  <c r="N16" i="94" s="1"/>
  <c r="AI13" i="94"/>
  <c r="AB13" i="94"/>
  <c r="AI12" i="94"/>
  <c r="AB12" i="94"/>
  <c r="AB17" i="94" s="1"/>
  <c r="AB19" i="94" s="1"/>
  <c r="F43" i="94" s="1"/>
  <c r="AI11" i="94"/>
  <c r="D22" i="94" s="1"/>
  <c r="Q11" i="94"/>
  <c r="P11" i="94"/>
  <c r="N11" i="94"/>
  <c r="AU10" i="94"/>
  <c r="AU15" i="94" s="1"/>
  <c r="D19" i="94" s="1"/>
  <c r="AQ10" i="94"/>
  <c r="AQ15" i="94" s="1"/>
  <c r="D15" i="94" s="1"/>
  <c r="AM10" i="94"/>
  <c r="AM15" i="94" s="1"/>
  <c r="D11" i="94" s="1"/>
  <c r="AC10" i="94"/>
  <c r="AB10" i="94"/>
  <c r="Z10" i="94"/>
  <c r="Z19" i="94" s="1"/>
  <c r="AA9" i="94"/>
  <c r="O9" i="94"/>
  <c r="O11" i="94" s="1"/>
  <c r="N9" i="94"/>
  <c r="B9" i="94"/>
  <c r="B10" i="94" s="1"/>
  <c r="B11" i="94" s="1"/>
  <c r="B12" i="94" s="1"/>
  <c r="B13" i="94" s="1"/>
  <c r="B14" i="94" s="1"/>
  <c r="B15" i="94" s="1"/>
  <c r="B16" i="94" s="1"/>
  <c r="B17" i="94" s="1"/>
  <c r="B18" i="94" s="1"/>
  <c r="B19" i="94" s="1"/>
  <c r="AU8" i="94"/>
  <c r="AT8" i="94"/>
  <c r="AT10" i="94" s="1"/>
  <c r="AT15" i="94" s="1"/>
  <c r="D18" i="94" s="1"/>
  <c r="AS8" i="94"/>
  <c r="AS10" i="94" s="1"/>
  <c r="AS15" i="94" s="1"/>
  <c r="D17" i="94" s="1"/>
  <c r="AR8" i="94"/>
  <c r="AR10" i="94" s="1"/>
  <c r="AR15" i="94" s="1"/>
  <c r="D16" i="94" s="1"/>
  <c r="AQ8" i="94"/>
  <c r="AP8" i="94"/>
  <c r="AP10" i="94" s="1"/>
  <c r="AP15" i="94" s="1"/>
  <c r="D14" i="94" s="1"/>
  <c r="AO8" i="94"/>
  <c r="AO10" i="94" s="1"/>
  <c r="AO15" i="94" s="1"/>
  <c r="D13" i="94" s="1"/>
  <c r="AN8" i="94"/>
  <c r="AN10" i="94" s="1"/>
  <c r="AN15" i="94" s="1"/>
  <c r="D12" i="94" s="1"/>
  <c r="AM8" i="94"/>
  <c r="AL8" i="94"/>
  <c r="AL10" i="94" s="1"/>
  <c r="AL15" i="94" s="1"/>
  <c r="D10" i="94" s="1"/>
  <c r="AK8" i="94"/>
  <c r="AK10" i="94" s="1"/>
  <c r="AK15" i="94" s="1"/>
  <c r="D9" i="94" s="1"/>
  <c r="AJ8" i="94"/>
  <c r="AI8" i="94" s="1"/>
  <c r="AA8" i="94"/>
  <c r="AI7" i="94"/>
  <c r="AA7" i="94"/>
  <c r="AI6" i="94"/>
  <c r="AA6" i="94"/>
  <c r="Q6" i="94"/>
  <c r="P6" i="94"/>
  <c r="O6" i="94"/>
  <c r="D42" i="94" s="1"/>
  <c r="N6" i="94"/>
  <c r="AA5" i="94"/>
  <c r="AA10" i="94" s="1"/>
  <c r="AL2" i="94"/>
  <c r="AM2" i="94" s="1"/>
  <c r="AN2" i="94" s="1"/>
  <c r="AO2" i="94" s="1"/>
  <c r="AP2" i="94" s="1"/>
  <c r="AQ2" i="94" s="1"/>
  <c r="AR2" i="94" s="1"/>
  <c r="AS2" i="94" s="1"/>
  <c r="AT2" i="94" s="1"/>
  <c r="AU2" i="94" s="1"/>
  <c r="AK2" i="94"/>
  <c r="AJ2" i="94"/>
  <c r="O43" i="1"/>
  <c r="P26" i="93"/>
  <c r="AB22" i="93"/>
  <c r="AA22" i="93"/>
  <c r="Z22" i="93"/>
  <c r="AB20" i="93"/>
  <c r="AB24" i="93" s="1"/>
  <c r="AA20" i="93"/>
  <c r="AA24" i="93" s="1"/>
  <c r="T9" i="93" s="1"/>
  <c r="Z20" i="93"/>
  <c r="Z24" i="93" s="1"/>
  <c r="T21" i="93" s="1"/>
  <c r="P23" i="93" s="1"/>
  <c r="P29" i="93" s="1"/>
  <c r="AB16" i="93"/>
  <c r="AA16" i="93"/>
  <c r="Z16" i="93"/>
  <c r="D11" i="93"/>
  <c r="AB7" i="93"/>
  <c r="AA7" i="93"/>
  <c r="Z7" i="93"/>
  <c r="N3" i="93"/>
  <c r="N53" i="1"/>
  <c r="N55" i="1"/>
  <c r="T48" i="105" l="1"/>
  <c r="S48" i="105"/>
  <c r="M47" i="105"/>
  <c r="L47" i="105"/>
  <c r="M48" i="105"/>
  <c r="L48" i="105"/>
  <c r="R49" i="105"/>
  <c r="AA91" i="105"/>
  <c r="AE90" i="105"/>
  <c r="J49" i="105" s="1"/>
  <c r="AK92" i="105"/>
  <c r="Q50" i="105"/>
  <c r="R50" i="105" s="1"/>
  <c r="O19" i="96"/>
  <c r="P39" i="96"/>
  <c r="P18" i="96" s="1"/>
  <c r="O18" i="96"/>
  <c r="E13" i="96"/>
  <c r="F36" i="96"/>
  <c r="E12" i="96"/>
  <c r="F35" i="96"/>
  <c r="O13" i="96"/>
  <c r="P36" i="96"/>
  <c r="P13" i="96" s="1"/>
  <c r="P24" i="96" s="1"/>
  <c r="K17" i="96"/>
  <c r="K19" i="96" s="1"/>
  <c r="L38" i="96"/>
  <c r="O23" i="96"/>
  <c r="O14" i="96"/>
  <c r="P19" i="96"/>
  <c r="P14" i="96"/>
  <c r="P23" i="96"/>
  <c r="E18" i="96"/>
  <c r="F39" i="96"/>
  <c r="M39" i="96"/>
  <c r="L18" i="96"/>
  <c r="F38" i="96"/>
  <c r="E17" i="96"/>
  <c r="L13" i="96"/>
  <c r="L24" i="96" s="1"/>
  <c r="M36" i="96"/>
  <c r="K12" i="96"/>
  <c r="L35" i="96"/>
  <c r="Z37" i="95"/>
  <c r="Y37" i="95"/>
  <c r="AB37" i="95"/>
  <c r="X37" i="95"/>
  <c r="AA37" i="95"/>
  <c r="W37" i="95"/>
  <c r="AB71" i="95"/>
  <c r="X71" i="95"/>
  <c r="AA71" i="95"/>
  <c r="W71" i="95"/>
  <c r="Z71" i="95"/>
  <c r="Y71" i="95"/>
  <c r="AS8" i="95"/>
  <c r="CB91" i="95"/>
  <c r="V37" i="95"/>
  <c r="R37" i="95"/>
  <c r="U37" i="95"/>
  <c r="Q37" i="95"/>
  <c r="T37" i="95"/>
  <c r="S37" i="95"/>
  <c r="AL59" i="95"/>
  <c r="Q71" i="95"/>
  <c r="U71" i="95"/>
  <c r="R71" i="95"/>
  <c r="V71" i="95"/>
  <c r="S71" i="95"/>
  <c r="AL43" i="95"/>
  <c r="AL68" i="95" s="1"/>
  <c r="AL8" i="95"/>
  <c r="AS12" i="95"/>
  <c r="AL25" i="95"/>
  <c r="AA19" i="94"/>
  <c r="D43" i="94" s="1"/>
  <c r="N27" i="94"/>
  <c r="O27" i="94"/>
  <c r="F44" i="94"/>
  <c r="D44" i="94"/>
  <c r="K15" i="94"/>
  <c r="D25" i="94"/>
  <c r="D29" i="94" s="1"/>
  <c r="AI22" i="94"/>
  <c r="P27" i="94"/>
  <c r="F25" i="94"/>
  <c r="F29" i="94" s="1"/>
  <c r="AJ10" i="94"/>
  <c r="AI20" i="94"/>
  <c r="AJ24" i="94"/>
  <c r="P11" i="93"/>
  <c r="P17" i="93" s="1"/>
  <c r="T6" i="93"/>
  <c r="P31" i="93"/>
  <c r="P33" i="93" s="1"/>
  <c r="D9" i="93" s="1"/>
  <c r="K3" i="92"/>
  <c r="U3" i="92"/>
  <c r="U4" i="92"/>
  <c r="U5" i="92"/>
  <c r="U6" i="92"/>
  <c r="U7" i="92"/>
  <c r="U8" i="92"/>
  <c r="R9" i="92"/>
  <c r="M19" i="92" s="1"/>
  <c r="S9" i="92"/>
  <c r="U9" i="92"/>
  <c r="U10" i="92"/>
  <c r="U11" i="92"/>
  <c r="U12" i="92"/>
  <c r="M20" i="92"/>
  <c r="R25" i="92"/>
  <c r="S25" i="92"/>
  <c r="N30" i="92"/>
  <c r="N31" i="92"/>
  <c r="M34" i="92"/>
  <c r="M35" i="92"/>
  <c r="N35" i="92"/>
  <c r="M36" i="92"/>
  <c r="N36" i="92"/>
  <c r="E7" i="92"/>
  <c r="F12" i="92"/>
  <c r="G12" i="92"/>
  <c r="G13" i="92"/>
  <c r="G18" i="92" s="1"/>
  <c r="G20" i="92" s="1"/>
  <c r="G32" i="92" s="1"/>
  <c r="E16" i="92"/>
  <c r="C27" i="92"/>
  <c r="G27" i="92"/>
  <c r="G30" i="92"/>
  <c r="N48" i="105" l="1"/>
  <c r="AA92" i="105"/>
  <c r="AE91" i="105"/>
  <c r="J50" i="105" s="1"/>
  <c r="K50" i="105" s="1"/>
  <c r="N47" i="105"/>
  <c r="T50" i="105"/>
  <c r="S50" i="105"/>
  <c r="T49" i="105"/>
  <c r="S49" i="105"/>
  <c r="U48" i="105"/>
  <c r="K49" i="105"/>
  <c r="AK93" i="105"/>
  <c r="Q51" i="105"/>
  <c r="R51" i="105" s="1"/>
  <c r="K23" i="96"/>
  <c r="K25" i="96" s="1"/>
  <c r="K14" i="96"/>
  <c r="E19" i="96"/>
  <c r="F18" i="96"/>
  <c r="G39" i="96"/>
  <c r="M38" i="96"/>
  <c r="L17" i="96"/>
  <c r="L19" i="96" s="1"/>
  <c r="F12" i="96"/>
  <c r="G35" i="96"/>
  <c r="F13" i="96"/>
  <c r="F24" i="96" s="1"/>
  <c r="G36" i="96"/>
  <c r="M13" i="96"/>
  <c r="N36" i="96"/>
  <c r="N13" i="96" s="1"/>
  <c r="G38" i="96"/>
  <c r="F17" i="96"/>
  <c r="F19" i="96" s="1"/>
  <c r="E14" i="96"/>
  <c r="E23" i="96"/>
  <c r="E24" i="96"/>
  <c r="L12" i="96"/>
  <c r="M35" i="96"/>
  <c r="N39" i="96"/>
  <c r="N18" i="96" s="1"/>
  <c r="M18" i="96"/>
  <c r="P25" i="96"/>
  <c r="O24" i="96"/>
  <c r="O25" i="96" s="1"/>
  <c r="AL71" i="95"/>
  <c r="AL37" i="95"/>
  <c r="AL34" i="95"/>
  <c r="AS20" i="95"/>
  <c r="AJ15" i="94"/>
  <c r="AI10" i="94"/>
  <c r="AI24" i="94"/>
  <c r="F8" i="94"/>
  <c r="F21" i="94" s="1"/>
  <c r="F23" i="94" s="1"/>
  <c r="H9" i="93"/>
  <c r="H16" i="93" s="1"/>
  <c r="H18" i="93" s="1"/>
  <c r="F9" i="93"/>
  <c r="F16" i="93" s="1"/>
  <c r="J9" i="93"/>
  <c r="M18" i="92"/>
  <c r="F27" i="92"/>
  <c r="E12" i="92"/>
  <c r="E13" i="92" s="1"/>
  <c r="F13" i="92"/>
  <c r="F18" i="92" s="1"/>
  <c r="M50" i="105" l="1"/>
  <c r="L50" i="105"/>
  <c r="M49" i="105"/>
  <c r="L49" i="105"/>
  <c r="U49" i="105"/>
  <c r="AA93" i="105"/>
  <c r="AE92" i="105"/>
  <c r="J51" i="105" s="1"/>
  <c r="T51" i="105"/>
  <c r="S51" i="105"/>
  <c r="U50" i="105"/>
  <c r="AK94" i="105"/>
  <c r="Q52" i="105"/>
  <c r="R52" i="105" s="1"/>
  <c r="M12" i="96"/>
  <c r="N35" i="96"/>
  <c r="N12" i="96" s="1"/>
  <c r="N24" i="96"/>
  <c r="G12" i="96"/>
  <c r="H35" i="96"/>
  <c r="H39" i="96"/>
  <c r="G18" i="96"/>
  <c r="E25" i="96"/>
  <c r="G13" i="96"/>
  <c r="G24" i="96" s="1"/>
  <c r="H36" i="96"/>
  <c r="G17" i="96"/>
  <c r="G19" i="96" s="1"/>
  <c r="H38" i="96"/>
  <c r="N38" i="96"/>
  <c r="N17" i="96" s="1"/>
  <c r="N19" i="96" s="1"/>
  <c r="M17" i="96"/>
  <c r="M19" i="96" s="1"/>
  <c r="L14" i="96"/>
  <c r="L23" i="96"/>
  <c r="L25" i="96" s="1"/>
  <c r="M24" i="96"/>
  <c r="F23" i="96"/>
  <c r="F25" i="96" s="1"/>
  <c r="F14" i="96"/>
  <c r="D8" i="94"/>
  <c r="D21" i="94" s="1"/>
  <c r="D23" i="94" s="1"/>
  <c r="AI15" i="94"/>
  <c r="F18" i="93"/>
  <c r="D16" i="93"/>
  <c r="F30" i="92"/>
  <c r="E27" i="92"/>
  <c r="E30" i="92" s="1"/>
  <c r="E18" i="92"/>
  <c r="E20" i="92" s="1"/>
  <c r="E32" i="92" s="1"/>
  <c r="F20" i="92"/>
  <c r="F32" i="92" s="1"/>
  <c r="U51" i="105" l="1"/>
  <c r="K51" i="105"/>
  <c r="N50" i="105"/>
  <c r="AK95" i="105"/>
  <c r="Q53" i="105"/>
  <c r="R53" i="105" s="1"/>
  <c r="T52" i="105"/>
  <c r="S52" i="105"/>
  <c r="AA94" i="105"/>
  <c r="AE93" i="105"/>
  <c r="J52" i="105" s="1"/>
  <c r="N49" i="105"/>
  <c r="I39" i="96"/>
  <c r="H18" i="96"/>
  <c r="H12" i="96"/>
  <c r="I35" i="96"/>
  <c r="N23" i="96"/>
  <c r="N25" i="96" s="1"/>
  <c r="N14" i="96"/>
  <c r="G23" i="96"/>
  <c r="G25" i="96" s="1"/>
  <c r="G14" i="96"/>
  <c r="M14" i="96"/>
  <c r="M23" i="96"/>
  <c r="M25" i="96" s="1"/>
  <c r="I38" i="96"/>
  <c r="H17" i="96"/>
  <c r="H13" i="96"/>
  <c r="I36" i="96"/>
  <c r="C12" i="91"/>
  <c r="C15" i="91"/>
  <c r="O18" i="91"/>
  <c r="O19" i="91" s="1"/>
  <c r="N18" i="91"/>
  <c r="N19" i="91" s="1"/>
  <c r="L18" i="91"/>
  <c r="K18" i="91"/>
  <c r="K19" i="91" s="1"/>
  <c r="C11" i="91"/>
  <c r="AO19" i="91"/>
  <c r="AN19" i="91"/>
  <c r="AM19" i="91"/>
  <c r="AD19" i="91"/>
  <c r="AC19" i="91"/>
  <c r="AB19" i="91"/>
  <c r="AA19" i="91"/>
  <c r="Z19" i="91"/>
  <c r="Y19" i="91"/>
  <c r="X19" i="91"/>
  <c r="W19" i="91"/>
  <c r="V19" i="91"/>
  <c r="U19" i="91"/>
  <c r="AP18" i="91"/>
  <c r="AF18" i="91"/>
  <c r="L19" i="91"/>
  <c r="AP17" i="91"/>
  <c r="AF17" i="91"/>
  <c r="P17" i="91"/>
  <c r="M17" i="91"/>
  <c r="AP16" i="91"/>
  <c r="AF16" i="91"/>
  <c r="AP15" i="91"/>
  <c r="AF15" i="91"/>
  <c r="AP14" i="91"/>
  <c r="AF14" i="91"/>
  <c r="T14" i="91"/>
  <c r="T15" i="91" s="1"/>
  <c r="T16" i="91" s="1"/>
  <c r="T17" i="91" s="1"/>
  <c r="T18" i="91" s="1"/>
  <c r="P14" i="91"/>
  <c r="M14" i="91"/>
  <c r="AP13" i="91"/>
  <c r="AP19" i="91" s="1"/>
  <c r="AF13" i="91"/>
  <c r="P13" i="91"/>
  <c r="M13" i="91"/>
  <c r="AO12" i="91"/>
  <c r="AO21" i="91" s="1"/>
  <c r="AN12" i="91"/>
  <c r="AN21" i="91" s="1"/>
  <c r="AM12" i="91"/>
  <c r="AD12" i="91"/>
  <c r="AD21" i="91" s="1"/>
  <c r="AC12" i="91"/>
  <c r="AC21" i="91" s="1"/>
  <c r="AB12" i="91"/>
  <c r="AB21" i="91" s="1"/>
  <c r="AA12" i="91"/>
  <c r="Z12" i="91"/>
  <c r="Z21" i="91" s="1"/>
  <c r="Y12" i="91"/>
  <c r="Y21" i="91" s="1"/>
  <c r="X12" i="91"/>
  <c r="X21" i="91" s="1"/>
  <c r="W12" i="91"/>
  <c r="V12" i="91"/>
  <c r="V21" i="91" s="1"/>
  <c r="U12" i="91"/>
  <c r="AF12" i="91" s="1"/>
  <c r="P12" i="91"/>
  <c r="M12" i="91"/>
  <c r="AP11" i="91"/>
  <c r="AF11" i="91"/>
  <c r="AP10" i="91"/>
  <c r="AF10" i="91"/>
  <c r="AP9" i="91"/>
  <c r="AF9" i="91"/>
  <c r="AP8" i="91"/>
  <c r="AF8" i="91"/>
  <c r="AP7" i="91"/>
  <c r="AF7" i="91"/>
  <c r="AP6" i="91"/>
  <c r="AF6" i="91"/>
  <c r="L43" i="1"/>
  <c r="AP4" i="90"/>
  <c r="AQ4" i="90" s="1"/>
  <c r="AR4" i="90" s="1"/>
  <c r="AS4" i="90" s="1"/>
  <c r="AT4" i="90" s="1"/>
  <c r="AV4" i="90"/>
  <c r="AW4" i="90"/>
  <c r="AX4" i="90" s="1"/>
  <c r="AY4" i="90" s="1"/>
  <c r="AZ4" i="90" s="1"/>
  <c r="BA5" i="90"/>
  <c r="BA14" i="90" s="1"/>
  <c r="BA6" i="90"/>
  <c r="BA7" i="90"/>
  <c r="BA8" i="90"/>
  <c r="BA9" i="90"/>
  <c r="BA10" i="90"/>
  <c r="BA11" i="90"/>
  <c r="BA12" i="90"/>
  <c r="BA13" i="90"/>
  <c r="N13" i="90" s="1"/>
  <c r="AO14" i="90"/>
  <c r="AP14" i="90"/>
  <c r="AQ14" i="90"/>
  <c r="AR14" i="90"/>
  <c r="AS14" i="90"/>
  <c r="AT14" i="90"/>
  <c r="AU14" i="90"/>
  <c r="AV14" i="90"/>
  <c r="AW14" i="90"/>
  <c r="AX14" i="90"/>
  <c r="AY14" i="90"/>
  <c r="AZ14" i="90"/>
  <c r="BA15" i="90"/>
  <c r="BA16" i="90"/>
  <c r="BA17" i="90"/>
  <c r="BA18" i="90"/>
  <c r="BA19" i="90"/>
  <c r="BA20" i="90"/>
  <c r="BA21" i="90"/>
  <c r="BA22" i="90"/>
  <c r="BA23" i="90"/>
  <c r="BA24" i="90"/>
  <c r="BA25" i="90"/>
  <c r="BA26" i="90"/>
  <c r="BA27" i="90"/>
  <c r="BA28" i="90"/>
  <c r="AO29" i="90"/>
  <c r="AP29" i="90"/>
  <c r="AQ29" i="90"/>
  <c r="AR29" i="90"/>
  <c r="AS29" i="90"/>
  <c r="AT29" i="90"/>
  <c r="AU29" i="90"/>
  <c r="AV29" i="90"/>
  <c r="AW29" i="90"/>
  <c r="AX29" i="90"/>
  <c r="AY29" i="90"/>
  <c r="AZ29" i="90"/>
  <c r="BA29" i="90"/>
  <c r="BA30" i="90"/>
  <c r="BA31" i="90"/>
  <c r="BA32" i="90"/>
  <c r="BA33" i="90"/>
  <c r="BA34" i="90"/>
  <c r="BA35" i="90"/>
  <c r="BA36" i="90"/>
  <c r="BA37" i="90"/>
  <c r="BA39" i="90"/>
  <c r="BA40" i="90"/>
  <c r="BA41" i="90"/>
  <c r="AO42" i="90"/>
  <c r="AP42" i="90"/>
  <c r="AQ42" i="90"/>
  <c r="AR42" i="90"/>
  <c r="AS42" i="90"/>
  <c r="AT42" i="90"/>
  <c r="AU42" i="90"/>
  <c r="AV42" i="90"/>
  <c r="AW42" i="90"/>
  <c r="AX42" i="90"/>
  <c r="AY42" i="90"/>
  <c r="AZ42" i="90"/>
  <c r="BA42" i="90"/>
  <c r="D16" i="90"/>
  <c r="B16" i="90" s="1"/>
  <c r="AI37" i="90"/>
  <c r="AI36" i="90"/>
  <c r="AE31" i="90"/>
  <c r="AD40" i="90" s="1"/>
  <c r="AC44" i="90" s="1"/>
  <c r="AD45" i="90" s="1"/>
  <c r="AE23" i="90"/>
  <c r="AD39" i="90" s="1"/>
  <c r="AG10" i="90"/>
  <c r="AG9" i="90"/>
  <c r="AG8" i="90"/>
  <c r="C15" i="90" s="1"/>
  <c r="B15" i="90" s="1"/>
  <c r="AG7" i="90"/>
  <c r="AD37" i="90" s="1"/>
  <c r="AG6" i="90"/>
  <c r="AG5" i="90"/>
  <c r="AB4" i="90"/>
  <c r="AC4" i="90" s="1"/>
  <c r="AD4" i="90" s="1"/>
  <c r="AE4" i="90" s="1"/>
  <c r="AF4" i="90" s="1"/>
  <c r="V4" i="90"/>
  <c r="W4" i="90" s="1"/>
  <c r="X4" i="90" s="1"/>
  <c r="Y4" i="90" s="1"/>
  <c r="Z4" i="90" s="1"/>
  <c r="M10" i="90"/>
  <c r="M11" i="90"/>
  <c r="N11" i="90"/>
  <c r="M12" i="90"/>
  <c r="N12" i="90"/>
  <c r="M13" i="90"/>
  <c r="M17" i="90"/>
  <c r="M18" i="90"/>
  <c r="N18" i="90"/>
  <c r="L19" i="90"/>
  <c r="K38" i="1"/>
  <c r="AK96" i="105" l="1"/>
  <c r="Q54" i="105"/>
  <c r="U52" i="105"/>
  <c r="AA95" i="105"/>
  <c r="AE94" i="105"/>
  <c r="J53" i="105" s="1"/>
  <c r="K53" i="105" s="1"/>
  <c r="T53" i="105"/>
  <c r="S53" i="105"/>
  <c r="M51" i="105"/>
  <c r="L51" i="105"/>
  <c r="K52" i="105"/>
  <c r="I18" i="96"/>
  <c r="J39" i="96"/>
  <c r="J18" i="96" s="1"/>
  <c r="H24" i="96"/>
  <c r="H19" i="96"/>
  <c r="H14" i="96"/>
  <c r="H23" i="96"/>
  <c r="I13" i="96"/>
  <c r="J36" i="96"/>
  <c r="J13" i="96" s="1"/>
  <c r="J24" i="96" s="1"/>
  <c r="I12" i="96"/>
  <c r="J35" i="96"/>
  <c r="J38" i="96"/>
  <c r="I17" i="96"/>
  <c r="D39" i="96"/>
  <c r="D12" i="91"/>
  <c r="D13" i="91" s="1"/>
  <c r="D17" i="91" s="1"/>
  <c r="M43" i="1" s="1"/>
  <c r="E12" i="91"/>
  <c r="E13" i="91" s="1"/>
  <c r="E17" i="91" s="1"/>
  <c r="W21" i="91"/>
  <c r="AA21" i="91"/>
  <c r="AM21" i="91"/>
  <c r="AF19" i="91"/>
  <c r="C13" i="91"/>
  <c r="AP12" i="91"/>
  <c r="AP21" i="91" s="1"/>
  <c r="M18" i="91"/>
  <c r="M19" i="91" s="1"/>
  <c r="P18" i="91"/>
  <c r="P19" i="91" s="1"/>
  <c r="U21" i="91"/>
  <c r="BA44" i="90"/>
  <c r="N17" i="90"/>
  <c r="N10" i="90"/>
  <c r="L10" i="90" s="1"/>
  <c r="M20" i="90"/>
  <c r="L12" i="90"/>
  <c r="L18" i="90"/>
  <c r="L17" i="90"/>
  <c r="AD41" i="90"/>
  <c r="AD47" i="90" s="1"/>
  <c r="L11" i="90"/>
  <c r="N20" i="90"/>
  <c r="L13" i="90"/>
  <c r="M14" i="90"/>
  <c r="C17" i="90"/>
  <c r="B17" i="90"/>
  <c r="D17" i="90"/>
  <c r="BK84" i="89"/>
  <c r="BZ62" i="89"/>
  <c r="BY62" i="89"/>
  <c r="BZ61" i="89"/>
  <c r="BY61" i="89"/>
  <c r="CA60" i="89"/>
  <c r="BZ60" i="89"/>
  <c r="BZ63" i="89" s="1"/>
  <c r="C27" i="89" s="1"/>
  <c r="E27" i="89" s="1"/>
  <c r="BY60" i="89"/>
  <c r="BY63" i="89" s="1"/>
  <c r="C14" i="89" s="1"/>
  <c r="E14" i="89" s="1"/>
  <c r="BJ55" i="89"/>
  <c r="CF50" i="89"/>
  <c r="CE50" i="89"/>
  <c r="CE52" i="89" s="1"/>
  <c r="CD50" i="89"/>
  <c r="CC50" i="89"/>
  <c r="CB50" i="89"/>
  <c r="BZ50" i="89"/>
  <c r="BY50" i="89"/>
  <c r="BX50" i="89"/>
  <c r="BW50" i="89"/>
  <c r="BW52" i="89" s="1"/>
  <c r="BV50" i="89"/>
  <c r="BO50" i="89"/>
  <c r="BN50" i="89"/>
  <c r="BM50" i="89"/>
  <c r="BL50" i="89"/>
  <c r="BK50" i="89"/>
  <c r="CG49" i="89"/>
  <c r="CA49" i="89"/>
  <c r="CG48" i="89"/>
  <c r="CA48" i="89"/>
  <c r="CG47" i="89"/>
  <c r="CA47" i="89"/>
  <c r="CG46" i="89"/>
  <c r="CA46" i="89"/>
  <c r="CG45" i="89"/>
  <c r="CA45" i="89"/>
  <c r="CG44" i="89"/>
  <c r="CG50" i="89" s="1"/>
  <c r="CA44" i="89"/>
  <c r="CA50" i="89" s="1"/>
  <c r="CF42" i="89"/>
  <c r="CE42" i="89"/>
  <c r="CD42" i="89"/>
  <c r="CC42" i="89"/>
  <c r="CB42" i="89"/>
  <c r="BZ42" i="89"/>
  <c r="BY42" i="89"/>
  <c r="BX42" i="89"/>
  <c r="BW42" i="89"/>
  <c r="BV42" i="89"/>
  <c r="CG41" i="89"/>
  <c r="CA41" i="89"/>
  <c r="CG40" i="89"/>
  <c r="CA40" i="89"/>
  <c r="CG39" i="89"/>
  <c r="CA39" i="89"/>
  <c r="CG38" i="89"/>
  <c r="CA38" i="89"/>
  <c r="CG37" i="89"/>
  <c r="CA37" i="89"/>
  <c r="CG36" i="89"/>
  <c r="CA36" i="89"/>
  <c r="K36" i="89"/>
  <c r="CG35" i="89"/>
  <c r="CA35" i="89"/>
  <c r="N35" i="89"/>
  <c r="K35" i="89"/>
  <c r="CG34" i="89"/>
  <c r="CA34" i="89"/>
  <c r="CG33" i="89"/>
  <c r="CA33" i="89"/>
  <c r="CG32" i="89"/>
  <c r="CA32" i="89"/>
  <c r="C32" i="89"/>
  <c r="CG31" i="89"/>
  <c r="CA31" i="89"/>
  <c r="CG30" i="89"/>
  <c r="CG42" i="89" s="1"/>
  <c r="CA30" i="89"/>
  <c r="CA42" i="89" s="1"/>
  <c r="CF28" i="89"/>
  <c r="CE28" i="89"/>
  <c r="CD28" i="89"/>
  <c r="CC28" i="89"/>
  <c r="CB28" i="89"/>
  <c r="BZ28" i="89"/>
  <c r="BY28" i="89"/>
  <c r="BX28" i="89"/>
  <c r="BW28" i="89"/>
  <c r="BV28" i="89"/>
  <c r="CG27" i="89"/>
  <c r="CA27" i="89"/>
  <c r="CG26" i="89"/>
  <c r="CA26" i="89"/>
  <c r="E26" i="89"/>
  <c r="CG25" i="89"/>
  <c r="CA25" i="89"/>
  <c r="AS25" i="89"/>
  <c r="CG24" i="89"/>
  <c r="CA24" i="89"/>
  <c r="CG23" i="89"/>
  <c r="CA23" i="89"/>
  <c r="AF23" i="89"/>
  <c r="AE23" i="89"/>
  <c r="AD23" i="89"/>
  <c r="G26" i="89" s="1"/>
  <c r="G28" i="89" s="1"/>
  <c r="AC23" i="89"/>
  <c r="AB23" i="89"/>
  <c r="G13" i="89" s="1"/>
  <c r="G15" i="89" s="1"/>
  <c r="Y23" i="89"/>
  <c r="X23" i="89"/>
  <c r="W23" i="89"/>
  <c r="V23" i="89"/>
  <c r="U23" i="89"/>
  <c r="CG22" i="89"/>
  <c r="CA22" i="89"/>
  <c r="BD22" i="89"/>
  <c r="BC22" i="89"/>
  <c r="BB22" i="89"/>
  <c r="BA22" i="89"/>
  <c r="AZ22" i="89"/>
  <c r="AY22" i="89"/>
  <c r="AX22" i="89"/>
  <c r="AW22" i="89"/>
  <c r="AV22" i="89"/>
  <c r="AR22" i="89"/>
  <c r="AQ22" i="89"/>
  <c r="AP22" i="89"/>
  <c r="AO22" i="89"/>
  <c r="AN22" i="89"/>
  <c r="AM22" i="89"/>
  <c r="T22" i="89"/>
  <c r="S22" i="89"/>
  <c r="R22" i="89"/>
  <c r="Q22" i="89"/>
  <c r="P22" i="89"/>
  <c r="O22" i="89"/>
  <c r="N22" i="89"/>
  <c r="M22" i="89"/>
  <c r="L22" i="89"/>
  <c r="CG21" i="89"/>
  <c r="CA21" i="89"/>
  <c r="BE21" i="89"/>
  <c r="AS21" i="89"/>
  <c r="T21" i="89"/>
  <c r="S21" i="89"/>
  <c r="R21" i="89"/>
  <c r="Q21" i="89"/>
  <c r="P21" i="89"/>
  <c r="O21" i="89"/>
  <c r="N21" i="89"/>
  <c r="M21" i="89"/>
  <c r="L21" i="89"/>
  <c r="CG20" i="89"/>
  <c r="CA20" i="89"/>
  <c r="BE20" i="89"/>
  <c r="AS20" i="89"/>
  <c r="T20" i="89"/>
  <c r="S20" i="89"/>
  <c r="R20" i="89"/>
  <c r="Q20" i="89"/>
  <c r="P20" i="89"/>
  <c r="O20" i="89"/>
  <c r="N20" i="89"/>
  <c r="M20" i="89"/>
  <c r="L20" i="89"/>
  <c r="C20" i="89"/>
  <c r="CG19" i="89"/>
  <c r="CA19" i="89"/>
  <c r="BE19" i="89"/>
  <c r="AS19" i="89"/>
  <c r="T19" i="89"/>
  <c r="S19" i="89"/>
  <c r="R19" i="89"/>
  <c r="Q19" i="89"/>
  <c r="P19" i="89"/>
  <c r="O19" i="89"/>
  <c r="N19" i="89"/>
  <c r="M19" i="89"/>
  <c r="L19" i="89"/>
  <c r="CG18" i="89"/>
  <c r="CA18" i="89"/>
  <c r="BE18" i="89"/>
  <c r="AS18" i="89"/>
  <c r="T18" i="89"/>
  <c r="S18" i="89"/>
  <c r="R18" i="89"/>
  <c r="Q18" i="89"/>
  <c r="P18" i="89"/>
  <c r="O18" i="89"/>
  <c r="N18" i="89"/>
  <c r="M18" i="89"/>
  <c r="L18" i="89"/>
  <c r="CG17" i="89"/>
  <c r="CA17" i="89"/>
  <c r="BE17" i="89"/>
  <c r="AS17" i="89"/>
  <c r="T17" i="89"/>
  <c r="S17" i="89"/>
  <c r="R17" i="89"/>
  <c r="Q17" i="89"/>
  <c r="P17" i="89"/>
  <c r="O17" i="89"/>
  <c r="N17" i="89"/>
  <c r="M17" i="89"/>
  <c r="L17" i="89"/>
  <c r="CG16" i="89"/>
  <c r="CA16" i="89"/>
  <c r="BE16" i="89"/>
  <c r="AS16" i="89"/>
  <c r="T16" i="89"/>
  <c r="S16" i="89"/>
  <c r="R16" i="89"/>
  <c r="Q16" i="89"/>
  <c r="P16" i="89"/>
  <c r="O16" i="89"/>
  <c r="N16" i="89"/>
  <c r="M16" i="89"/>
  <c r="L16" i="89"/>
  <c r="CG15" i="89"/>
  <c r="CA15" i="89"/>
  <c r="BE15" i="89"/>
  <c r="AS15" i="89"/>
  <c r="T15" i="89"/>
  <c r="S15" i="89"/>
  <c r="R15" i="89"/>
  <c r="Q15" i="89"/>
  <c r="P15" i="89"/>
  <c r="O15" i="89"/>
  <c r="N15" i="89"/>
  <c r="M15" i="89"/>
  <c r="L15" i="89"/>
  <c r="CG14" i="89"/>
  <c r="CG28" i="89" s="1"/>
  <c r="CA14" i="89"/>
  <c r="CA28" i="89" s="1"/>
  <c r="BE14" i="89"/>
  <c r="AS14" i="89"/>
  <c r="T14" i="89"/>
  <c r="S14" i="89"/>
  <c r="R14" i="89"/>
  <c r="Q14" i="89"/>
  <c r="P14" i="89"/>
  <c r="O14" i="89"/>
  <c r="N14" i="89"/>
  <c r="M14" i="89"/>
  <c r="L14" i="89"/>
  <c r="BE13" i="89"/>
  <c r="AS13" i="89"/>
  <c r="AS29" i="89" s="1"/>
  <c r="T13" i="89"/>
  <c r="S13" i="89"/>
  <c r="R42" i="89" s="1"/>
  <c r="R13" i="89"/>
  <c r="Q13" i="89"/>
  <c r="P13" i="89"/>
  <c r="O13" i="89"/>
  <c r="N37" i="89" s="1"/>
  <c r="N13" i="89"/>
  <c r="M13" i="89"/>
  <c r="L13" i="89"/>
  <c r="K13" i="89"/>
  <c r="K37" i="89" s="1"/>
  <c r="E13" i="89"/>
  <c r="CG12" i="89"/>
  <c r="CG52" i="89" s="1"/>
  <c r="CF12" i="89"/>
  <c r="CF52" i="89" s="1"/>
  <c r="CE12" i="89"/>
  <c r="CD12" i="89"/>
  <c r="CD52" i="89" s="1"/>
  <c r="CC12" i="89"/>
  <c r="CC52" i="89" s="1"/>
  <c r="CB12" i="89"/>
  <c r="CB52" i="89" s="1"/>
  <c r="BZ12" i="89"/>
  <c r="BZ52" i="89" s="1"/>
  <c r="BY12" i="89"/>
  <c r="BY52" i="89" s="1"/>
  <c r="BX12" i="89"/>
  <c r="BX52" i="89" s="1"/>
  <c r="BW12" i="89"/>
  <c r="BV12" i="89"/>
  <c r="BV52" i="89" s="1"/>
  <c r="BE12" i="89"/>
  <c r="AS12" i="89"/>
  <c r="AA12" i="89"/>
  <c r="T12" i="89"/>
  <c r="S12" i="89"/>
  <c r="R12" i="89"/>
  <c r="Q12" i="89"/>
  <c r="P39" i="89" s="1"/>
  <c r="P12" i="89"/>
  <c r="O12" i="89"/>
  <c r="N12" i="89"/>
  <c r="M12" i="89"/>
  <c r="L38" i="89" s="1"/>
  <c r="L12" i="89"/>
  <c r="K12" i="89"/>
  <c r="CG11" i="89"/>
  <c r="CA11" i="89"/>
  <c r="BE11" i="89"/>
  <c r="AS11" i="89"/>
  <c r="AL11" i="89"/>
  <c r="AU11" i="89" s="1"/>
  <c r="AA11" i="89"/>
  <c r="T11" i="89"/>
  <c r="T23" i="89" s="1"/>
  <c r="S11" i="89"/>
  <c r="R46" i="89" s="1"/>
  <c r="R11" i="89"/>
  <c r="R23" i="89" s="1"/>
  <c r="Q11" i="89"/>
  <c r="P42" i="89" s="1"/>
  <c r="S42" i="89" s="1"/>
  <c r="P11" i="89"/>
  <c r="P23" i="89" s="1"/>
  <c r="O11" i="89"/>
  <c r="N44" i="89" s="1"/>
  <c r="N11" i="89"/>
  <c r="N23" i="89" s="1"/>
  <c r="M11" i="89"/>
  <c r="L46" i="89" s="1"/>
  <c r="L11" i="89"/>
  <c r="L23" i="89" s="1"/>
  <c r="CG10" i="89"/>
  <c r="CA10" i="89"/>
  <c r="BE10" i="89"/>
  <c r="BE22" i="89" s="1"/>
  <c r="C53" i="89" s="1"/>
  <c r="AU10" i="89"/>
  <c r="AS10" i="89"/>
  <c r="AS36" i="89" s="1"/>
  <c r="CG9" i="89"/>
  <c r="CA9" i="89"/>
  <c r="CG8" i="89"/>
  <c r="CA8" i="89"/>
  <c r="CG7" i="89"/>
  <c r="CA7" i="89"/>
  <c r="CG6" i="89"/>
  <c r="CA6" i="89"/>
  <c r="CG5" i="89"/>
  <c r="CA5" i="89"/>
  <c r="CA12" i="89" s="1"/>
  <c r="CA52" i="89" s="1"/>
  <c r="BC35" i="1"/>
  <c r="BC29" i="1"/>
  <c r="AJ35" i="1"/>
  <c r="AJ29" i="1"/>
  <c r="J35" i="1"/>
  <c r="J29" i="1"/>
  <c r="V4" i="88"/>
  <c r="AA4" i="88"/>
  <c r="AC4" i="88"/>
  <c r="V5" i="88"/>
  <c r="V8" i="88" s="1"/>
  <c r="AA5" i="88"/>
  <c r="V6" i="88"/>
  <c r="AC6" i="88" s="1"/>
  <c r="AA6" i="88"/>
  <c r="AA8" i="88" s="1"/>
  <c r="V7" i="88"/>
  <c r="AA7" i="88"/>
  <c r="AC7" i="88"/>
  <c r="Q8" i="88"/>
  <c r="R8" i="88"/>
  <c r="S8" i="88"/>
  <c r="T8" i="88"/>
  <c r="U8" i="88"/>
  <c r="X8" i="88"/>
  <c r="Y8" i="88"/>
  <c r="Z8" i="88"/>
  <c r="S13" i="88"/>
  <c r="V13" i="88" s="1"/>
  <c r="U13" i="88"/>
  <c r="AA13" i="88"/>
  <c r="AA40" i="88" s="1"/>
  <c r="V14" i="88"/>
  <c r="AA14" i="88"/>
  <c r="AA41" i="88" s="1"/>
  <c r="AC14" i="88"/>
  <c r="V15" i="88"/>
  <c r="AC15" i="88" s="1"/>
  <c r="AA15" i="88"/>
  <c r="V16" i="88"/>
  <c r="AC16" i="88" s="1"/>
  <c r="AA16" i="88"/>
  <c r="AA17" i="88" s="1"/>
  <c r="Q17" i="88"/>
  <c r="R17" i="88"/>
  <c r="S17" i="88"/>
  <c r="T17" i="88"/>
  <c r="U17" i="88"/>
  <c r="X17" i="88"/>
  <c r="Y17" i="88"/>
  <c r="Z17" i="88"/>
  <c r="R22" i="88"/>
  <c r="S22" i="88"/>
  <c r="V22" i="88" s="1"/>
  <c r="T22" i="88"/>
  <c r="U22" i="88"/>
  <c r="U26" i="88" s="1"/>
  <c r="AA22" i="88"/>
  <c r="U23" i="88"/>
  <c r="V23" i="88" s="1"/>
  <c r="AC23" i="88" s="1"/>
  <c r="Y23" i="88"/>
  <c r="AA23" i="88"/>
  <c r="AA26" i="88" s="1"/>
  <c r="T24" i="88"/>
  <c r="U24" i="88"/>
  <c r="V24" i="88"/>
  <c r="AC24" i="88" s="1"/>
  <c r="AA24" i="88"/>
  <c r="V25" i="88"/>
  <c r="AA25" i="88"/>
  <c r="AC25" i="88"/>
  <c r="Q26" i="88"/>
  <c r="R26" i="88"/>
  <c r="S26" i="88"/>
  <c r="T26" i="88"/>
  <c r="X26" i="88"/>
  <c r="Y26" i="88"/>
  <c r="Z26" i="88"/>
  <c r="R31" i="88"/>
  <c r="V31" i="88" s="1"/>
  <c r="AA31" i="88"/>
  <c r="R32" i="88"/>
  <c r="V32" i="88" s="1"/>
  <c r="AC32" i="88" s="1"/>
  <c r="AA32" i="88"/>
  <c r="V33" i="88"/>
  <c r="AC33" i="88" s="1"/>
  <c r="AA33" i="88"/>
  <c r="V34" i="88"/>
  <c r="AC34" i="88" s="1"/>
  <c r="AA34" i="88"/>
  <c r="AA35" i="88" s="1"/>
  <c r="Q35" i="88"/>
  <c r="S35" i="88"/>
  <c r="T35" i="88"/>
  <c r="U35" i="88"/>
  <c r="X35" i="88"/>
  <c r="Y35" i="88"/>
  <c r="Z35" i="88"/>
  <c r="Q40" i="88"/>
  <c r="T40" i="88"/>
  <c r="X40" i="88"/>
  <c r="Y40" i="88"/>
  <c r="Z40" i="88"/>
  <c r="Q41" i="88"/>
  <c r="S41" i="88"/>
  <c r="T41" i="88"/>
  <c r="U41" i="88"/>
  <c r="X41" i="88"/>
  <c r="Y41" i="88"/>
  <c r="E24" i="88" s="1"/>
  <c r="Z41" i="88"/>
  <c r="Z44" i="88" s="1"/>
  <c r="Q42" i="88"/>
  <c r="R42" i="88"/>
  <c r="V42" i="88" s="1"/>
  <c r="AC42" i="88" s="1"/>
  <c r="S42" i="88"/>
  <c r="T42" i="88"/>
  <c r="U42" i="88"/>
  <c r="X42" i="88"/>
  <c r="Y42" i="88"/>
  <c r="Z42" i="88"/>
  <c r="AA42" i="88"/>
  <c r="Q43" i="88"/>
  <c r="R43" i="88"/>
  <c r="V43" i="88" s="1"/>
  <c r="S43" i="88"/>
  <c r="T43" i="88"/>
  <c r="U43" i="88"/>
  <c r="X43" i="88"/>
  <c r="X44" i="88" s="1"/>
  <c r="Y43" i="88"/>
  <c r="Z43" i="88"/>
  <c r="T44" i="88"/>
  <c r="Y44" i="88"/>
  <c r="T51" i="88"/>
  <c r="T53" i="88" s="1"/>
  <c r="T52" i="88"/>
  <c r="B7" i="88"/>
  <c r="F7" i="88" s="1"/>
  <c r="B10" i="88"/>
  <c r="C10" i="88"/>
  <c r="E10" i="88"/>
  <c r="J10" i="88" s="1"/>
  <c r="B12" i="88"/>
  <c r="C12" i="88"/>
  <c r="D46" i="88" s="1"/>
  <c r="D48" i="88" s="1"/>
  <c r="D12" i="88"/>
  <c r="H16" i="88"/>
  <c r="I16" i="88" s="1"/>
  <c r="J16" i="88"/>
  <c r="B21" i="88"/>
  <c r="F21" i="88" s="1"/>
  <c r="C24" i="88"/>
  <c r="C56" i="88" s="1"/>
  <c r="I56" i="88" s="1"/>
  <c r="D26" i="88"/>
  <c r="D18" i="88" s="1"/>
  <c r="C31" i="88"/>
  <c r="D31" i="88"/>
  <c r="D36" i="88" s="1"/>
  <c r="E31" i="88"/>
  <c r="D34" i="88"/>
  <c r="D40" i="88"/>
  <c r="F40" i="88" s="1"/>
  <c r="C46" i="88"/>
  <c r="E46" i="88"/>
  <c r="E48" i="88" s="1"/>
  <c r="I46" i="88"/>
  <c r="C48" i="88"/>
  <c r="C53" i="88"/>
  <c r="D53" i="88"/>
  <c r="E53" i="88"/>
  <c r="C68" i="88"/>
  <c r="I68" i="88" s="1"/>
  <c r="E68" i="88"/>
  <c r="J68" i="88"/>
  <c r="E70" i="88"/>
  <c r="C75" i="88"/>
  <c r="D75" i="88"/>
  <c r="E75" i="88"/>
  <c r="E78" i="88"/>
  <c r="J78" i="88" s="1"/>
  <c r="C17" i="91" l="1"/>
  <c r="U53" i="105"/>
  <c r="N51" i="105"/>
  <c r="M53" i="105"/>
  <c r="L53" i="105"/>
  <c r="R54" i="105"/>
  <c r="U152" i="105"/>
  <c r="U150" i="105" s="1"/>
  <c r="D13" i="105" s="1"/>
  <c r="D14" i="105" s="1"/>
  <c r="D32" i="105" s="1"/>
  <c r="M52" i="105"/>
  <c r="L52" i="105"/>
  <c r="AA96" i="105"/>
  <c r="AE95" i="105"/>
  <c r="J54" i="105" s="1"/>
  <c r="AK97" i="105"/>
  <c r="Q55" i="105"/>
  <c r="I19" i="96"/>
  <c r="D17" i="96"/>
  <c r="I14" i="96"/>
  <c r="I23" i="96"/>
  <c r="H25" i="96"/>
  <c r="D20" i="96"/>
  <c r="J12" i="96"/>
  <c r="D12" i="96" s="1"/>
  <c r="D14" i="96" s="1"/>
  <c r="D35" i="96"/>
  <c r="I24" i="96"/>
  <c r="D24" i="96" s="1"/>
  <c r="D13" i="96"/>
  <c r="J17" i="96"/>
  <c r="J19" i="96" s="1"/>
  <c r="D38" i="96"/>
  <c r="D36" i="96"/>
  <c r="D18" i="96"/>
  <c r="AD23" i="91"/>
  <c r="N22" i="90"/>
  <c r="N28" i="90" s="1"/>
  <c r="D10" i="90" s="1"/>
  <c r="M22" i="90"/>
  <c r="M28" i="90" s="1"/>
  <c r="C9" i="90" s="1"/>
  <c r="B9" i="90" s="1"/>
  <c r="N14" i="90"/>
  <c r="L20" i="90"/>
  <c r="B10" i="90"/>
  <c r="D11" i="90"/>
  <c r="D20" i="90" s="1"/>
  <c r="L14" i="90"/>
  <c r="L22" i="90" s="1"/>
  <c r="C55" i="89"/>
  <c r="E53" i="89"/>
  <c r="E15" i="89"/>
  <c r="L29" i="89"/>
  <c r="C69" i="89" s="1"/>
  <c r="P29" i="89"/>
  <c r="C70" i="89" s="1"/>
  <c r="E28" i="89"/>
  <c r="AS33" i="89"/>
  <c r="P36" i="89"/>
  <c r="N41" i="89"/>
  <c r="L42" i="89"/>
  <c r="N43" i="89"/>
  <c r="N45" i="89"/>
  <c r="N46" i="89"/>
  <c r="O46" i="89" s="1"/>
  <c r="AL12" i="89"/>
  <c r="C13" i="89"/>
  <c r="C15" i="89" s="1"/>
  <c r="K14" i="89"/>
  <c r="AS22" i="89"/>
  <c r="C46" i="89" s="1"/>
  <c r="O23" i="89"/>
  <c r="S23" i="89"/>
  <c r="AS28" i="89"/>
  <c r="AS31" i="89"/>
  <c r="AS32" i="89"/>
  <c r="AS35" i="89"/>
  <c r="L36" i="89"/>
  <c r="R36" i="89"/>
  <c r="N38" i="89"/>
  <c r="O38" i="89" s="1"/>
  <c r="L39" i="89"/>
  <c r="R39" i="89"/>
  <c r="S39" i="89" s="1"/>
  <c r="P40" i="89"/>
  <c r="S40" i="89" s="1"/>
  <c r="N42" i="89"/>
  <c r="P44" i="89"/>
  <c r="R38" i="89"/>
  <c r="AA13" i="89"/>
  <c r="AS26" i="89"/>
  <c r="AS30" i="89"/>
  <c r="P35" i="89"/>
  <c r="S35" i="89" s="1"/>
  <c r="N36" i="89"/>
  <c r="P37" i="89"/>
  <c r="N39" i="89"/>
  <c r="L40" i="89"/>
  <c r="O40" i="89" s="1"/>
  <c r="R40" i="89"/>
  <c r="P41" i="89"/>
  <c r="P43" i="89"/>
  <c r="L44" i="89"/>
  <c r="O44" i="89" s="1"/>
  <c r="R44" i="89"/>
  <c r="P45" i="89"/>
  <c r="P46" i="89"/>
  <c r="S46" i="89" s="1"/>
  <c r="M23" i="89"/>
  <c r="L30" i="89" s="1"/>
  <c r="C65" i="89" s="1"/>
  <c r="Q23" i="89"/>
  <c r="P30" i="89" s="1"/>
  <c r="C66" i="89" s="1"/>
  <c r="C26" i="89"/>
  <c r="C28" i="89" s="1"/>
  <c r="AS27" i="89"/>
  <c r="AS34" i="89"/>
  <c r="L35" i="89"/>
  <c r="O35" i="89" s="1"/>
  <c r="R35" i="89"/>
  <c r="L37" i="89"/>
  <c r="O37" i="89" s="1"/>
  <c r="R37" i="89"/>
  <c r="P38" i="89"/>
  <c r="S38" i="89" s="1"/>
  <c r="N40" i="89"/>
  <c r="L41" i="89"/>
  <c r="R41" i="89"/>
  <c r="L43" i="89"/>
  <c r="O43" i="89" s="1"/>
  <c r="R43" i="89"/>
  <c r="L45" i="89"/>
  <c r="O45" i="89" s="1"/>
  <c r="R45" i="89"/>
  <c r="E56" i="88"/>
  <c r="E58" i="88" s="1"/>
  <c r="V41" i="88"/>
  <c r="AC41" i="88" s="1"/>
  <c r="V35" i="88"/>
  <c r="AC31" i="88"/>
  <c r="AC35" i="88" s="1"/>
  <c r="V17" i="88"/>
  <c r="AC13" i="88"/>
  <c r="AC17" i="88" s="1"/>
  <c r="V26" i="88"/>
  <c r="AC22" i="88"/>
  <c r="AC26" i="88" s="1"/>
  <c r="C26" i="88"/>
  <c r="C18" i="88" s="1"/>
  <c r="C58" i="88"/>
  <c r="B24" i="88"/>
  <c r="AA43" i="88"/>
  <c r="AA44" i="88" s="1"/>
  <c r="AC5" i="88"/>
  <c r="AC8" i="88" s="1"/>
  <c r="E80" i="88"/>
  <c r="I24" i="88"/>
  <c r="C34" i="88"/>
  <c r="C36" i="88" s="1"/>
  <c r="S40" i="88"/>
  <c r="S44" i="88" s="1"/>
  <c r="R35" i="88"/>
  <c r="E12" i="88"/>
  <c r="F10" i="88"/>
  <c r="R40" i="88"/>
  <c r="J46" i="88"/>
  <c r="H10" i="88"/>
  <c r="Q44" i="88"/>
  <c r="R41" i="88"/>
  <c r="U40" i="88"/>
  <c r="U44" i="88" s="1"/>
  <c r="H21" i="88"/>
  <c r="J21" i="88"/>
  <c r="I21" i="88"/>
  <c r="J7" i="88"/>
  <c r="J12" i="88" s="1"/>
  <c r="I7" i="88"/>
  <c r="H7" i="88"/>
  <c r="F12" i="88"/>
  <c r="C78" i="88"/>
  <c r="D56" i="88"/>
  <c r="E34" i="88"/>
  <c r="E36" i="88" s="1"/>
  <c r="B31" i="88"/>
  <c r="J56" i="88"/>
  <c r="J24" i="88"/>
  <c r="I10" i="88"/>
  <c r="B26" i="88"/>
  <c r="B65" i="88" s="1"/>
  <c r="C70" i="88"/>
  <c r="E26" i="88"/>
  <c r="E18" i="88" s="1"/>
  <c r="R55" i="105" l="1"/>
  <c r="AK98" i="105"/>
  <c r="Q56" i="105"/>
  <c r="R56" i="105" s="1"/>
  <c r="N52" i="105"/>
  <c r="K54" i="105"/>
  <c r="N152" i="105"/>
  <c r="N150" i="105" s="1"/>
  <c r="C13" i="105" s="1"/>
  <c r="C14" i="105" s="1"/>
  <c r="C32" i="105" s="1"/>
  <c r="N53" i="105"/>
  <c r="T54" i="105"/>
  <c r="S54" i="105"/>
  <c r="R152" i="105" s="1"/>
  <c r="AA97" i="105"/>
  <c r="AE96" i="105"/>
  <c r="J55" i="105" s="1"/>
  <c r="D19" i="96"/>
  <c r="D21" i="96" s="1"/>
  <c r="J23" i="96"/>
  <c r="J25" i="96" s="1"/>
  <c r="J14" i="96"/>
  <c r="I25" i="96"/>
  <c r="D23" i="96"/>
  <c r="D25" i="96" s="1"/>
  <c r="L28" i="90"/>
  <c r="B11" i="90"/>
  <c r="B20" i="90" s="1"/>
  <c r="C11" i="90"/>
  <c r="C20" i="90" s="1"/>
  <c r="C48" i="89"/>
  <c r="E46" i="89" s="1"/>
  <c r="C67" i="89"/>
  <c r="O36" i="89"/>
  <c r="K38" i="89"/>
  <c r="AA14" i="89"/>
  <c r="K15" i="89"/>
  <c r="S36" i="89"/>
  <c r="C71" i="89"/>
  <c r="G55" i="89" s="1"/>
  <c r="E54" i="89"/>
  <c r="E55" i="89"/>
  <c r="S43" i="89"/>
  <c r="S44" i="89"/>
  <c r="O39" i="89"/>
  <c r="C57" i="89"/>
  <c r="O41" i="89"/>
  <c r="S45" i="89"/>
  <c r="S41" i="89"/>
  <c r="S37" i="89"/>
  <c r="AL13" i="89"/>
  <c r="AU12" i="89"/>
  <c r="O42" i="89"/>
  <c r="I34" i="88"/>
  <c r="V40" i="88"/>
  <c r="R44" i="88"/>
  <c r="AC43" i="88"/>
  <c r="B34" i="88"/>
  <c r="H24" i="88"/>
  <c r="H34" i="88" s="1"/>
  <c r="F24" i="88"/>
  <c r="F26" i="88" s="1"/>
  <c r="J26" i="88"/>
  <c r="J31" i="88"/>
  <c r="B18" i="88"/>
  <c r="F18" i="88" s="1"/>
  <c r="B43" i="88"/>
  <c r="B36" i="88"/>
  <c r="F31" i="88"/>
  <c r="K10" i="88"/>
  <c r="K7" i="88"/>
  <c r="H12" i="88"/>
  <c r="F34" i="88"/>
  <c r="K21" i="88"/>
  <c r="K26" i="88" s="1"/>
  <c r="H26" i="88"/>
  <c r="H31" i="88"/>
  <c r="I78" i="88"/>
  <c r="C80" i="88"/>
  <c r="F65" i="88"/>
  <c r="B68" i="88"/>
  <c r="B70" i="88" s="1"/>
  <c r="K24" i="88"/>
  <c r="J34" i="88"/>
  <c r="K34" i="88" s="1"/>
  <c r="D62" i="88"/>
  <c r="D58" i="88"/>
  <c r="I12" i="88"/>
  <c r="I31" i="88"/>
  <c r="I36" i="88" s="1"/>
  <c r="I26" i="88"/>
  <c r="U54" i="105" l="1"/>
  <c r="S152" i="105" s="1"/>
  <c r="T56" i="105"/>
  <c r="S56" i="105"/>
  <c r="K55" i="105"/>
  <c r="M54" i="105"/>
  <c r="L54" i="105"/>
  <c r="K152" i="105" s="1"/>
  <c r="AK99" i="105"/>
  <c r="Q57" i="105"/>
  <c r="R57" i="105" s="1"/>
  <c r="T55" i="105"/>
  <c r="S55" i="105"/>
  <c r="AA98" i="105"/>
  <c r="AE97" i="105"/>
  <c r="J56" i="105" s="1"/>
  <c r="K56" i="105" s="1"/>
  <c r="T152" i="105"/>
  <c r="T150" i="105" s="1"/>
  <c r="D6" i="105" s="1"/>
  <c r="D8" i="105" s="1"/>
  <c r="D24" i="105" s="1"/>
  <c r="E47" i="89"/>
  <c r="E48" i="89" s="1"/>
  <c r="AA15" i="89"/>
  <c r="K16" i="89"/>
  <c r="K39" i="89"/>
  <c r="C73" i="89"/>
  <c r="G48" i="89"/>
  <c r="G57" i="89" s="1"/>
  <c r="E73" i="89" s="1"/>
  <c r="AL14" i="89"/>
  <c r="AU13" i="89"/>
  <c r="G53" i="89"/>
  <c r="G11" i="89" s="1"/>
  <c r="G18" i="89" s="1"/>
  <c r="V44" i="88"/>
  <c r="AC40" i="88"/>
  <c r="AC44" i="88" s="1"/>
  <c r="T54" i="88" s="1"/>
  <c r="T55" i="88" s="1"/>
  <c r="H68" i="88"/>
  <c r="K68" i="88" s="1"/>
  <c r="F43" i="88"/>
  <c r="B46" i="88"/>
  <c r="B48" i="88"/>
  <c r="B53" i="88"/>
  <c r="F62" i="88"/>
  <c r="D68" i="88"/>
  <c r="F68" i="88" s="1"/>
  <c r="F70" i="88" s="1"/>
  <c r="J65" i="88"/>
  <c r="J70" i="88" s="1"/>
  <c r="H65" i="88"/>
  <c r="I65" i="88"/>
  <c r="I70" i="88" s="1"/>
  <c r="H36" i="88"/>
  <c r="K31" i="88"/>
  <c r="K36" i="88" s="1"/>
  <c r="F36" i="88"/>
  <c r="J36" i="88"/>
  <c r="B75" i="88"/>
  <c r="K12" i="88"/>
  <c r="AK100" i="105" l="1"/>
  <c r="Q58" i="105"/>
  <c r="M55" i="105"/>
  <c r="L55" i="105"/>
  <c r="U56" i="105"/>
  <c r="T57" i="105"/>
  <c r="S57" i="105"/>
  <c r="M56" i="105"/>
  <c r="L56" i="105"/>
  <c r="U55" i="105"/>
  <c r="N54" i="105"/>
  <c r="L152" i="105" s="1"/>
  <c r="M152" i="105"/>
  <c r="M150" i="105" s="1"/>
  <c r="C6" i="105" s="1"/>
  <c r="C8" i="105" s="1"/>
  <c r="C24" i="105" s="1"/>
  <c r="AA99" i="105"/>
  <c r="AE98" i="105"/>
  <c r="J57" i="105" s="1"/>
  <c r="K57" i="105" s="1"/>
  <c r="AU14" i="89"/>
  <c r="AL15" i="89"/>
  <c r="K17" i="89"/>
  <c r="K40" i="89"/>
  <c r="AA16" i="89"/>
  <c r="G54" i="89"/>
  <c r="G24" i="89" s="1"/>
  <c r="G30" i="89" s="1"/>
  <c r="G46" i="89"/>
  <c r="E11" i="89" s="1"/>
  <c r="J43" i="88"/>
  <c r="J48" i="88" s="1"/>
  <c r="H43" i="88"/>
  <c r="I43" i="88"/>
  <c r="I48" i="88" s="1"/>
  <c r="F48" i="88"/>
  <c r="H70" i="88"/>
  <c r="K65" i="88"/>
  <c r="K70" i="88" s="1"/>
  <c r="F53" i="88"/>
  <c r="F75" i="88"/>
  <c r="D70" i="88"/>
  <c r="D78" i="88"/>
  <c r="D80" i="88" s="1"/>
  <c r="B56" i="88"/>
  <c r="B58" i="88" s="1"/>
  <c r="F46" i="88"/>
  <c r="H46" i="88"/>
  <c r="K46" i="88" s="1"/>
  <c r="B78" i="88"/>
  <c r="N56" i="105" l="1"/>
  <c r="R58" i="105"/>
  <c r="AK101" i="105"/>
  <c r="Q59" i="105"/>
  <c r="M57" i="105"/>
  <c r="L57" i="105"/>
  <c r="AA100" i="105"/>
  <c r="AE99" i="105"/>
  <c r="J58" i="105" s="1"/>
  <c r="K58" i="105" s="1"/>
  <c r="U57" i="105"/>
  <c r="N55" i="105"/>
  <c r="G47" i="89"/>
  <c r="E24" i="89" s="1"/>
  <c r="AU15" i="89"/>
  <c r="AL16" i="89"/>
  <c r="C11" i="89"/>
  <c r="C18" i="89" s="1"/>
  <c r="E18" i="89"/>
  <c r="K18" i="89"/>
  <c r="K41" i="89"/>
  <c r="AA17" i="89"/>
  <c r="H53" i="88"/>
  <c r="I53" i="88"/>
  <c r="I58" i="88" s="1"/>
  <c r="F58" i="88"/>
  <c r="J53" i="88"/>
  <c r="J58" i="88" s="1"/>
  <c r="F78" i="88"/>
  <c r="H78" i="88"/>
  <c r="K78" i="88" s="1"/>
  <c r="B80" i="88"/>
  <c r="K43" i="88"/>
  <c r="K48" i="88" s="1"/>
  <c r="H48" i="88"/>
  <c r="F56" i="88"/>
  <c r="H56" i="88"/>
  <c r="K56" i="88" s="1"/>
  <c r="H75" i="88"/>
  <c r="I75" i="88"/>
  <c r="I80" i="88" s="1"/>
  <c r="F80" i="88"/>
  <c r="J75" i="88"/>
  <c r="J80" i="88" s="1"/>
  <c r="N57" i="105" l="1"/>
  <c r="M58" i="105"/>
  <c r="L58" i="105"/>
  <c r="T58" i="105"/>
  <c r="S58" i="105"/>
  <c r="R59" i="105"/>
  <c r="AK102" i="105"/>
  <c r="Q60" i="105"/>
  <c r="R60" i="105" s="1"/>
  <c r="AA101" i="105"/>
  <c r="AE100" i="105"/>
  <c r="J59" i="105" s="1"/>
  <c r="K59" i="105" s="1"/>
  <c r="AU16" i="89"/>
  <c r="AL17" i="89"/>
  <c r="K42" i="89"/>
  <c r="AA18" i="89"/>
  <c r="K19" i="89"/>
  <c r="C24" i="89"/>
  <c r="C30" i="89" s="1"/>
  <c r="E30" i="89"/>
  <c r="K75" i="88"/>
  <c r="K80" i="88" s="1"/>
  <c r="H80" i="88"/>
  <c r="H58" i="88"/>
  <c r="K53" i="88"/>
  <c r="K58" i="88" s="1"/>
  <c r="AA102" i="105" l="1"/>
  <c r="AE101" i="105"/>
  <c r="J60" i="105" s="1"/>
  <c r="T60" i="105"/>
  <c r="S60" i="105"/>
  <c r="N58" i="105"/>
  <c r="AK103" i="105"/>
  <c r="Q61" i="105"/>
  <c r="U58" i="105"/>
  <c r="M59" i="105"/>
  <c r="L59" i="105"/>
  <c r="T59" i="105"/>
  <c r="S59" i="105"/>
  <c r="AL18" i="89"/>
  <c r="AU17" i="89"/>
  <c r="K43" i="89"/>
  <c r="K20" i="89"/>
  <c r="AA19" i="89"/>
  <c r="I35" i="1"/>
  <c r="I15" i="1"/>
  <c r="I14" i="1"/>
  <c r="CB7" i="87"/>
  <c r="CC7" i="87"/>
  <c r="CA12" i="87"/>
  <c r="CA32" i="87"/>
  <c r="CA5" i="87" s="1"/>
  <c r="CB32" i="87"/>
  <c r="CB9" i="87" s="1"/>
  <c r="CC48" i="87"/>
  <c r="CC10" i="87" s="1"/>
  <c r="CB64" i="87"/>
  <c r="CB11" i="87" s="1"/>
  <c r="CA64" i="87"/>
  <c r="CA6" i="87" s="1"/>
  <c r="BY6" i="87" s="1"/>
  <c r="L20" i="87"/>
  <c r="L22" i="87" s="1"/>
  <c r="M20" i="87"/>
  <c r="M22" i="87" s="1"/>
  <c r="P20" i="87"/>
  <c r="P22" i="87" s="1"/>
  <c r="Q20" i="87"/>
  <c r="Q22" i="87" s="1"/>
  <c r="T20" i="87"/>
  <c r="T22" i="87" s="1"/>
  <c r="BQ10" i="87"/>
  <c r="BP10" i="87"/>
  <c r="BO10" i="87"/>
  <c r="BN10" i="87"/>
  <c r="BM10" i="87"/>
  <c r="BL10" i="87"/>
  <c r="BK10" i="87"/>
  <c r="BJ10" i="87"/>
  <c r="BI10" i="87"/>
  <c r="BH10" i="87"/>
  <c r="BG10" i="87"/>
  <c r="BF10" i="87"/>
  <c r="BR9" i="87"/>
  <c r="BR8" i="87"/>
  <c r="BR10" i="87" s="1"/>
  <c r="AX9" i="87"/>
  <c r="AX10" i="87"/>
  <c r="AA11" i="87" s="1"/>
  <c r="AD11" i="87" s="1"/>
  <c r="AX11" i="87"/>
  <c r="AA12" i="87" s="1"/>
  <c r="AX12" i="87"/>
  <c r="AX13" i="87"/>
  <c r="AX14" i="87"/>
  <c r="AA15" i="87" s="1"/>
  <c r="AD15" i="87" s="1"/>
  <c r="AX15" i="87"/>
  <c r="AA24" i="87" s="1"/>
  <c r="AD24" i="87" s="1"/>
  <c r="AX16" i="87"/>
  <c r="AX17" i="87"/>
  <c r="AA21" i="87" s="1"/>
  <c r="AD21" i="87" s="1"/>
  <c r="AL18" i="87"/>
  <c r="AM18" i="87"/>
  <c r="AN18" i="87"/>
  <c r="AO18" i="87"/>
  <c r="AO20" i="87" s="1"/>
  <c r="AP18" i="87"/>
  <c r="AP20" i="87" s="1"/>
  <c r="AQ18" i="87"/>
  <c r="AQ20" i="87" s="1"/>
  <c r="AR18" i="87"/>
  <c r="AS18" i="87"/>
  <c r="AS20" i="87" s="1"/>
  <c r="AT18" i="87"/>
  <c r="AT20" i="87" s="1"/>
  <c r="AU18" i="87"/>
  <c r="AU20" i="87" s="1"/>
  <c r="AV18" i="87"/>
  <c r="AW18" i="87"/>
  <c r="AW20" i="87" s="1"/>
  <c r="AL20" i="87"/>
  <c r="AM20" i="87"/>
  <c r="AN20" i="87"/>
  <c r="AR20" i="87"/>
  <c r="AV20" i="87"/>
  <c r="AX24" i="87"/>
  <c r="AX33" i="87" s="1"/>
  <c r="AX35" i="87" s="1"/>
  <c r="AX25" i="87"/>
  <c r="AX26" i="87"/>
  <c r="AX27" i="87"/>
  <c r="AX28" i="87"/>
  <c r="AX29" i="87"/>
  <c r="AX30" i="87"/>
  <c r="AX31" i="87"/>
  <c r="AX32" i="87"/>
  <c r="AL33" i="87"/>
  <c r="AL35" i="87" s="1"/>
  <c r="AM33" i="87"/>
  <c r="AN33" i="87"/>
  <c r="AO33" i="87"/>
  <c r="AP33" i="87"/>
  <c r="AP35" i="87" s="1"/>
  <c r="AQ33" i="87"/>
  <c r="AQ35" i="87" s="1"/>
  <c r="AR33" i="87"/>
  <c r="AR35" i="87" s="1"/>
  <c r="AS33" i="87"/>
  <c r="AS35" i="87" s="1"/>
  <c r="AT33" i="87"/>
  <c r="AT35" i="87" s="1"/>
  <c r="AU33" i="87"/>
  <c r="AV33" i="87"/>
  <c r="AV35" i="87" s="1"/>
  <c r="AW33" i="87"/>
  <c r="AW35" i="87" s="1"/>
  <c r="AM35" i="87"/>
  <c r="AN35" i="87"/>
  <c r="AO35" i="87"/>
  <c r="AU35" i="87"/>
  <c r="AA13" i="87"/>
  <c r="AD13" i="87" s="1"/>
  <c r="AA14" i="87"/>
  <c r="AD14" i="87" s="1"/>
  <c r="AD16" i="87"/>
  <c r="AA20" i="87"/>
  <c r="AD20" i="87" s="1"/>
  <c r="AC22" i="87"/>
  <c r="E15" i="87" s="1"/>
  <c r="I9" i="87"/>
  <c r="J9" i="87"/>
  <c r="K9" i="87"/>
  <c r="L9" i="87"/>
  <c r="M9" i="87"/>
  <c r="N9" i="87"/>
  <c r="O9" i="87"/>
  <c r="P9" i="87"/>
  <c r="Q9" i="87"/>
  <c r="R9" i="87"/>
  <c r="S9" i="87"/>
  <c r="T9" i="87"/>
  <c r="I11" i="87"/>
  <c r="L11" i="87"/>
  <c r="M11" i="87"/>
  <c r="P11" i="87"/>
  <c r="Q11" i="87"/>
  <c r="T11" i="87"/>
  <c r="I14" i="87"/>
  <c r="I16" i="87" s="1"/>
  <c r="J14" i="87"/>
  <c r="J16" i="87" s="1"/>
  <c r="K14" i="87"/>
  <c r="K16" i="87" s="1"/>
  <c r="L14" i="87"/>
  <c r="L16" i="87" s="1"/>
  <c r="M14" i="87"/>
  <c r="M16" i="87" s="1"/>
  <c r="N14" i="87"/>
  <c r="N16" i="87" s="1"/>
  <c r="O14" i="87"/>
  <c r="O16" i="87" s="1"/>
  <c r="P14" i="87"/>
  <c r="P16" i="87" s="1"/>
  <c r="Q14" i="87"/>
  <c r="Q16" i="87" s="1"/>
  <c r="R14" i="87"/>
  <c r="R16" i="87" s="1"/>
  <c r="S14" i="87"/>
  <c r="S16" i="87" s="1"/>
  <c r="T14" i="87"/>
  <c r="T16" i="87" s="1"/>
  <c r="J20" i="87"/>
  <c r="J22" i="87" s="1"/>
  <c r="J26" i="87" s="1"/>
  <c r="K20" i="87"/>
  <c r="K22" i="87" s="1"/>
  <c r="K26" i="87" s="1"/>
  <c r="N20" i="87"/>
  <c r="O20" i="87"/>
  <c r="O22" i="87" s="1"/>
  <c r="O26" i="87" s="1"/>
  <c r="R20" i="87"/>
  <c r="R22" i="87" s="1"/>
  <c r="R26" i="87" s="1"/>
  <c r="S20" i="87"/>
  <c r="S22" i="87" s="1"/>
  <c r="S26" i="87" s="1"/>
  <c r="N22" i="87"/>
  <c r="R61" i="105" l="1"/>
  <c r="N59" i="105"/>
  <c r="AK104" i="105"/>
  <c r="Q62" i="105"/>
  <c r="R62" i="105" s="1"/>
  <c r="U59" i="105"/>
  <c r="U60" i="105"/>
  <c r="K60" i="105"/>
  <c r="AA103" i="105"/>
  <c r="AE102" i="105"/>
  <c r="J61" i="105" s="1"/>
  <c r="K61" i="105" s="1"/>
  <c r="K21" i="89"/>
  <c r="K44" i="89"/>
  <c r="AA20" i="89"/>
  <c r="AL19" i="89"/>
  <c r="AU18" i="89"/>
  <c r="CC12" i="87"/>
  <c r="CC14" i="87" s="1"/>
  <c r="BY10" i="87"/>
  <c r="BY9" i="87"/>
  <c r="CB12" i="87"/>
  <c r="CB14" i="87" s="1"/>
  <c r="BY11" i="87"/>
  <c r="E20" i="87"/>
  <c r="E22" i="87" s="1"/>
  <c r="BY5" i="87"/>
  <c r="BY7" i="87" s="1"/>
  <c r="CA7" i="87"/>
  <c r="CA14" i="87" s="1"/>
  <c r="R11" i="87"/>
  <c r="I20" i="87"/>
  <c r="I22" i="87" s="1"/>
  <c r="I26" i="87" s="1"/>
  <c r="AX18" i="87"/>
  <c r="AX20" i="87" s="1"/>
  <c r="AX46" i="87" s="1"/>
  <c r="AA22" i="87"/>
  <c r="E14" i="87" s="1"/>
  <c r="J11" i="87"/>
  <c r="N26" i="87"/>
  <c r="AA10" i="87"/>
  <c r="AD10" i="87" s="1"/>
  <c r="U25" i="87"/>
  <c r="U10" i="87"/>
  <c r="N11" i="87"/>
  <c r="N18" i="87" s="1"/>
  <c r="AC17" i="87"/>
  <c r="E25" i="87" s="1"/>
  <c r="F26" i="87" s="1"/>
  <c r="AD22" i="87"/>
  <c r="AD12" i="87"/>
  <c r="U20" i="87"/>
  <c r="U22" i="87" s="1"/>
  <c r="Q26" i="87"/>
  <c r="M26" i="87"/>
  <c r="S11" i="87"/>
  <c r="S18" i="87" s="1"/>
  <c r="S28" i="87" s="1"/>
  <c r="O11" i="87"/>
  <c r="O18" i="87" s="1"/>
  <c r="O28" i="87" s="1"/>
  <c r="K11" i="87"/>
  <c r="K18" i="87" s="1"/>
  <c r="K28" i="87" s="1"/>
  <c r="E16" i="87"/>
  <c r="R18" i="87"/>
  <c r="R28" i="87" s="1"/>
  <c r="J18" i="87"/>
  <c r="J28" i="87" s="1"/>
  <c r="T26" i="87"/>
  <c r="P26" i="87"/>
  <c r="L26" i="87"/>
  <c r="U9" i="87"/>
  <c r="U11" i="87" s="1"/>
  <c r="Q18" i="87"/>
  <c r="Q28" i="87" s="1"/>
  <c r="M18" i="87"/>
  <c r="I18" i="87"/>
  <c r="T18" i="87"/>
  <c r="P18" i="87"/>
  <c r="L18" i="87"/>
  <c r="U14" i="87"/>
  <c r="U16" i="87" s="1"/>
  <c r="M60" i="105" l="1"/>
  <c r="L60" i="105"/>
  <c r="M61" i="105"/>
  <c r="L61" i="105"/>
  <c r="T62" i="105"/>
  <c r="S62" i="105"/>
  <c r="AA104" i="105"/>
  <c r="AE103" i="105"/>
  <c r="J62" i="105" s="1"/>
  <c r="K62" i="105" s="1"/>
  <c r="AK105" i="105"/>
  <c r="Q63" i="105"/>
  <c r="R63" i="105" s="1"/>
  <c r="T61" i="105"/>
  <c r="S61" i="105"/>
  <c r="AL20" i="89"/>
  <c r="AU19" i="89"/>
  <c r="K45" i="89"/>
  <c r="K22" i="89"/>
  <c r="AA21" i="89"/>
  <c r="T28" i="87"/>
  <c r="U26" i="87"/>
  <c r="N28" i="87"/>
  <c r="BY12" i="87"/>
  <c r="BY14" i="87" s="1"/>
  <c r="AD17" i="87"/>
  <c r="AD23" i="87" s="1"/>
  <c r="AA17" i="87"/>
  <c r="AC23" i="87"/>
  <c r="P28" i="87"/>
  <c r="I28" i="87"/>
  <c r="E10" i="87"/>
  <c r="M28" i="87"/>
  <c r="U18" i="87"/>
  <c r="U28" i="87" s="1"/>
  <c r="E9" i="87"/>
  <c r="E11" i="87" s="1"/>
  <c r="F18" i="87" s="1"/>
  <c r="F28" i="87" s="1"/>
  <c r="AA23" i="87"/>
  <c r="L28" i="87"/>
  <c r="M62" i="105" l="1"/>
  <c r="L62" i="105"/>
  <c r="U62" i="105"/>
  <c r="N61" i="105"/>
  <c r="U61" i="105"/>
  <c r="AA105" i="105"/>
  <c r="AE104" i="105"/>
  <c r="J63" i="105" s="1"/>
  <c r="K63" i="105" s="1"/>
  <c r="AK106" i="105"/>
  <c r="Q64" i="105"/>
  <c r="R64" i="105" s="1"/>
  <c r="T63" i="105"/>
  <c r="S63" i="105"/>
  <c r="N60" i="105"/>
  <c r="K46" i="89"/>
  <c r="AA22" i="89"/>
  <c r="AU20" i="89"/>
  <c r="AL21" i="89"/>
  <c r="AU21" i="89" s="1"/>
  <c r="H78" i="1"/>
  <c r="M53" i="86"/>
  <c r="L53" i="86"/>
  <c r="K53" i="86"/>
  <c r="AI52" i="86"/>
  <c r="AH52" i="86"/>
  <c r="AE52" i="86"/>
  <c r="AC52" i="86"/>
  <c r="AB52" i="86"/>
  <c r="AA52" i="86"/>
  <c r="AG52" i="86" s="1"/>
  <c r="Z52" i="86"/>
  <c r="AF52" i="86" s="1"/>
  <c r="Y52" i="86"/>
  <c r="AG51" i="86"/>
  <c r="AF51" i="86"/>
  <c r="AC51" i="86"/>
  <c r="AI51" i="86" s="1"/>
  <c r="AB51" i="86"/>
  <c r="AH51" i="86" s="1"/>
  <c r="AA51" i="86"/>
  <c r="Z51" i="86"/>
  <c r="Y51" i="86"/>
  <c r="AE51" i="86" s="1"/>
  <c r="AI50" i="86"/>
  <c r="AH50" i="86"/>
  <c r="AE50" i="86"/>
  <c r="AC50" i="86"/>
  <c r="AB50" i="86"/>
  <c r="AA50" i="86"/>
  <c r="AG50" i="86" s="1"/>
  <c r="Z50" i="86"/>
  <c r="AF50" i="86" s="1"/>
  <c r="Y50" i="86"/>
  <c r="AG49" i="86"/>
  <c r="AF49" i="86"/>
  <c r="AC49" i="86"/>
  <c r="AI49" i="86" s="1"/>
  <c r="AB49" i="86"/>
  <c r="AH49" i="86" s="1"/>
  <c r="AA49" i="86"/>
  <c r="Z49" i="86"/>
  <c r="Y49" i="86"/>
  <c r="AE49" i="86" s="1"/>
  <c r="AI48" i="86"/>
  <c r="AH48" i="86"/>
  <c r="AE48" i="86"/>
  <c r="AC48" i="86"/>
  <c r="AB48" i="86"/>
  <c r="AA48" i="86"/>
  <c r="AG48" i="86" s="1"/>
  <c r="Z48" i="86"/>
  <c r="AF48" i="86" s="1"/>
  <c r="Y48" i="86"/>
  <c r="AG47" i="86"/>
  <c r="AF47" i="86"/>
  <c r="AC47" i="86"/>
  <c r="AI47" i="86" s="1"/>
  <c r="AB47" i="86"/>
  <c r="AH47" i="86" s="1"/>
  <c r="AA47" i="86"/>
  <c r="Z47" i="86"/>
  <c r="Y47" i="86"/>
  <c r="AE47" i="86" s="1"/>
  <c r="AI46" i="86"/>
  <c r="AH46" i="86"/>
  <c r="AH53" i="86" s="1"/>
  <c r="AE46" i="86"/>
  <c r="AC46" i="86"/>
  <c r="AB46" i="86"/>
  <c r="AA46" i="86"/>
  <c r="AG46" i="86" s="1"/>
  <c r="Z46" i="86"/>
  <c r="AF46" i="86" s="1"/>
  <c r="Y46" i="86"/>
  <c r="M44" i="86"/>
  <c r="L44" i="86"/>
  <c r="K44" i="86"/>
  <c r="AG43" i="86"/>
  <c r="AC43" i="86"/>
  <c r="AI43" i="86" s="1"/>
  <c r="AB43" i="86"/>
  <c r="AH43" i="86" s="1"/>
  <c r="AA43" i="86"/>
  <c r="Z43" i="86"/>
  <c r="AF43" i="86" s="1"/>
  <c r="Y43" i="86"/>
  <c r="AE43" i="86" s="1"/>
  <c r="AI42" i="86"/>
  <c r="AE42" i="86"/>
  <c r="AC42" i="86"/>
  <c r="AB42" i="86"/>
  <c r="AH42" i="86" s="1"/>
  <c r="AA42" i="86"/>
  <c r="AG42" i="86" s="1"/>
  <c r="Z42" i="86"/>
  <c r="AF42" i="86" s="1"/>
  <c r="Y42" i="86"/>
  <c r="AG41" i="86"/>
  <c r="AC41" i="86"/>
  <c r="AI41" i="86" s="1"/>
  <c r="AB41" i="86"/>
  <c r="AH41" i="86" s="1"/>
  <c r="AA41" i="86"/>
  <c r="Z41" i="86"/>
  <c r="AF41" i="86" s="1"/>
  <c r="Y41" i="86"/>
  <c r="AE41" i="86" s="1"/>
  <c r="AI40" i="86"/>
  <c r="AE40" i="86"/>
  <c r="AC40" i="86"/>
  <c r="AB40" i="86"/>
  <c r="AH40" i="86" s="1"/>
  <c r="AA40" i="86"/>
  <c r="AG40" i="86" s="1"/>
  <c r="Z40" i="86"/>
  <c r="AF40" i="86" s="1"/>
  <c r="Y40" i="86"/>
  <c r="AG39" i="86"/>
  <c r="AC39" i="86"/>
  <c r="AI39" i="86" s="1"/>
  <c r="AB39" i="86"/>
  <c r="AH39" i="86" s="1"/>
  <c r="AA39" i="86"/>
  <c r="Z39" i="86"/>
  <c r="AF39" i="86" s="1"/>
  <c r="Y39" i="86"/>
  <c r="AE39" i="86" s="1"/>
  <c r="AI38" i="86"/>
  <c r="AE38" i="86"/>
  <c r="AC38" i="86"/>
  <c r="AB38" i="86"/>
  <c r="AH38" i="86" s="1"/>
  <c r="AA38" i="86"/>
  <c r="AG38" i="86" s="1"/>
  <c r="Z38" i="86"/>
  <c r="AF38" i="86" s="1"/>
  <c r="Y38" i="86"/>
  <c r="AG37" i="86"/>
  <c r="AC37" i="86"/>
  <c r="AI37" i="86" s="1"/>
  <c r="AB37" i="86"/>
  <c r="AH37" i="86" s="1"/>
  <c r="AA37" i="86"/>
  <c r="Z37" i="86"/>
  <c r="AF37" i="86" s="1"/>
  <c r="Y37" i="86"/>
  <c r="AE37" i="86" s="1"/>
  <c r="AI36" i="86"/>
  <c r="AE36" i="86"/>
  <c r="AC36" i="86"/>
  <c r="AB36" i="86"/>
  <c r="AH36" i="86" s="1"/>
  <c r="AA36" i="86"/>
  <c r="AG36" i="86" s="1"/>
  <c r="Z36" i="86"/>
  <c r="AF36" i="86" s="1"/>
  <c r="Y36" i="86"/>
  <c r="AG35" i="86"/>
  <c r="AC35" i="86"/>
  <c r="AI35" i="86" s="1"/>
  <c r="AB35" i="86"/>
  <c r="AH35" i="86" s="1"/>
  <c r="AA35" i="86"/>
  <c r="Z35" i="86"/>
  <c r="AF35" i="86" s="1"/>
  <c r="Y35" i="86"/>
  <c r="AE35" i="86" s="1"/>
  <c r="AI34" i="86"/>
  <c r="AE34" i="86"/>
  <c r="AC34" i="86"/>
  <c r="AB34" i="86"/>
  <c r="AH34" i="86" s="1"/>
  <c r="AA34" i="86"/>
  <c r="AG34" i="86" s="1"/>
  <c r="Z34" i="86"/>
  <c r="AF34" i="86" s="1"/>
  <c r="Y34" i="86"/>
  <c r="AG33" i="86"/>
  <c r="AC33" i="86"/>
  <c r="AI33" i="86" s="1"/>
  <c r="AB33" i="86"/>
  <c r="AH33" i="86" s="1"/>
  <c r="AA33" i="86"/>
  <c r="Z33" i="86"/>
  <c r="AF33" i="86" s="1"/>
  <c r="Y33" i="86"/>
  <c r="AE33" i="86" s="1"/>
  <c r="AI32" i="86"/>
  <c r="AE32" i="86"/>
  <c r="AE44" i="86" s="1"/>
  <c r="AC32" i="86"/>
  <c r="AB32" i="86"/>
  <c r="AH32" i="86" s="1"/>
  <c r="AA32" i="86"/>
  <c r="AG32" i="86" s="1"/>
  <c r="Z32" i="86"/>
  <c r="AF32" i="86" s="1"/>
  <c r="AF44" i="86" s="1"/>
  <c r="Y32" i="86"/>
  <c r="BG30" i="86"/>
  <c r="BJ30" i="86" s="1"/>
  <c r="M30" i="86"/>
  <c r="L30" i="86"/>
  <c r="K30" i="86"/>
  <c r="BJ29" i="86"/>
  <c r="BG29" i="86"/>
  <c r="AG29" i="86"/>
  <c r="AC29" i="86"/>
  <c r="AI29" i="86" s="1"/>
  <c r="AB29" i="86"/>
  <c r="AH29" i="86" s="1"/>
  <c r="AA29" i="86"/>
  <c r="Z29" i="86"/>
  <c r="AF29" i="86" s="1"/>
  <c r="Y29" i="86"/>
  <c r="AE29" i="86" s="1"/>
  <c r="BJ28" i="86"/>
  <c r="BG28" i="86"/>
  <c r="AG28" i="86"/>
  <c r="AC28" i="86"/>
  <c r="AI28" i="86" s="1"/>
  <c r="AB28" i="86"/>
  <c r="AH28" i="86" s="1"/>
  <c r="AA28" i="86"/>
  <c r="Z28" i="86"/>
  <c r="AF28" i="86" s="1"/>
  <c r="Y28" i="86"/>
  <c r="AE28" i="86" s="1"/>
  <c r="BJ27" i="86"/>
  <c r="AP15" i="86" s="1"/>
  <c r="AR15" i="86" s="1"/>
  <c r="BG27" i="86"/>
  <c r="AG27" i="86"/>
  <c r="AC27" i="86"/>
  <c r="AI27" i="86" s="1"/>
  <c r="AB27" i="86"/>
  <c r="AH27" i="86" s="1"/>
  <c r="AA27" i="86"/>
  <c r="Z27" i="86"/>
  <c r="AF27" i="86" s="1"/>
  <c r="Y27" i="86"/>
  <c r="AE27" i="86" s="1"/>
  <c r="BJ26" i="86"/>
  <c r="AP14" i="86" s="1"/>
  <c r="AR14" i="86" s="1"/>
  <c r="AS15" i="86" s="1"/>
  <c r="BG26" i="86"/>
  <c r="AH26" i="86"/>
  <c r="AC26" i="86"/>
  <c r="AI26" i="86" s="1"/>
  <c r="AB26" i="86"/>
  <c r="AA26" i="86"/>
  <c r="AG26" i="86" s="1"/>
  <c r="Z26" i="86"/>
  <c r="AF26" i="86" s="1"/>
  <c r="Y26" i="86"/>
  <c r="AE26" i="86" s="1"/>
  <c r="BG25" i="86"/>
  <c r="BJ25" i="86" s="1"/>
  <c r="AP13" i="86" s="1"/>
  <c r="AR13" i="86" s="1"/>
  <c r="AS14" i="86" s="1"/>
  <c r="AH25" i="86"/>
  <c r="AC25" i="86"/>
  <c r="AI25" i="86" s="1"/>
  <c r="AB25" i="86"/>
  <c r="AA25" i="86"/>
  <c r="AG25" i="86" s="1"/>
  <c r="Z25" i="86"/>
  <c r="AF25" i="86" s="1"/>
  <c r="Y25" i="86"/>
  <c r="AE25" i="86" s="1"/>
  <c r="BG24" i="86"/>
  <c r="BJ24" i="86" s="1"/>
  <c r="AI24" i="86"/>
  <c r="AE24" i="86"/>
  <c r="AC24" i="86"/>
  <c r="AB24" i="86"/>
  <c r="AH24" i="86" s="1"/>
  <c r="AA24" i="86"/>
  <c r="AG24" i="86" s="1"/>
  <c r="Z24" i="86"/>
  <c r="AF24" i="86" s="1"/>
  <c r="Y24" i="86"/>
  <c r="BG23" i="86"/>
  <c r="BJ23" i="86" s="1"/>
  <c r="AP11" i="86" s="1"/>
  <c r="AI23" i="86"/>
  <c r="AE23" i="86"/>
  <c r="AC23" i="86"/>
  <c r="AB23" i="86"/>
  <c r="AH23" i="86" s="1"/>
  <c r="AA23" i="86"/>
  <c r="AG23" i="86" s="1"/>
  <c r="Z23" i="86"/>
  <c r="AF23" i="86" s="1"/>
  <c r="Y23" i="86"/>
  <c r="BG22" i="86"/>
  <c r="BJ22" i="86" s="1"/>
  <c r="AP10" i="86" s="1"/>
  <c r="AF22" i="86"/>
  <c r="AC22" i="86"/>
  <c r="AI22" i="86" s="1"/>
  <c r="AB22" i="86"/>
  <c r="AH22" i="86" s="1"/>
  <c r="AA22" i="86"/>
  <c r="AG22" i="86" s="1"/>
  <c r="Z22" i="86"/>
  <c r="Y22" i="86"/>
  <c r="AE22" i="86" s="1"/>
  <c r="BG21" i="86"/>
  <c r="BJ21" i="86" s="1"/>
  <c r="AP9" i="86" s="1"/>
  <c r="AR9" i="86" s="1"/>
  <c r="AG21" i="86"/>
  <c r="AC21" i="86"/>
  <c r="AI21" i="86" s="1"/>
  <c r="AB21" i="86"/>
  <c r="AH21" i="86" s="1"/>
  <c r="AA21" i="86"/>
  <c r="Z21" i="86"/>
  <c r="AF21" i="86" s="1"/>
  <c r="Y21" i="86"/>
  <c r="AE21" i="86" s="1"/>
  <c r="BJ20" i="86"/>
  <c r="AP8" i="86" s="1"/>
  <c r="BG20" i="86"/>
  <c r="AH20" i="86"/>
  <c r="AC20" i="86"/>
  <c r="AI20" i="86" s="1"/>
  <c r="AB20" i="86"/>
  <c r="AA20" i="86"/>
  <c r="AG20" i="86" s="1"/>
  <c r="AG30" i="86" s="1"/>
  <c r="Z20" i="86"/>
  <c r="AF20" i="86" s="1"/>
  <c r="Y20" i="86"/>
  <c r="AE20" i="86" s="1"/>
  <c r="BJ19" i="86"/>
  <c r="BG19" i="86"/>
  <c r="BG18" i="86"/>
  <c r="BJ18" i="86" s="1"/>
  <c r="M18" i="86"/>
  <c r="M55" i="86" s="1"/>
  <c r="L18" i="86"/>
  <c r="L55" i="86" s="1"/>
  <c r="K18" i="86"/>
  <c r="K55" i="86" s="1"/>
  <c r="BG17" i="86"/>
  <c r="BJ17" i="86" s="1"/>
  <c r="AP5" i="86" s="1"/>
  <c r="AR5" i="86" s="1"/>
  <c r="AH17" i="86"/>
  <c r="AC17" i="86"/>
  <c r="AI17" i="86" s="1"/>
  <c r="AB17" i="86"/>
  <c r="AA17" i="86"/>
  <c r="AG17" i="86" s="1"/>
  <c r="Z17" i="86"/>
  <c r="AF17" i="86" s="1"/>
  <c r="Y17" i="86"/>
  <c r="AE17" i="86" s="1"/>
  <c r="BJ16" i="86"/>
  <c r="BG16" i="86"/>
  <c r="AH16" i="86"/>
  <c r="AC16" i="86"/>
  <c r="AI16" i="86" s="1"/>
  <c r="AB16" i="86"/>
  <c r="AA16" i="86"/>
  <c r="AG16" i="86" s="1"/>
  <c r="Z16" i="86"/>
  <c r="AF16" i="86" s="1"/>
  <c r="Y16" i="86"/>
  <c r="AE16" i="86" s="1"/>
  <c r="BJ15" i="86"/>
  <c r="BG15" i="86"/>
  <c r="AY15" i="86"/>
  <c r="AX15" i="86"/>
  <c r="AW15" i="86"/>
  <c r="AV15" i="86"/>
  <c r="AQ15" i="86"/>
  <c r="AO15" i="86"/>
  <c r="AG15" i="86"/>
  <c r="AC15" i="86"/>
  <c r="AI15" i="86" s="1"/>
  <c r="AB15" i="86"/>
  <c r="AH15" i="86" s="1"/>
  <c r="AA15" i="86"/>
  <c r="Z15" i="86"/>
  <c r="AF15" i="86" s="1"/>
  <c r="Y15" i="86"/>
  <c r="AE15" i="86" s="1"/>
  <c r="BJ14" i="86"/>
  <c r="BG14" i="86"/>
  <c r="AX14" i="86"/>
  <c r="AW14" i="86"/>
  <c r="AY14" i="86" s="1"/>
  <c r="AZ15" i="86" s="1"/>
  <c r="AV14" i="86"/>
  <c r="AQ14" i="86"/>
  <c r="AO14" i="86"/>
  <c r="AF14" i="86"/>
  <c r="AC14" i="86"/>
  <c r="AI14" i="86" s="1"/>
  <c r="AB14" i="86"/>
  <c r="AH14" i="86" s="1"/>
  <c r="AA14" i="86"/>
  <c r="AG14" i="86" s="1"/>
  <c r="Z14" i="86"/>
  <c r="Y14" i="86"/>
  <c r="AE14" i="86" s="1"/>
  <c r="BG13" i="86"/>
  <c r="BJ13" i="86" s="1"/>
  <c r="AX13" i="86"/>
  <c r="AW13" i="86"/>
  <c r="AY13" i="86" s="1"/>
  <c r="AZ14" i="86" s="1"/>
  <c r="AV13" i="86"/>
  <c r="AQ13" i="86"/>
  <c r="AO13" i="86"/>
  <c r="AI13" i="86"/>
  <c r="AG13" i="86"/>
  <c r="AE13" i="86"/>
  <c r="AC13" i="86"/>
  <c r="AB13" i="86"/>
  <c r="AH13" i="86" s="1"/>
  <c r="AA13" i="86"/>
  <c r="Z13" i="86"/>
  <c r="AF13" i="86" s="1"/>
  <c r="Y13" i="86"/>
  <c r="BJ12" i="86"/>
  <c r="BG12" i="86"/>
  <c r="AY12" i="86"/>
  <c r="AX12" i="86"/>
  <c r="AW12" i="86"/>
  <c r="AV12" i="86"/>
  <c r="AQ12" i="86"/>
  <c r="AP12" i="86"/>
  <c r="AR12" i="86" s="1"/>
  <c r="AS13" i="86" s="1"/>
  <c r="AO12" i="86"/>
  <c r="AH12" i="86"/>
  <c r="AG12" i="86"/>
  <c r="AF12" i="86"/>
  <c r="AC12" i="86"/>
  <c r="AI12" i="86" s="1"/>
  <c r="AB12" i="86"/>
  <c r="AA12" i="86"/>
  <c r="Z12" i="86"/>
  <c r="Y12" i="86"/>
  <c r="AE12" i="86" s="1"/>
  <c r="BJ11" i="86"/>
  <c r="AX11" i="86"/>
  <c r="AW11" i="86"/>
  <c r="AY11" i="86" s="1"/>
  <c r="AZ12" i="86" s="1"/>
  <c r="AV11" i="86"/>
  <c r="AR11" i="86"/>
  <c r="AQ11" i="86"/>
  <c r="AO11" i="86"/>
  <c r="AM11" i="86"/>
  <c r="AM12" i="86" s="1"/>
  <c r="AM13" i="86" s="1"/>
  <c r="AM14" i="86" s="1"/>
  <c r="AM15" i="86" s="1"/>
  <c r="AH11" i="86"/>
  <c r="AH18" i="86" s="1"/>
  <c r="AF11" i="86"/>
  <c r="AC11" i="86"/>
  <c r="AI11" i="86" s="1"/>
  <c r="AI18" i="86" s="1"/>
  <c r="AB11" i="86"/>
  <c r="AA11" i="86"/>
  <c r="AG11" i="86" s="1"/>
  <c r="Z11" i="86"/>
  <c r="Y11" i="86"/>
  <c r="AE11" i="86" s="1"/>
  <c r="AE18" i="86" s="1"/>
  <c r="BG10" i="86"/>
  <c r="BJ10" i="86" s="1"/>
  <c r="AX10" i="86"/>
  <c r="AW10" i="86"/>
  <c r="AY10" i="86" s="1"/>
  <c r="AV10" i="86"/>
  <c r="AQ10" i="86"/>
  <c r="AO10" i="86"/>
  <c r="AY9" i="86"/>
  <c r="AZ10" i="86" s="1"/>
  <c r="AX9" i="86"/>
  <c r="AW9" i="86"/>
  <c r="AV9" i="86"/>
  <c r="AQ9" i="86"/>
  <c r="AO9" i="86"/>
  <c r="AX8" i="86"/>
  <c r="AW8" i="86"/>
  <c r="AV8" i="86"/>
  <c r="AR8" i="86"/>
  <c r="AS9" i="86" s="1"/>
  <c r="AQ8" i="86"/>
  <c r="AO8" i="86"/>
  <c r="AM8" i="86"/>
  <c r="AM9" i="86" s="1"/>
  <c r="AX7" i="86"/>
  <c r="AW7" i="86"/>
  <c r="AY7" i="86" s="1"/>
  <c r="AV7" i="86"/>
  <c r="AQ7" i="86"/>
  <c r="AP7" i="86"/>
  <c r="AO7" i="86"/>
  <c r="AY6" i="86"/>
  <c r="AZ7" i="86" s="1"/>
  <c r="AX6" i="86"/>
  <c r="AW6" i="86"/>
  <c r="AV6" i="86"/>
  <c r="AV16" i="86" s="1"/>
  <c r="AQ6" i="86"/>
  <c r="AP6" i="86"/>
  <c r="AR6" i="86" s="1"/>
  <c r="AO6" i="86"/>
  <c r="AY5" i="86"/>
  <c r="AZ6" i="86" s="1"/>
  <c r="AX5" i="86"/>
  <c r="AW5" i="86"/>
  <c r="AV5" i="86"/>
  <c r="AQ5" i="86"/>
  <c r="AO5" i="86"/>
  <c r="AX4" i="86"/>
  <c r="AW4" i="86"/>
  <c r="AV4" i="86"/>
  <c r="AR4" i="86"/>
  <c r="AS5" i="86" s="1"/>
  <c r="AQ4" i="86"/>
  <c r="AP4" i="86"/>
  <c r="AO4" i="86"/>
  <c r="AO16" i="86" s="1"/>
  <c r="AM4" i="86"/>
  <c r="AM5" i="86" s="1"/>
  <c r="AM6" i="86" s="1"/>
  <c r="AM7" i="86" s="1"/>
  <c r="AY3" i="86"/>
  <c r="AX3" i="86"/>
  <c r="AW3" i="86"/>
  <c r="AR3" i="86"/>
  <c r="AS4" i="86" s="1"/>
  <c r="AQ3" i="86"/>
  <c r="AP3" i="86"/>
  <c r="G38" i="1"/>
  <c r="B11" i="85"/>
  <c r="U63" i="105" l="1"/>
  <c r="M63" i="105"/>
  <c r="L63" i="105"/>
  <c r="AK107" i="105"/>
  <c r="Q65" i="105"/>
  <c r="R65" i="105" s="1"/>
  <c r="AA106" i="105"/>
  <c r="AE105" i="105"/>
  <c r="J64" i="105" s="1"/>
  <c r="K64" i="105" s="1"/>
  <c r="T64" i="105"/>
  <c r="S64" i="105"/>
  <c r="N62" i="105"/>
  <c r="AY4" i="86"/>
  <c r="AZ5" i="86" s="1"/>
  <c r="AY8" i="86"/>
  <c r="AZ9" i="86" s="1"/>
  <c r="AZ11" i="86"/>
  <c r="AF18" i="86"/>
  <c r="AF55" i="86" s="1"/>
  <c r="AZ13" i="86"/>
  <c r="AG44" i="86"/>
  <c r="AI44" i="86"/>
  <c r="AF53" i="86"/>
  <c r="AE53" i="86"/>
  <c r="AZ4" i="86"/>
  <c r="AZ8" i="86"/>
  <c r="AG18" i="86"/>
  <c r="AS12" i="86"/>
  <c r="AE30" i="86"/>
  <c r="AE55" i="86" s="1"/>
  <c r="AI30" i="86"/>
  <c r="AH44" i="86"/>
  <c r="AG53" i="86"/>
  <c r="AI55" i="86"/>
  <c r="AR7" i="86"/>
  <c r="AS8" i="86" s="1"/>
  <c r="AS6" i="86"/>
  <c r="AF30" i="86"/>
  <c r="AH30" i="86"/>
  <c r="AH55" i="86" s="1"/>
  <c r="AR10" i="86"/>
  <c r="AS11" i="86" s="1"/>
  <c r="AI53" i="86"/>
  <c r="U64" i="105" l="1"/>
  <c r="T65" i="105"/>
  <c r="S65" i="105"/>
  <c r="N63" i="105"/>
  <c r="AK108" i="105"/>
  <c r="Q66" i="105"/>
  <c r="AA107" i="105"/>
  <c r="AE106" i="105"/>
  <c r="J65" i="105" s="1"/>
  <c r="K65" i="105" s="1"/>
  <c r="M64" i="105"/>
  <c r="L64" i="105"/>
  <c r="AS7" i="86"/>
  <c r="AZ16" i="86"/>
  <c r="AO21" i="86" s="1"/>
  <c r="AS10" i="86"/>
  <c r="AG55" i="86"/>
  <c r="M65" i="105" l="1"/>
  <c r="L65" i="105"/>
  <c r="AA108" i="105"/>
  <c r="AE107" i="105"/>
  <c r="J66" i="105" s="1"/>
  <c r="AK109" i="105"/>
  <c r="Q67" i="105"/>
  <c r="U65" i="105"/>
  <c r="N64" i="105"/>
  <c r="R66" i="105"/>
  <c r="U156" i="105"/>
  <c r="U154" i="105" s="1"/>
  <c r="D34" i="105" s="1"/>
  <c r="D35" i="105" s="1"/>
  <c r="AS16" i="86"/>
  <c r="AO20" i="86" s="1"/>
  <c r="AO22" i="86" s="1"/>
  <c r="T66" i="105" l="1"/>
  <c r="S66" i="105"/>
  <c r="R156" i="105" s="1"/>
  <c r="AA109" i="105"/>
  <c r="AE108" i="105"/>
  <c r="J67" i="105" s="1"/>
  <c r="R67" i="105"/>
  <c r="AK110" i="105"/>
  <c r="Q68" i="105"/>
  <c r="R68" i="105" s="1"/>
  <c r="N65" i="105"/>
  <c r="K66" i="105"/>
  <c r="N156" i="105"/>
  <c r="N154" i="105" s="1"/>
  <c r="C34" i="105" s="1"/>
  <c r="C35" i="105" s="1"/>
  <c r="AO26" i="86"/>
  <c r="AG57" i="86" s="1"/>
  <c r="AG59" i="86" s="1"/>
  <c r="AG63" i="86" s="1"/>
  <c r="AO24" i="86"/>
  <c r="AE57" i="86" s="1"/>
  <c r="AE59" i="86" s="1"/>
  <c r="AE63" i="86" s="1"/>
  <c r="T67" i="105" l="1"/>
  <c r="S67" i="105"/>
  <c r="U66" i="105"/>
  <c r="S156" i="105" s="1"/>
  <c r="T156" i="105" s="1"/>
  <c r="T154" i="105" s="1"/>
  <c r="D27" i="105" s="1"/>
  <c r="D29" i="105" s="1"/>
  <c r="T68" i="105"/>
  <c r="S68" i="105"/>
  <c r="AA110" i="105"/>
  <c r="AE109" i="105"/>
  <c r="J68" i="105" s="1"/>
  <c r="K68" i="105" s="1"/>
  <c r="M66" i="105"/>
  <c r="L66" i="105"/>
  <c r="K156" i="105" s="1"/>
  <c r="AK111" i="105"/>
  <c r="Q69" i="105"/>
  <c r="R69" i="105" s="1"/>
  <c r="K67" i="105"/>
  <c r="D9" i="85"/>
  <c r="D13" i="85" s="1"/>
  <c r="I9" i="85"/>
  <c r="D11" i="85"/>
  <c r="I11" i="85"/>
  <c r="I13" i="85" s="1"/>
  <c r="B13" i="85"/>
  <c r="C13" i="85"/>
  <c r="G13" i="85"/>
  <c r="H13" i="85"/>
  <c r="C22" i="85"/>
  <c r="AD6" i="85"/>
  <c r="AB7" i="85" s="1"/>
  <c r="AD7" i="85" s="1"/>
  <c r="AI6" i="85"/>
  <c r="AG7" i="85" s="1"/>
  <c r="AI7" i="85" s="1"/>
  <c r="R13" i="85"/>
  <c r="Q13" i="85" s="1"/>
  <c r="S13" i="85"/>
  <c r="V13" i="85"/>
  <c r="W13" i="85"/>
  <c r="AC18" i="85"/>
  <c r="AH18" i="85"/>
  <c r="P19" i="85"/>
  <c r="P20" i="85" s="1"/>
  <c r="R19" i="85"/>
  <c r="S19" i="85"/>
  <c r="AO20" i="85"/>
  <c r="AO22" i="85" s="1"/>
  <c r="AO28" i="85" s="1"/>
  <c r="AS29" i="85" s="1"/>
  <c r="P25" i="85"/>
  <c r="P26" i="85" s="1"/>
  <c r="P55" i="85" s="1"/>
  <c r="AD26" i="85"/>
  <c r="AI26" i="85"/>
  <c r="V19" i="85" s="1"/>
  <c r="AI27" i="85"/>
  <c r="V20" i="85" s="1"/>
  <c r="AI28" i="85"/>
  <c r="V21" i="85" s="1"/>
  <c r="AI29" i="85"/>
  <c r="V22" i="85" s="1"/>
  <c r="AR29" i="85"/>
  <c r="AI30" i="85"/>
  <c r="V23" i="85" s="1"/>
  <c r="AI31" i="85"/>
  <c r="V24" i="85" s="1"/>
  <c r="AI32" i="85"/>
  <c r="V25" i="85" s="1"/>
  <c r="AI33" i="85"/>
  <c r="V26" i="85" s="1"/>
  <c r="AI34" i="85"/>
  <c r="V27" i="85" s="1"/>
  <c r="AI35" i="85"/>
  <c r="V28" i="85" s="1"/>
  <c r="AI36" i="85"/>
  <c r="V29" i="85" s="1"/>
  <c r="AI37" i="85"/>
  <c r="V14" i="85" s="1"/>
  <c r="AC38" i="85"/>
  <c r="AH38" i="85"/>
  <c r="O42" i="85"/>
  <c r="P42" i="85"/>
  <c r="Q42" i="85"/>
  <c r="O43" i="85"/>
  <c r="P43" i="85"/>
  <c r="AD46" i="85"/>
  <c r="O48" i="85"/>
  <c r="O49" i="85"/>
  <c r="O50" i="85"/>
  <c r="O51" i="85"/>
  <c r="O52" i="85"/>
  <c r="O53" i="85"/>
  <c r="O54" i="85"/>
  <c r="P54" i="85"/>
  <c r="O55" i="85"/>
  <c r="O56" i="85"/>
  <c r="O57" i="85"/>
  <c r="O58" i="85"/>
  <c r="AC58" i="85"/>
  <c r="R71" i="85"/>
  <c r="Q78" i="85"/>
  <c r="R76" i="85" s="1"/>
  <c r="T69" i="105" l="1"/>
  <c r="S69" i="105"/>
  <c r="U68" i="105"/>
  <c r="M68" i="105"/>
  <c r="L68" i="105"/>
  <c r="AA111" i="105"/>
  <c r="AE110" i="105"/>
  <c r="J69" i="105" s="1"/>
  <c r="K69" i="105" s="1"/>
  <c r="AK112" i="105"/>
  <c r="Q70" i="105"/>
  <c r="R70" i="105" s="1"/>
  <c r="U67" i="105"/>
  <c r="M67" i="105"/>
  <c r="L67" i="105"/>
  <c r="N66" i="105"/>
  <c r="L156" i="105" s="1"/>
  <c r="M156" i="105" s="1"/>
  <c r="M154" i="105" s="1"/>
  <c r="C27" i="105" s="1"/>
  <c r="C29" i="105" s="1"/>
  <c r="AB8" i="85"/>
  <c r="AD8" i="85" s="1"/>
  <c r="S20" i="85"/>
  <c r="R70" i="85"/>
  <c r="Q19" i="85"/>
  <c r="AG8" i="85"/>
  <c r="AI8" i="85" s="1"/>
  <c r="R20" i="85"/>
  <c r="Q20" i="85" s="1"/>
  <c r="AB9" i="85"/>
  <c r="AD9" i="85" s="1"/>
  <c r="S21" i="85"/>
  <c r="P27" i="85"/>
  <c r="AO27" i="85"/>
  <c r="R74" i="85"/>
  <c r="AO29" i="85"/>
  <c r="AB47" i="85"/>
  <c r="AD47" i="85" s="1"/>
  <c r="Q48" i="85"/>
  <c r="P21" i="85"/>
  <c r="P49" i="85"/>
  <c r="P48" i="85"/>
  <c r="V16" i="85"/>
  <c r="V18" i="85" s="1"/>
  <c r="V31" i="85" s="1"/>
  <c r="V34" i="85" s="1"/>
  <c r="S88" i="85" s="1"/>
  <c r="U13" i="85"/>
  <c r="R73" i="85"/>
  <c r="R78" i="85" s="1"/>
  <c r="W19" i="85"/>
  <c r="U19" i="85" s="1"/>
  <c r="AB27" i="85"/>
  <c r="AD27" i="85" s="1"/>
  <c r="AK113" i="105" l="1"/>
  <c r="Q71" i="105"/>
  <c r="R71" i="105" s="1"/>
  <c r="M69" i="105"/>
  <c r="L69" i="105"/>
  <c r="N68" i="105"/>
  <c r="AA112" i="105"/>
  <c r="AE111" i="105"/>
  <c r="J70" i="105" s="1"/>
  <c r="K70" i="105" s="1"/>
  <c r="U69" i="105"/>
  <c r="N67" i="105"/>
  <c r="T70" i="105"/>
  <c r="S70" i="105"/>
  <c r="AS28" i="85"/>
  <c r="AS30" i="85" s="1"/>
  <c r="P28" i="85"/>
  <c r="P56" i="85"/>
  <c r="R21" i="85"/>
  <c r="Q21" i="85" s="1"/>
  <c r="AG9" i="85"/>
  <c r="AI9" i="85" s="1"/>
  <c r="S22" i="85"/>
  <c r="AB10" i="85"/>
  <c r="AD10" i="85" s="1"/>
  <c r="AB48" i="85"/>
  <c r="AD48" i="85" s="1"/>
  <c r="Q49" i="85"/>
  <c r="P22" i="85"/>
  <c r="P50" i="85"/>
  <c r="W20" i="85"/>
  <c r="U20" i="85" s="1"/>
  <c r="AB28" i="85"/>
  <c r="AD28" i="85" s="1"/>
  <c r="N69" i="105" l="1"/>
  <c r="U70" i="105"/>
  <c r="T71" i="105"/>
  <c r="S71" i="105"/>
  <c r="AA113" i="105"/>
  <c r="AE112" i="105"/>
  <c r="J71" i="105" s="1"/>
  <c r="K71" i="105" s="1"/>
  <c r="M70" i="105"/>
  <c r="L70" i="105"/>
  <c r="AK114" i="105"/>
  <c r="Q72" i="105"/>
  <c r="R72" i="105" s="1"/>
  <c r="P29" i="85"/>
  <c r="P58" i="85" s="1"/>
  <c r="P57" i="85"/>
  <c r="AG10" i="85"/>
  <c r="AI10" i="85" s="1"/>
  <c r="R22" i="85"/>
  <c r="Q22" i="85" s="1"/>
  <c r="S23" i="85"/>
  <c r="AB11" i="85"/>
  <c r="AD11" i="85" s="1"/>
  <c r="AB29" i="85"/>
  <c r="AD29" i="85" s="1"/>
  <c r="W21" i="85"/>
  <c r="U21" i="85" s="1"/>
  <c r="P23" i="85"/>
  <c r="P51" i="85"/>
  <c r="AB49" i="85"/>
  <c r="AD49" i="85" s="1"/>
  <c r="Q50" i="85"/>
  <c r="N70" i="105" l="1"/>
  <c r="AA114" i="105"/>
  <c r="AE113" i="105"/>
  <c r="J72" i="105" s="1"/>
  <c r="K72" i="105" s="1"/>
  <c r="T72" i="105"/>
  <c r="S72" i="105"/>
  <c r="U71" i="105"/>
  <c r="AK115" i="105"/>
  <c r="Q73" i="105"/>
  <c r="R73" i="105" s="1"/>
  <c r="M71" i="105"/>
  <c r="L71" i="105"/>
  <c r="AG11" i="85"/>
  <c r="AI11" i="85" s="1"/>
  <c r="R23" i="85"/>
  <c r="Q23" i="85" s="1"/>
  <c r="AB12" i="85"/>
  <c r="AD12" i="85" s="1"/>
  <c r="S24" i="85"/>
  <c r="AB50" i="85"/>
  <c r="AD50" i="85" s="1"/>
  <c r="Q51" i="85"/>
  <c r="P24" i="85"/>
  <c r="P53" i="85" s="1"/>
  <c r="P52" i="85"/>
  <c r="W22" i="85"/>
  <c r="U22" i="85" s="1"/>
  <c r="AB30" i="85"/>
  <c r="AD30" i="85" s="1"/>
  <c r="M72" i="105" l="1"/>
  <c r="L72" i="105"/>
  <c r="T73" i="105"/>
  <c r="S73" i="105"/>
  <c r="AA115" i="105"/>
  <c r="AE114" i="105"/>
  <c r="J73" i="105" s="1"/>
  <c r="K73" i="105" s="1"/>
  <c r="AK116" i="105"/>
  <c r="Q74" i="105"/>
  <c r="R74" i="105" s="1"/>
  <c r="U72" i="105"/>
  <c r="N71" i="105"/>
  <c r="AB13" i="85"/>
  <c r="AD13" i="85" s="1"/>
  <c r="S25" i="85"/>
  <c r="AG12" i="85"/>
  <c r="AI12" i="85" s="1"/>
  <c r="R24" i="85"/>
  <c r="Q24" i="85" s="1"/>
  <c r="AB31" i="85"/>
  <c r="AD31" i="85" s="1"/>
  <c r="W23" i="85"/>
  <c r="U23" i="85" s="1"/>
  <c r="AB51" i="85"/>
  <c r="AD51" i="85" s="1"/>
  <c r="Q52" i="85"/>
  <c r="M73" i="105" l="1"/>
  <c r="L73" i="105"/>
  <c r="AA116" i="105"/>
  <c r="AE115" i="105"/>
  <c r="J74" i="105" s="1"/>
  <c r="K74" i="105" s="1"/>
  <c r="T74" i="105"/>
  <c r="S74" i="105"/>
  <c r="N72" i="105"/>
  <c r="AK117" i="105"/>
  <c r="Q75" i="105"/>
  <c r="R75" i="105" s="1"/>
  <c r="U73" i="105"/>
  <c r="R25" i="85"/>
  <c r="Q25" i="85" s="1"/>
  <c r="AG13" i="85"/>
  <c r="AI13" i="85" s="1"/>
  <c r="S26" i="85"/>
  <c r="AB14" i="85"/>
  <c r="AD14" i="85" s="1"/>
  <c r="AB52" i="85"/>
  <c r="AD52" i="85" s="1"/>
  <c r="Q53" i="85"/>
  <c r="W24" i="85"/>
  <c r="U24" i="85" s="1"/>
  <c r="AB32" i="85"/>
  <c r="AD32" i="85" s="1"/>
  <c r="T75" i="105" l="1"/>
  <c r="S75" i="105"/>
  <c r="AA117" i="105"/>
  <c r="AE116" i="105"/>
  <c r="J75" i="105" s="1"/>
  <c r="K75" i="105" s="1"/>
  <c r="AK118" i="105"/>
  <c r="Q76" i="105"/>
  <c r="R76" i="105" s="1"/>
  <c r="U74" i="105"/>
  <c r="N73" i="105"/>
  <c r="M74" i="105"/>
  <c r="L74" i="105"/>
  <c r="AG14" i="85"/>
  <c r="AI14" i="85" s="1"/>
  <c r="R26" i="85"/>
  <c r="Q26" i="85" s="1"/>
  <c r="AB15" i="85"/>
  <c r="AD15" i="85" s="1"/>
  <c r="S27" i="85"/>
  <c r="AB53" i="85"/>
  <c r="AD53" i="85" s="1"/>
  <c r="Q54" i="85"/>
  <c r="AB33" i="85"/>
  <c r="AD33" i="85" s="1"/>
  <c r="W25" i="85"/>
  <c r="U25" i="85" s="1"/>
  <c r="AA118" i="105" l="1"/>
  <c r="AE117" i="105"/>
  <c r="J76" i="105" s="1"/>
  <c r="K76" i="105" s="1"/>
  <c r="T76" i="105"/>
  <c r="S76" i="105"/>
  <c r="AK119" i="105"/>
  <c r="Q77" i="105"/>
  <c r="R77" i="105" s="1"/>
  <c r="N74" i="105"/>
  <c r="M75" i="105"/>
  <c r="L75" i="105"/>
  <c r="U75" i="105"/>
  <c r="AB16" i="85"/>
  <c r="AD16" i="85" s="1"/>
  <c r="S28" i="85"/>
  <c r="R27" i="85"/>
  <c r="Q27" i="85" s="1"/>
  <c r="AG15" i="85"/>
  <c r="AI15" i="85" s="1"/>
  <c r="AB54" i="85"/>
  <c r="AD54" i="85" s="1"/>
  <c r="Q55" i="85"/>
  <c r="W26" i="85"/>
  <c r="U26" i="85" s="1"/>
  <c r="AB34" i="85"/>
  <c r="AD34" i="85" s="1"/>
  <c r="T77" i="105" l="1"/>
  <c r="S77" i="105"/>
  <c r="U76" i="105"/>
  <c r="N75" i="105"/>
  <c r="AK120" i="105"/>
  <c r="Q78" i="105"/>
  <c r="R78" i="105" s="1"/>
  <c r="M76" i="105"/>
  <c r="L76" i="105"/>
  <c r="AA119" i="105"/>
  <c r="AE118" i="105"/>
  <c r="J77" i="105" s="1"/>
  <c r="K77" i="105" s="1"/>
  <c r="AG16" i="85"/>
  <c r="AI16" i="85" s="1"/>
  <c r="R28" i="85"/>
  <c r="Q28" i="85" s="1"/>
  <c r="S29" i="85"/>
  <c r="AB17" i="85"/>
  <c r="AD17" i="85" s="1"/>
  <c r="S14" i="85" s="1"/>
  <c r="S16" i="85" s="1"/>
  <c r="S18" i="85" s="1"/>
  <c r="S31" i="85" s="1"/>
  <c r="S34" i="85" s="1"/>
  <c r="R87" i="85" s="1"/>
  <c r="AB55" i="85"/>
  <c r="AD55" i="85" s="1"/>
  <c r="Q56" i="85"/>
  <c r="AB35" i="85"/>
  <c r="AD35" i="85" s="1"/>
  <c r="W27" i="85"/>
  <c r="U27" i="85" s="1"/>
  <c r="AK121" i="105" l="1"/>
  <c r="Q79" i="105"/>
  <c r="R79" i="105" s="1"/>
  <c r="M77" i="105"/>
  <c r="L77" i="105"/>
  <c r="N76" i="105"/>
  <c r="AA120" i="105"/>
  <c r="AE119" i="105"/>
  <c r="J78" i="105" s="1"/>
  <c r="K78" i="105" s="1"/>
  <c r="T78" i="105"/>
  <c r="S78" i="105"/>
  <c r="U77" i="105"/>
  <c r="AG17" i="85"/>
  <c r="AI17" i="85" s="1"/>
  <c r="R14" i="85" s="1"/>
  <c r="R29" i="85"/>
  <c r="Q29" i="85" s="1"/>
  <c r="W28" i="85"/>
  <c r="U28" i="85" s="1"/>
  <c r="AB36" i="85"/>
  <c r="AD36" i="85" s="1"/>
  <c r="AB56" i="85"/>
  <c r="AD56" i="85" s="1"/>
  <c r="Q57" i="85"/>
  <c r="N77" i="105" l="1"/>
  <c r="AA121" i="105"/>
  <c r="AE120" i="105"/>
  <c r="J79" i="105" s="1"/>
  <c r="K79" i="105" s="1"/>
  <c r="U78" i="105"/>
  <c r="T79" i="105"/>
  <c r="S79" i="105"/>
  <c r="M78" i="105"/>
  <c r="L78" i="105"/>
  <c r="AK122" i="105"/>
  <c r="Q80" i="105"/>
  <c r="R80" i="105" s="1"/>
  <c r="Q14" i="85"/>
  <c r="Q16" i="85" s="1"/>
  <c r="Q18" i="85" s="1"/>
  <c r="Q31" i="85" s="1"/>
  <c r="Q34" i="85" s="1"/>
  <c r="R16" i="85"/>
  <c r="R18" i="85" s="1"/>
  <c r="R31" i="85" s="1"/>
  <c r="R34" i="85" s="1"/>
  <c r="Q87" i="85" s="1"/>
  <c r="P87" i="85" s="1"/>
  <c r="AB57" i="85"/>
  <c r="AD57" i="85" s="1"/>
  <c r="Q43" i="85" s="1"/>
  <c r="Q45" i="85" s="1"/>
  <c r="Q47" i="85" s="1"/>
  <c r="Q58" i="85"/>
  <c r="W29" i="85"/>
  <c r="U29" i="85" s="1"/>
  <c r="AB37" i="85"/>
  <c r="AD37" i="85" s="1"/>
  <c r="W14" i="85" s="1"/>
  <c r="U79" i="105" l="1"/>
  <c r="AA122" i="105"/>
  <c r="AE121" i="105"/>
  <c r="J80" i="105" s="1"/>
  <c r="K80" i="105" s="1"/>
  <c r="T80" i="105"/>
  <c r="S80" i="105"/>
  <c r="N78" i="105"/>
  <c r="M79" i="105"/>
  <c r="L79" i="105"/>
  <c r="AK123" i="105"/>
  <c r="Q81" i="105"/>
  <c r="R81" i="105" s="1"/>
  <c r="W16" i="85"/>
  <c r="W18" i="85" s="1"/>
  <c r="W31" i="85" s="1"/>
  <c r="W34" i="85" s="1"/>
  <c r="T88" i="85" s="1"/>
  <c r="P88" i="85" s="1"/>
  <c r="U14" i="85"/>
  <c r="U16" i="85" s="1"/>
  <c r="U18" i="85" s="1"/>
  <c r="U31" i="85" s="1"/>
  <c r="U34" i="85" s="1"/>
  <c r="Q60" i="85"/>
  <c r="Q62" i="85" s="1"/>
  <c r="T78" i="85" s="1"/>
  <c r="AA123" i="105" l="1"/>
  <c r="AE122" i="105"/>
  <c r="J81" i="105" s="1"/>
  <c r="K81" i="105" s="1"/>
  <c r="T81" i="105"/>
  <c r="S81" i="105"/>
  <c r="N79" i="105"/>
  <c r="M80" i="105"/>
  <c r="L80" i="105"/>
  <c r="AK124" i="105"/>
  <c r="Q82" i="105"/>
  <c r="R82" i="105" s="1"/>
  <c r="U80" i="105"/>
  <c r="T70" i="85"/>
  <c r="R63" i="85" s="1"/>
  <c r="T73" i="85"/>
  <c r="T63" i="85" s="1"/>
  <c r="S86" i="85" s="1"/>
  <c r="S91" i="85" s="1"/>
  <c r="T76" i="85"/>
  <c r="T71" i="85"/>
  <c r="S63" i="85" s="1"/>
  <c r="R86" i="85" s="1"/>
  <c r="R91" i="85" s="1"/>
  <c r="T74" i="85"/>
  <c r="U63" i="85" s="1"/>
  <c r="T86" i="85" s="1"/>
  <c r="T91" i="85" s="1"/>
  <c r="U81" i="105" l="1"/>
  <c r="T82" i="105"/>
  <c r="S82" i="105"/>
  <c r="AK125" i="105"/>
  <c r="Q83" i="105"/>
  <c r="R83" i="105" s="1"/>
  <c r="M81" i="105"/>
  <c r="L81" i="105"/>
  <c r="N80" i="105"/>
  <c r="AA124" i="105"/>
  <c r="AE123" i="105"/>
  <c r="J82" i="105" s="1"/>
  <c r="K82" i="105" s="1"/>
  <c r="Q86" i="85"/>
  <c r="Q63" i="85"/>
  <c r="N81" i="105" l="1"/>
  <c r="T83" i="105"/>
  <c r="S83" i="105"/>
  <c r="U82" i="105"/>
  <c r="AK126" i="105"/>
  <c r="Q84" i="105"/>
  <c r="R84" i="105" s="1"/>
  <c r="M82" i="105"/>
  <c r="L82" i="105"/>
  <c r="AA125" i="105"/>
  <c r="AE124" i="105"/>
  <c r="J83" i="105" s="1"/>
  <c r="K83" i="105" s="1"/>
  <c r="P86" i="85"/>
  <c r="P91" i="85" s="1"/>
  <c r="Q91" i="85"/>
  <c r="U83" i="105" l="1"/>
  <c r="AK127" i="105"/>
  <c r="Q85" i="105"/>
  <c r="R85" i="105" s="1"/>
  <c r="M83" i="105"/>
  <c r="L83" i="105"/>
  <c r="N82" i="105"/>
  <c r="AA126" i="105"/>
  <c r="AE125" i="105"/>
  <c r="J84" i="105" s="1"/>
  <c r="K84" i="105" s="1"/>
  <c r="T84" i="105"/>
  <c r="S84" i="105"/>
  <c r="F73" i="1"/>
  <c r="M84" i="105" l="1"/>
  <c r="L84" i="105"/>
  <c r="AK128" i="105"/>
  <c r="Q86" i="105"/>
  <c r="R86" i="105" s="1"/>
  <c r="U84" i="105"/>
  <c r="AA127" i="105"/>
  <c r="AE126" i="105"/>
  <c r="J85" i="105" s="1"/>
  <c r="K85" i="105" s="1"/>
  <c r="T85" i="105"/>
  <c r="S85" i="105"/>
  <c r="N83" i="105"/>
  <c r="DO4" i="84"/>
  <c r="DQ4" i="84" s="1"/>
  <c r="DP4" i="84"/>
  <c r="DU4" i="84"/>
  <c r="DU8" i="84" s="1"/>
  <c r="DY4" i="84"/>
  <c r="DO5" i="84"/>
  <c r="DP5" i="84"/>
  <c r="DQ5" i="84"/>
  <c r="DU5" i="84"/>
  <c r="DY5" i="84"/>
  <c r="DO6" i="84"/>
  <c r="DQ6" i="84" s="1"/>
  <c r="DP6" i="84"/>
  <c r="DP8" i="84" s="1"/>
  <c r="DP14" i="84" s="1"/>
  <c r="DU6" i="84"/>
  <c r="DY6" i="84"/>
  <c r="DO7" i="84"/>
  <c r="DO8" i="84" s="1"/>
  <c r="DO14" i="84" s="1"/>
  <c r="DP7" i="84"/>
  <c r="DU7" i="84"/>
  <c r="DY7" i="84"/>
  <c r="DY8" i="84" s="1"/>
  <c r="DS8" i="84"/>
  <c r="DS14" i="84" s="1"/>
  <c r="DT8" i="84"/>
  <c r="DW8" i="84"/>
  <c r="DX8" i="84"/>
  <c r="DX14" i="84" s="1"/>
  <c r="DO10" i="84"/>
  <c r="DP10" i="84"/>
  <c r="DQ10" i="84"/>
  <c r="I11" i="84" s="1"/>
  <c r="DU10" i="84"/>
  <c r="DY10" i="84"/>
  <c r="DO11" i="84"/>
  <c r="DQ11" i="84" s="1"/>
  <c r="I12" i="84" s="1"/>
  <c r="DP11" i="84"/>
  <c r="DU11" i="84"/>
  <c r="DY11" i="84"/>
  <c r="DO12" i="84"/>
  <c r="I13" i="84" s="1"/>
  <c r="DP12" i="84"/>
  <c r="DU12" i="84"/>
  <c r="DY12" i="84"/>
  <c r="CR54" i="84" s="1"/>
  <c r="DY13" i="84"/>
  <c r="DR14" i="84"/>
  <c r="DT14" i="84"/>
  <c r="DW14" i="84"/>
  <c r="DO19" i="84"/>
  <c r="DQ19" i="84" s="1"/>
  <c r="DO20" i="84"/>
  <c r="DQ20" i="84"/>
  <c r="DO21" i="84"/>
  <c r="DQ21" i="84" s="1"/>
  <c r="DO22" i="84"/>
  <c r="DQ22" i="84"/>
  <c r="DO23" i="84"/>
  <c r="DQ23" i="84"/>
  <c r="DO24" i="84"/>
  <c r="DQ24" i="84" s="1"/>
  <c r="DO25" i="84"/>
  <c r="DQ25" i="84"/>
  <c r="DO26" i="84"/>
  <c r="DQ26" i="84"/>
  <c r="DO27" i="84"/>
  <c r="DQ27" i="84"/>
  <c r="DO28" i="84"/>
  <c r="DQ28" i="84"/>
  <c r="DO29" i="84"/>
  <c r="DQ29" i="84"/>
  <c r="DO30" i="84"/>
  <c r="DQ30" i="84" s="1"/>
  <c r="DO31" i="84"/>
  <c r="DQ31" i="84"/>
  <c r="DO32" i="84"/>
  <c r="DQ32" i="84" s="1"/>
  <c r="DO33" i="84"/>
  <c r="DQ33" i="84"/>
  <c r="DO34" i="84"/>
  <c r="DQ34" i="84" s="1"/>
  <c r="DP35" i="84"/>
  <c r="DS35" i="84"/>
  <c r="DW35" i="84"/>
  <c r="DT23" i="84"/>
  <c r="DX40" i="84"/>
  <c r="CY4" i="84"/>
  <c r="DA4" i="84" s="1"/>
  <c r="CZ4" i="84"/>
  <c r="DE4" i="84"/>
  <c r="DI4" i="84"/>
  <c r="CY5" i="84"/>
  <c r="CZ5" i="84"/>
  <c r="DA5" i="84" s="1"/>
  <c r="DE5" i="84"/>
  <c r="DI5" i="84"/>
  <c r="CY6" i="84"/>
  <c r="CZ6" i="84"/>
  <c r="DE6" i="84"/>
  <c r="DI6" i="84"/>
  <c r="CY7" i="84"/>
  <c r="CZ7" i="84"/>
  <c r="DE7" i="84"/>
  <c r="DI7" i="84"/>
  <c r="CY8" i="84"/>
  <c r="DA8" i="84" s="1"/>
  <c r="CZ8" i="84"/>
  <c r="DE8" i="84"/>
  <c r="DI8" i="84"/>
  <c r="CY9" i="84"/>
  <c r="DA9" i="84" s="1"/>
  <c r="CZ9" i="84"/>
  <c r="DE9" i="84"/>
  <c r="DI9" i="84"/>
  <c r="CY10" i="84"/>
  <c r="CZ10" i="84"/>
  <c r="DE10" i="84"/>
  <c r="DI10" i="84"/>
  <c r="CY11" i="84"/>
  <c r="CZ11" i="84"/>
  <c r="DE11" i="84"/>
  <c r="DI11" i="84"/>
  <c r="CY12" i="84"/>
  <c r="CZ12" i="84"/>
  <c r="DA12" i="84"/>
  <c r="DE12" i="84"/>
  <c r="DI12" i="84"/>
  <c r="CY13" i="84"/>
  <c r="DA13" i="84" s="1"/>
  <c r="CZ13" i="84"/>
  <c r="DE13" i="84"/>
  <c r="DI13" i="84"/>
  <c r="CY14" i="84"/>
  <c r="CZ14" i="84"/>
  <c r="DE14" i="84"/>
  <c r="DI14" i="84"/>
  <c r="CY15" i="84"/>
  <c r="CZ15" i="84"/>
  <c r="DE15" i="84"/>
  <c r="DI15" i="84"/>
  <c r="CY16" i="84"/>
  <c r="DA16" i="84" s="1"/>
  <c r="CZ16" i="84"/>
  <c r="DE16" i="84"/>
  <c r="DI16" i="84"/>
  <c r="DC17" i="84"/>
  <c r="DC24" i="84" s="1"/>
  <c r="DD17" i="84"/>
  <c r="DG17" i="84"/>
  <c r="DG24" i="84" s="1"/>
  <c r="DH17" i="84"/>
  <c r="DH24" i="84" s="1"/>
  <c r="CY19" i="84"/>
  <c r="DA19" i="84" s="1"/>
  <c r="CZ19" i="84"/>
  <c r="DE19" i="84"/>
  <c r="DI19" i="84"/>
  <c r="CY20" i="84"/>
  <c r="DA20" i="84" s="1"/>
  <c r="CZ20" i="84"/>
  <c r="DE20" i="84"/>
  <c r="DI20" i="84"/>
  <c r="CY21" i="84"/>
  <c r="DA21" i="84" s="1"/>
  <c r="CZ21" i="84"/>
  <c r="DE21" i="84"/>
  <c r="DI21" i="84"/>
  <c r="CY22" i="84"/>
  <c r="DA22" i="84" s="1"/>
  <c r="CZ22" i="84"/>
  <c r="DE22" i="84"/>
  <c r="DI22" i="84"/>
  <c r="DI23" i="84"/>
  <c r="DB24" i="84"/>
  <c r="DD24" i="84"/>
  <c r="CY29" i="84"/>
  <c r="DA29" i="84"/>
  <c r="CY30" i="84"/>
  <c r="DA30" i="84" s="1"/>
  <c r="CY31" i="84"/>
  <c r="DA31" i="84" s="1"/>
  <c r="CY32" i="84"/>
  <c r="DA32" i="84" s="1"/>
  <c r="CY33" i="84"/>
  <c r="DA33" i="84"/>
  <c r="CY34" i="84"/>
  <c r="DA34" i="84" s="1"/>
  <c r="CY35" i="84"/>
  <c r="DA35" i="84" s="1"/>
  <c r="CY36" i="84"/>
  <c r="DA36" i="84" s="1"/>
  <c r="CY37" i="84"/>
  <c r="DA37" i="84" s="1"/>
  <c r="CY38" i="84"/>
  <c r="DA38" i="84" s="1"/>
  <c r="CY39" i="84"/>
  <c r="DA39" i="84" s="1"/>
  <c r="CY40" i="84"/>
  <c r="DA40" i="84" s="1"/>
  <c r="CY41" i="84"/>
  <c r="DA41" i="84"/>
  <c r="CY42" i="84"/>
  <c r="DA42" i="84" s="1"/>
  <c r="CY43" i="84"/>
  <c r="DA43" i="84"/>
  <c r="CY44" i="84"/>
  <c r="DA44" i="84" s="1"/>
  <c r="CZ45" i="84"/>
  <c r="DC45" i="84"/>
  <c r="DG45" i="84"/>
  <c r="DD29" i="84"/>
  <c r="DE29" i="84" s="1"/>
  <c r="DD30" i="84"/>
  <c r="CG35" i="84"/>
  <c r="CL8" i="84"/>
  <c r="CM8" i="84"/>
  <c r="CN8" i="84"/>
  <c r="CK9" i="84"/>
  <c r="CM9" i="84"/>
  <c r="CN9" i="84"/>
  <c r="CK10" i="84"/>
  <c r="CL10" i="84"/>
  <c r="CN10" i="84"/>
  <c r="CR10" i="84"/>
  <c r="CK11" i="84"/>
  <c r="CL11" i="84"/>
  <c r="CM11" i="84"/>
  <c r="CL12" i="84"/>
  <c r="CM12" i="84"/>
  <c r="CL13" i="84"/>
  <c r="CM13" i="84"/>
  <c r="CR13" i="84"/>
  <c r="CK17" i="84"/>
  <c r="CL17" i="84"/>
  <c r="CM17" i="84"/>
  <c r="CL18" i="84"/>
  <c r="CM18" i="84"/>
  <c r="CN18" i="84"/>
  <c r="CR19" i="84"/>
  <c r="CM26" i="84" s="1"/>
  <c r="CR22" i="84"/>
  <c r="CL26" i="84"/>
  <c r="CL40" i="84"/>
  <c r="CM40" i="84"/>
  <c r="CN40" i="84"/>
  <c r="CK41" i="84"/>
  <c r="CM41" i="84"/>
  <c r="CN41" i="84"/>
  <c r="CK42" i="84"/>
  <c r="CL42" i="84"/>
  <c r="CN42" i="84"/>
  <c r="CR42" i="84"/>
  <c r="CK43" i="84"/>
  <c r="CL43" i="84"/>
  <c r="CM43" i="84"/>
  <c r="CL44" i="84"/>
  <c r="CM44" i="84"/>
  <c r="CL45" i="84"/>
  <c r="CM45" i="84"/>
  <c r="CR45" i="84"/>
  <c r="CL56" i="84" s="1"/>
  <c r="CR51" i="84"/>
  <c r="CM56" i="84" s="1"/>
  <c r="BZ6" i="84"/>
  <c r="AW9" i="84" s="1"/>
  <c r="BV7" i="84"/>
  <c r="BZ7" i="84"/>
  <c r="AW14" i="84" s="1"/>
  <c r="BV8" i="84"/>
  <c r="BZ8" i="84"/>
  <c r="AW15" i="84" s="1"/>
  <c r="BV9" i="84"/>
  <c r="BZ9" i="84"/>
  <c r="AW16" i="84" s="1"/>
  <c r="BV10" i="84"/>
  <c r="BZ10" i="84"/>
  <c r="AW17" i="84" s="1"/>
  <c r="BV11" i="84"/>
  <c r="BZ11" i="84"/>
  <c r="AW18" i="84" s="1"/>
  <c r="BV12" i="84"/>
  <c r="BZ12" i="84"/>
  <c r="AW19" i="84" s="1"/>
  <c r="BV13" i="84"/>
  <c r="BZ13" i="84"/>
  <c r="BV14" i="84"/>
  <c r="BZ14" i="84"/>
  <c r="AW21" i="84" s="1"/>
  <c r="BV15" i="84"/>
  <c r="BZ15" i="84"/>
  <c r="BV16" i="84"/>
  <c r="BZ16" i="84"/>
  <c r="AW23" i="84" s="1"/>
  <c r="BV17" i="84"/>
  <c r="BZ17" i="84"/>
  <c r="BV18" i="84"/>
  <c r="BZ18" i="84"/>
  <c r="AW10" i="84" s="1"/>
  <c r="BW19" i="84"/>
  <c r="BO6" i="84"/>
  <c r="BQ6" i="84" s="1"/>
  <c r="AV9" i="84" s="1"/>
  <c r="BK7" i="84"/>
  <c r="BO7" i="84"/>
  <c r="BQ7" i="84" s="1"/>
  <c r="AV14" i="84" s="1"/>
  <c r="BK8" i="84"/>
  <c r="BO8" i="84"/>
  <c r="BQ8" i="84" s="1"/>
  <c r="AV15" i="84" s="1"/>
  <c r="BK9" i="84"/>
  <c r="BO9" i="84"/>
  <c r="BQ9" i="84" s="1"/>
  <c r="AV16" i="84" s="1"/>
  <c r="BK10" i="84"/>
  <c r="BO10" i="84"/>
  <c r="BQ10" i="84" s="1"/>
  <c r="AV17" i="84" s="1"/>
  <c r="BK11" i="84"/>
  <c r="BO11" i="84"/>
  <c r="BQ11" i="84" s="1"/>
  <c r="AV18" i="84" s="1"/>
  <c r="BK12" i="84"/>
  <c r="BO12" i="84"/>
  <c r="BQ12" i="84" s="1"/>
  <c r="AV19" i="84" s="1"/>
  <c r="BK13" i="84"/>
  <c r="BO13" i="84"/>
  <c r="BQ13" i="84" s="1"/>
  <c r="AV20" i="84" s="1"/>
  <c r="BK14" i="84"/>
  <c r="BO14" i="84"/>
  <c r="BQ14" i="84" s="1"/>
  <c r="AV21" i="84" s="1"/>
  <c r="BK15" i="84"/>
  <c r="BO15" i="84"/>
  <c r="BQ15" i="84" s="1"/>
  <c r="AV22" i="84" s="1"/>
  <c r="BK16" i="84"/>
  <c r="BO16" i="84"/>
  <c r="BQ16" i="84" s="1"/>
  <c r="AV23" i="84" s="1"/>
  <c r="BK17" i="84"/>
  <c r="BO17" i="84"/>
  <c r="BQ17" i="84" s="1"/>
  <c r="AV24" i="84" s="1"/>
  <c r="BK18" i="84"/>
  <c r="BO18" i="84"/>
  <c r="BQ18" i="84" s="1"/>
  <c r="AV10" i="84" s="1"/>
  <c r="BL19" i="84"/>
  <c r="BF6" i="84"/>
  <c r="AU9" i="84" s="1"/>
  <c r="BB7" i="84"/>
  <c r="BF7" i="84"/>
  <c r="AU14" i="84" s="1"/>
  <c r="BB8" i="84"/>
  <c r="BF8" i="84"/>
  <c r="AU15" i="84" s="1"/>
  <c r="BB9" i="84"/>
  <c r="BF9" i="84"/>
  <c r="AU16" i="84" s="1"/>
  <c r="BB10" i="84"/>
  <c r="BF10" i="84"/>
  <c r="AU17" i="84" s="1"/>
  <c r="BB11" i="84"/>
  <c r="BF11" i="84"/>
  <c r="AU18" i="84" s="1"/>
  <c r="BB12" i="84"/>
  <c r="BF12" i="84"/>
  <c r="AU19" i="84" s="1"/>
  <c r="BB13" i="84"/>
  <c r="BF13" i="84"/>
  <c r="AU20" i="84" s="1"/>
  <c r="BB14" i="84"/>
  <c r="BF14" i="84"/>
  <c r="AU21" i="84" s="1"/>
  <c r="BB15" i="84"/>
  <c r="BF15" i="84"/>
  <c r="AU22" i="84" s="1"/>
  <c r="BB16" i="84"/>
  <c r="BF16" i="84"/>
  <c r="AU23" i="84" s="1"/>
  <c r="BB17" i="84"/>
  <c r="BF17" i="84"/>
  <c r="AU24" i="84" s="1"/>
  <c r="BB18" i="84"/>
  <c r="BF18" i="84"/>
  <c r="AU10" i="84" s="1"/>
  <c r="BC19" i="84"/>
  <c r="R20" i="84"/>
  <c r="R21" i="84"/>
  <c r="AW20" i="84"/>
  <c r="AW22" i="84"/>
  <c r="AW24" i="84"/>
  <c r="AM3" i="84"/>
  <c r="AN3" i="84" s="1"/>
  <c r="AM4" i="84"/>
  <c r="AN4" i="84" s="1"/>
  <c r="AL54" i="84" s="1"/>
  <c r="X10" i="84"/>
  <c r="X32" i="84" s="1"/>
  <c r="X54" i="84" s="1"/>
  <c r="AA9" i="84"/>
  <c r="AH9" i="84" s="1"/>
  <c r="AA10" i="84"/>
  <c r="AH10" i="84" s="1"/>
  <c r="AA11" i="84"/>
  <c r="AH11" i="84" s="1"/>
  <c r="AA12" i="84"/>
  <c r="AH12" i="84" s="1"/>
  <c r="AA13" i="84"/>
  <c r="AH13" i="84" s="1"/>
  <c r="AA14" i="84"/>
  <c r="AH14" i="84" s="1"/>
  <c r="AA15" i="84"/>
  <c r="AH15" i="84" s="1"/>
  <c r="AA16" i="84"/>
  <c r="AH16" i="84" s="1"/>
  <c r="AA17" i="84"/>
  <c r="AH17" i="84" s="1"/>
  <c r="AA18" i="84"/>
  <c r="AH18" i="84" s="1"/>
  <c r="AA19" i="84"/>
  <c r="AH19" i="84" s="1"/>
  <c r="AA20" i="84"/>
  <c r="AH20" i="84" s="1"/>
  <c r="AA21" i="84"/>
  <c r="AH21" i="84" s="1"/>
  <c r="Y23" i="84"/>
  <c r="Z23" i="84"/>
  <c r="AC23" i="84"/>
  <c r="AD23" i="84"/>
  <c r="AE23" i="84"/>
  <c r="AF23" i="84"/>
  <c r="Y25" i="84"/>
  <c r="Z25" i="84"/>
  <c r="AC25" i="84"/>
  <c r="AD25" i="84"/>
  <c r="AE25" i="84"/>
  <c r="AF25" i="84"/>
  <c r="AJ28" i="84"/>
  <c r="Y31" i="84"/>
  <c r="Z31" i="84"/>
  <c r="AC31" i="84"/>
  <c r="AD31" i="84"/>
  <c r="AE31" i="84"/>
  <c r="AF31" i="84"/>
  <c r="Y32" i="84"/>
  <c r="Z32" i="84"/>
  <c r="AC32" i="84"/>
  <c r="AD32" i="84"/>
  <c r="AE32" i="84"/>
  <c r="AF32" i="84"/>
  <c r="Y33" i="84"/>
  <c r="Z33" i="84"/>
  <c r="AC33" i="84"/>
  <c r="AD33" i="84"/>
  <c r="AE33" i="84"/>
  <c r="AF33" i="84"/>
  <c r="Y34" i="84"/>
  <c r="Z34" i="84"/>
  <c r="AC34" i="84"/>
  <c r="AD34" i="84"/>
  <c r="AE34" i="84"/>
  <c r="AF34" i="84"/>
  <c r="Y35" i="84"/>
  <c r="Z35" i="84"/>
  <c r="AC35" i="84"/>
  <c r="AD35" i="84"/>
  <c r="AE35" i="84"/>
  <c r="AF35" i="84"/>
  <c r="Y36" i="84"/>
  <c r="Z36" i="84"/>
  <c r="AC36" i="84"/>
  <c r="AD36" i="84"/>
  <c r="AE36" i="84"/>
  <c r="AF36" i="84"/>
  <c r="Y37" i="84"/>
  <c r="Z37" i="84"/>
  <c r="AC37" i="84"/>
  <c r="AD37" i="84"/>
  <c r="AE37" i="84"/>
  <c r="AF37" i="84"/>
  <c r="Y38" i="84"/>
  <c r="Z38" i="84"/>
  <c r="AC38" i="84"/>
  <c r="AD38" i="84"/>
  <c r="AE38" i="84"/>
  <c r="AF38" i="84"/>
  <c r="Y39" i="84"/>
  <c r="Z39" i="84"/>
  <c r="AC39" i="84"/>
  <c r="AD39" i="84"/>
  <c r="AE39" i="84"/>
  <c r="AF39" i="84"/>
  <c r="Y40" i="84"/>
  <c r="Z40" i="84"/>
  <c r="AC40" i="84"/>
  <c r="AD40" i="84"/>
  <c r="AE40" i="84"/>
  <c r="AF40" i="84"/>
  <c r="Y41" i="84"/>
  <c r="Z41" i="84"/>
  <c r="AC41" i="84"/>
  <c r="AD41" i="84"/>
  <c r="AE41" i="84"/>
  <c r="AF41" i="84"/>
  <c r="Y42" i="84"/>
  <c r="Z42" i="84"/>
  <c r="AC42" i="84"/>
  <c r="AD42" i="84"/>
  <c r="AE42" i="84"/>
  <c r="AF42" i="84"/>
  <c r="Y43" i="84"/>
  <c r="Y47" i="84" s="1"/>
  <c r="Z43" i="84"/>
  <c r="Z47" i="84" s="1"/>
  <c r="AC43" i="84"/>
  <c r="AC47" i="84" s="1"/>
  <c r="AD43" i="84"/>
  <c r="AD47" i="84" s="1"/>
  <c r="AE43" i="84"/>
  <c r="AE47" i="84" s="1"/>
  <c r="AF43" i="84"/>
  <c r="AF47" i="84" s="1"/>
  <c r="AA53" i="84"/>
  <c r="AH53" i="84" s="1"/>
  <c r="AA54" i="84"/>
  <c r="AH54" i="84" s="1"/>
  <c r="AA55" i="84"/>
  <c r="AA56" i="84"/>
  <c r="AH56" i="84" s="1"/>
  <c r="AA57" i="84"/>
  <c r="AH57" i="84" s="1"/>
  <c r="AA58" i="84"/>
  <c r="AA59" i="84"/>
  <c r="AH59" i="84" s="1"/>
  <c r="AM59" i="84"/>
  <c r="AA60" i="84"/>
  <c r="AH60" i="84" s="1"/>
  <c r="AA61" i="84"/>
  <c r="AA62" i="84"/>
  <c r="AA63" i="84"/>
  <c r="AH63" i="84" s="1"/>
  <c r="AA64" i="84"/>
  <c r="AH64" i="84" s="1"/>
  <c r="AA65" i="84"/>
  <c r="Y67" i="84"/>
  <c r="Z67" i="84"/>
  <c r="AC67" i="84"/>
  <c r="Q16" i="84" s="1"/>
  <c r="AD67" i="84"/>
  <c r="Q8" i="84" s="1"/>
  <c r="R8" i="84" s="1"/>
  <c r="AE67" i="84"/>
  <c r="Q10" i="84" s="1"/>
  <c r="S10" i="84" s="1"/>
  <c r="AF67" i="84"/>
  <c r="Q12" i="84" s="1"/>
  <c r="T12" i="84" s="1"/>
  <c r="Y69" i="84"/>
  <c r="Z69" i="84"/>
  <c r="AC69" i="84"/>
  <c r="AD69" i="84"/>
  <c r="AE69" i="84"/>
  <c r="AF69" i="84"/>
  <c r="I15" i="84"/>
  <c r="A19" i="84"/>
  <c r="CG17" i="84" s="1"/>
  <c r="A21" i="84"/>
  <c r="A22" i="84"/>
  <c r="A24" i="84"/>
  <c r="D26" i="84"/>
  <c r="F33" i="84"/>
  <c r="D33" i="84" s="1"/>
  <c r="F36" i="84"/>
  <c r="D38" i="84"/>
  <c r="D39" i="84"/>
  <c r="E40" i="84"/>
  <c r="F40" i="84"/>
  <c r="AK129" i="105" l="1"/>
  <c r="Q87" i="105"/>
  <c r="R87" i="105" s="1"/>
  <c r="U85" i="105"/>
  <c r="AA128" i="105"/>
  <c r="AE127" i="105"/>
  <c r="J86" i="105" s="1"/>
  <c r="K86" i="105" s="1"/>
  <c r="M85" i="105"/>
  <c r="L85" i="105"/>
  <c r="T86" i="105"/>
  <c r="S86" i="105"/>
  <c r="N84" i="105"/>
  <c r="DQ35" i="84"/>
  <c r="I16" i="84" s="1"/>
  <c r="CR4" i="84"/>
  <c r="DU14" i="84"/>
  <c r="DU23" i="84"/>
  <c r="DX23" i="84"/>
  <c r="DY23" i="84" s="1"/>
  <c r="CR36" i="84"/>
  <c r="DY14" i="84"/>
  <c r="DQ8" i="84"/>
  <c r="DO35" i="84"/>
  <c r="DT34" i="84"/>
  <c r="DT32" i="84"/>
  <c r="DT30" i="84"/>
  <c r="DT28" i="84"/>
  <c r="DT26" i="84"/>
  <c r="DT24" i="84"/>
  <c r="DT22" i="84"/>
  <c r="DX22" i="84" s="1"/>
  <c r="DY22" i="84" s="1"/>
  <c r="DT20" i="84"/>
  <c r="DT21" i="84"/>
  <c r="DT19" i="84"/>
  <c r="DQ12" i="84"/>
  <c r="DQ7" i="84"/>
  <c r="DX39" i="84"/>
  <c r="DT33" i="84"/>
  <c r="DT31" i="84"/>
  <c r="DT29" i="84"/>
  <c r="DT27" i="84"/>
  <c r="DT25" i="84"/>
  <c r="DE17" i="84"/>
  <c r="DE24" i="84" s="1"/>
  <c r="DA15" i="84"/>
  <c r="DA7" i="84"/>
  <c r="DI17" i="84"/>
  <c r="DI24" i="84" s="1"/>
  <c r="CZ17" i="84"/>
  <c r="CZ24" i="84" s="1"/>
  <c r="DA14" i="84"/>
  <c r="DA6" i="84"/>
  <c r="DD43" i="84"/>
  <c r="DE43" i="84" s="1"/>
  <c r="DD41" i="84"/>
  <c r="DE41" i="84" s="1"/>
  <c r="DD39" i="84"/>
  <c r="DE39" i="84" s="1"/>
  <c r="DD37" i="84"/>
  <c r="DE37" i="84" s="1"/>
  <c r="DD35" i="84"/>
  <c r="DE35" i="84" s="1"/>
  <c r="DD33" i="84"/>
  <c r="DE33" i="84" s="1"/>
  <c r="DD31" i="84"/>
  <c r="DE31" i="84" s="1"/>
  <c r="DA11" i="84"/>
  <c r="DA10" i="84"/>
  <c r="DE30" i="84"/>
  <c r="DH30" i="84"/>
  <c r="DI30" i="84" s="1"/>
  <c r="DA45" i="84"/>
  <c r="CY45" i="84"/>
  <c r="DD44" i="84"/>
  <c r="DD42" i="84"/>
  <c r="DD40" i="84"/>
  <c r="DH39" i="84"/>
  <c r="DI39" i="84" s="1"/>
  <c r="DD38" i="84"/>
  <c r="DH37" i="84"/>
  <c r="DI37" i="84" s="1"/>
  <c r="DD36" i="84"/>
  <c r="DD34" i="84"/>
  <c r="DD32" i="84"/>
  <c r="DH29" i="84"/>
  <c r="CY17" i="84"/>
  <c r="CY24" i="84" s="1"/>
  <c r="CG50" i="84"/>
  <c r="AA43" i="84"/>
  <c r="AH43" i="84" s="1"/>
  <c r="AA39" i="84"/>
  <c r="AH39" i="84" s="1"/>
  <c r="AH61" i="84"/>
  <c r="X31" i="84"/>
  <c r="X53" i="84" s="1"/>
  <c r="AU11" i="84"/>
  <c r="AU13" i="84" s="1"/>
  <c r="AU25" i="84" s="1"/>
  <c r="AU26" i="84" s="1"/>
  <c r="Q26" i="84" s="1"/>
  <c r="BA7" i="84"/>
  <c r="BA6" i="84"/>
  <c r="AW11" i="84"/>
  <c r="AW13" i="84" s="1"/>
  <c r="AW25" i="84" s="1"/>
  <c r="AW26" i="84" s="1"/>
  <c r="Q27" i="84" s="1"/>
  <c r="AV11" i="84"/>
  <c r="AV13" i="84" s="1"/>
  <c r="AV25" i="84" s="1"/>
  <c r="AV26" i="84" s="1"/>
  <c r="Q25" i="84" s="1"/>
  <c r="S25" i="84" s="1"/>
  <c r="AA36" i="84"/>
  <c r="AH36" i="84" s="1"/>
  <c r="R16" i="84"/>
  <c r="AA40" i="84"/>
  <c r="AH40" i="84" s="1"/>
  <c r="AA33" i="84"/>
  <c r="AH33" i="84" s="1"/>
  <c r="AA69" i="84"/>
  <c r="AH69" i="84" s="1"/>
  <c r="AL57" i="84"/>
  <c r="AK54" i="84"/>
  <c r="AJ20" i="84"/>
  <c r="AJ12" i="84"/>
  <c r="AS11" i="84"/>
  <c r="AS13" i="84" s="1"/>
  <c r="AS25" i="84" s="1"/>
  <c r="AS26" i="84" s="1"/>
  <c r="Q24" i="84" s="1"/>
  <c r="R24" i="84" s="1"/>
  <c r="AF45" i="84"/>
  <c r="AA23" i="84"/>
  <c r="AH23" i="84" s="1"/>
  <c r="AJ10" i="84"/>
  <c r="R23" i="84"/>
  <c r="AA67" i="84"/>
  <c r="AH67" i="84" s="1"/>
  <c r="D40" i="84"/>
  <c r="E41" i="84" s="1"/>
  <c r="AA37" i="84"/>
  <c r="AH37" i="84" s="1"/>
  <c r="AA31" i="84"/>
  <c r="AH31" i="84" s="1"/>
  <c r="AJ21" i="84"/>
  <c r="AJ17" i="84"/>
  <c r="AJ13" i="84"/>
  <c r="R22" i="84"/>
  <c r="AD45" i="84"/>
  <c r="Q35" i="84"/>
  <c r="AA35" i="84"/>
  <c r="AH35" i="84" s="1"/>
  <c r="AE45" i="84"/>
  <c r="AH65" i="84"/>
  <c r="AK65" i="84" s="1"/>
  <c r="AL65" i="84" s="1"/>
  <c r="AH62" i="84"/>
  <c r="AH58" i="84"/>
  <c r="AK59" i="84" s="1"/>
  <c r="Z45" i="84"/>
  <c r="AH55" i="84"/>
  <c r="AK55" i="84" s="1"/>
  <c r="AA32" i="84"/>
  <c r="AH32" i="84" s="1"/>
  <c r="AC45" i="84"/>
  <c r="Y45" i="84"/>
  <c r="AA25" i="84"/>
  <c r="AH25" i="84" s="1"/>
  <c r="AJ18" i="84"/>
  <c r="AJ14" i="84"/>
  <c r="X11" i="84"/>
  <c r="BA8" i="84" s="1"/>
  <c r="AK57" i="84"/>
  <c r="AJ16" i="84"/>
  <c r="AK64" i="84"/>
  <c r="AL64" i="84" s="1"/>
  <c r="AK61" i="84"/>
  <c r="AL61" i="84" s="1"/>
  <c r="AK60" i="84"/>
  <c r="AL60" i="84" s="1"/>
  <c r="AJ19" i="84"/>
  <c r="AJ15" i="84"/>
  <c r="AJ11" i="84"/>
  <c r="AL56" i="84"/>
  <c r="AA42" i="84"/>
  <c r="AH42" i="84" s="1"/>
  <c r="AA38" i="84"/>
  <c r="AH38" i="84" s="1"/>
  <c r="AA34" i="84"/>
  <c r="AH34" i="84" s="1"/>
  <c r="AL59" i="84"/>
  <c r="AL55" i="84"/>
  <c r="AA41" i="84"/>
  <c r="AH41" i="84" s="1"/>
  <c r="S16" i="84"/>
  <c r="D16" i="84" s="1"/>
  <c r="E16" i="84" s="1"/>
  <c r="CJ13" i="84" s="1"/>
  <c r="AL58" i="84"/>
  <c r="D36" i="84"/>
  <c r="Q34" i="84"/>
  <c r="F34" i="84"/>
  <c r="F35" i="84"/>
  <c r="N85" i="105" l="1"/>
  <c r="U86" i="105"/>
  <c r="M86" i="105"/>
  <c r="L86" i="105"/>
  <c r="T87" i="105"/>
  <c r="S87" i="105"/>
  <c r="AA129" i="105"/>
  <c r="AE128" i="105"/>
  <c r="J87" i="105" s="1"/>
  <c r="K87" i="105" s="1"/>
  <c r="AK130" i="105"/>
  <c r="Q88" i="105"/>
  <c r="R88" i="105" s="1"/>
  <c r="AA47" i="84"/>
  <c r="AH47" i="84" s="1"/>
  <c r="DU33" i="84"/>
  <c r="DX33" i="84"/>
  <c r="DY33" i="84" s="1"/>
  <c r="DX30" i="84"/>
  <c r="DY30" i="84" s="1"/>
  <c r="DU30" i="84"/>
  <c r="DH31" i="84"/>
  <c r="DI31" i="84" s="1"/>
  <c r="DA17" i="84"/>
  <c r="DA24" i="84" s="1"/>
  <c r="DU27" i="84"/>
  <c r="DX27" i="84"/>
  <c r="DY27" i="84" s="1"/>
  <c r="DX19" i="84"/>
  <c r="DU19" i="84"/>
  <c r="DT35" i="84"/>
  <c r="CR5" i="84" s="1"/>
  <c r="DX24" i="84"/>
  <c r="DY24" i="84" s="1"/>
  <c r="DU24" i="84"/>
  <c r="DX32" i="84"/>
  <c r="DY32" i="84" s="1"/>
  <c r="DU32" i="84"/>
  <c r="DU25" i="84"/>
  <c r="DX25" i="84"/>
  <c r="DY25" i="84" s="1"/>
  <c r="DQ14" i="84"/>
  <c r="I10" i="84"/>
  <c r="I14" i="84" s="1"/>
  <c r="J11" i="84" s="1"/>
  <c r="D11" i="84" s="1"/>
  <c r="E11" i="84" s="1"/>
  <c r="CJ9" i="84" s="1"/>
  <c r="CL9" i="84" s="1"/>
  <c r="CL14" i="84" s="1"/>
  <c r="DU29" i="84"/>
  <c r="DX29" i="84"/>
  <c r="DY29" i="84" s="1"/>
  <c r="DX21" i="84"/>
  <c r="DY21" i="84" s="1"/>
  <c r="DU21" i="84"/>
  <c r="DX26" i="84"/>
  <c r="DY26" i="84" s="1"/>
  <c r="DU26" i="84"/>
  <c r="DX34" i="84"/>
  <c r="DY34" i="84" s="1"/>
  <c r="DU34" i="84"/>
  <c r="DU31" i="84"/>
  <c r="DX31" i="84"/>
  <c r="DY31" i="84" s="1"/>
  <c r="DU20" i="84"/>
  <c r="DX20" i="84"/>
  <c r="DY20" i="84" s="1"/>
  <c r="DX28" i="84"/>
  <c r="DY28" i="84" s="1"/>
  <c r="DU28" i="84"/>
  <c r="DH33" i="84"/>
  <c r="DI33" i="84" s="1"/>
  <c r="DH41" i="84"/>
  <c r="DI41" i="84" s="1"/>
  <c r="DH35" i="84"/>
  <c r="DI35" i="84" s="1"/>
  <c r="DH43" i="84"/>
  <c r="DI43" i="84" s="1"/>
  <c r="DE32" i="84"/>
  <c r="DH32" i="84"/>
  <c r="DI32" i="84" s="1"/>
  <c r="DE36" i="84"/>
  <c r="DH36" i="84"/>
  <c r="DI36" i="84" s="1"/>
  <c r="DE40" i="84"/>
  <c r="DH40" i="84"/>
  <c r="DI40" i="84" s="1"/>
  <c r="DE44" i="84"/>
  <c r="DH44" i="84"/>
  <c r="DI44" i="84" s="1"/>
  <c r="DI29" i="84"/>
  <c r="DE34" i="84"/>
  <c r="DH34" i="84"/>
  <c r="DI34" i="84" s="1"/>
  <c r="DE38" i="84"/>
  <c r="DH38" i="84"/>
  <c r="DI38" i="84" s="1"/>
  <c r="DE42" i="84"/>
  <c r="DH42" i="84"/>
  <c r="DI42" i="84" s="1"/>
  <c r="DD45" i="84"/>
  <c r="Q14" i="84"/>
  <c r="T14" i="84" s="1"/>
  <c r="T17" i="84" s="1"/>
  <c r="AK62" i="84"/>
  <c r="AL62" i="84" s="1"/>
  <c r="R26" i="84"/>
  <c r="S26" i="84"/>
  <c r="D21" i="84" s="1"/>
  <c r="E21" i="84" s="1"/>
  <c r="CJ16" i="84" s="1"/>
  <c r="S27" i="84"/>
  <c r="D19" i="84" s="1"/>
  <c r="E19" i="84" s="1"/>
  <c r="CJ17" i="84" s="1"/>
  <c r="CN17" i="84" s="1"/>
  <c r="T27" i="84"/>
  <c r="F16" i="84"/>
  <c r="CJ45" i="84" s="1"/>
  <c r="T25" i="84"/>
  <c r="R25" i="84"/>
  <c r="R27" i="84"/>
  <c r="Q28" i="84"/>
  <c r="T26" i="84"/>
  <c r="X12" i="84"/>
  <c r="F41" i="84"/>
  <c r="D41" i="84" s="1"/>
  <c r="AA45" i="84"/>
  <c r="AH45" i="84" s="1"/>
  <c r="AK58" i="84"/>
  <c r="AK56" i="84"/>
  <c r="X33" i="84"/>
  <c r="X55" i="84" s="1"/>
  <c r="AK63" i="84"/>
  <c r="AL63" i="84" s="1"/>
  <c r="S14" i="84"/>
  <c r="R28" i="84"/>
  <c r="D20" i="84"/>
  <c r="D34" i="84"/>
  <c r="D35" i="84"/>
  <c r="AA130" i="105" l="1"/>
  <c r="AE129" i="105"/>
  <c r="J88" i="105" s="1"/>
  <c r="K88" i="105" s="1"/>
  <c r="M87" i="105"/>
  <c r="L87" i="105"/>
  <c r="U87" i="105"/>
  <c r="T88" i="105"/>
  <c r="S88" i="105"/>
  <c r="AK131" i="105"/>
  <c r="Q89" i="105"/>
  <c r="R89" i="105" s="1"/>
  <c r="N86" i="105"/>
  <c r="J13" i="84"/>
  <c r="D13" i="84" s="1"/>
  <c r="CR23" i="84"/>
  <c r="CR7" i="84"/>
  <c r="CK26" i="84" s="1"/>
  <c r="DU35" i="84"/>
  <c r="J10" i="84"/>
  <c r="D10" i="84" s="1"/>
  <c r="F11" i="84"/>
  <c r="CJ41" i="84" s="1"/>
  <c r="CL41" i="84" s="1"/>
  <c r="CL46" i="84" s="1"/>
  <c r="J12" i="84"/>
  <c r="D12" i="84" s="1"/>
  <c r="F12" i="84" s="1"/>
  <c r="CJ42" i="84" s="1"/>
  <c r="CM42" i="84" s="1"/>
  <c r="CM46" i="84" s="1"/>
  <c r="DY19" i="84"/>
  <c r="DY35" i="84" s="1"/>
  <c r="DX35" i="84"/>
  <c r="CR37" i="84" s="1"/>
  <c r="Q17" i="84"/>
  <c r="I24" i="84"/>
  <c r="I25" i="84" s="1"/>
  <c r="DH45" i="84"/>
  <c r="R14" i="84"/>
  <c r="R17" i="84" s="1"/>
  <c r="R30" i="84" s="1"/>
  <c r="F21" i="84"/>
  <c r="CJ49" i="84" s="1"/>
  <c r="DE45" i="84"/>
  <c r="DI45" i="84"/>
  <c r="T28" i="84"/>
  <c r="T30" i="84" s="1"/>
  <c r="F19" i="84"/>
  <c r="CJ50" i="84" s="1"/>
  <c r="CN50" i="84" s="1"/>
  <c r="D22" i="84"/>
  <c r="S28" i="84"/>
  <c r="Q30" i="84"/>
  <c r="X13" i="84"/>
  <c r="BA10" i="84" s="1"/>
  <c r="BA9" i="84"/>
  <c r="E12" i="84"/>
  <c r="CJ10" i="84" s="1"/>
  <c r="CM10" i="84" s="1"/>
  <c r="CM14" i="84" s="1"/>
  <c r="X34" i="84"/>
  <c r="X56" i="84" s="1"/>
  <c r="D15" i="84"/>
  <c r="S17" i="84"/>
  <c r="E20" i="84"/>
  <c r="F20" i="84"/>
  <c r="E13" i="84"/>
  <c r="CJ11" i="84" s="1"/>
  <c r="CN11" i="84" s="1"/>
  <c r="F13" i="84"/>
  <c r="CJ43" i="84" s="1"/>
  <c r="CN43" i="84" s="1"/>
  <c r="T89" i="105" l="1"/>
  <c r="S89" i="105"/>
  <c r="M88" i="105"/>
  <c r="L88" i="105"/>
  <c r="AK132" i="105"/>
  <c r="Q90" i="105"/>
  <c r="R90" i="105" s="1"/>
  <c r="N87" i="105"/>
  <c r="U88" i="105"/>
  <c r="AA131" i="105"/>
  <c r="AE130" i="105"/>
  <c r="J89" i="105" s="1"/>
  <c r="K89" i="105" s="1"/>
  <c r="J14" i="84"/>
  <c r="CR39" i="84"/>
  <c r="CK56" i="84" s="1"/>
  <c r="CR55" i="84"/>
  <c r="CR24" i="84"/>
  <c r="CT23" i="84"/>
  <c r="CK13" i="84" s="1"/>
  <c r="F22" i="84"/>
  <c r="CJ51" i="84"/>
  <c r="CK51" i="84" s="1"/>
  <c r="E22" i="84"/>
  <c r="CJ18" i="84"/>
  <c r="X35" i="84"/>
  <c r="X57" i="84" s="1"/>
  <c r="S30" i="84"/>
  <c r="X14" i="84"/>
  <c r="BA11" i="84" s="1"/>
  <c r="E15" i="84"/>
  <c r="CJ12" i="84" s="1"/>
  <c r="F15" i="84"/>
  <c r="CJ44" i="84" s="1"/>
  <c r="F10" i="84"/>
  <c r="CJ40" i="84" s="1"/>
  <c r="D17" i="84"/>
  <c r="D24" i="84" s="1"/>
  <c r="D28" i="84" s="1"/>
  <c r="E10" i="84"/>
  <c r="T90" i="105" l="1"/>
  <c r="S90" i="105"/>
  <c r="AK133" i="105"/>
  <c r="Q91" i="105"/>
  <c r="R91" i="105" s="1"/>
  <c r="M89" i="105"/>
  <c r="L89" i="105"/>
  <c r="U89" i="105"/>
  <c r="AA132" i="105"/>
  <c r="AE131" i="105"/>
  <c r="J90" i="105" s="1"/>
  <c r="K90" i="105" s="1"/>
  <c r="N88" i="105"/>
  <c r="CR56" i="84"/>
  <c r="CT55" i="84"/>
  <c r="CK45" i="84" s="1"/>
  <c r="CN26" i="84"/>
  <c r="CT22" i="84"/>
  <c r="CN12" i="84" s="1"/>
  <c r="X15" i="84"/>
  <c r="BA12" i="84" s="1"/>
  <c r="X36" i="84"/>
  <c r="X58" i="84" s="1"/>
  <c r="CK40" i="84"/>
  <c r="CJ46" i="84"/>
  <c r="CK18" i="84"/>
  <c r="CJ19" i="84"/>
  <c r="E17" i="84"/>
  <c r="E24" i="84" s="1"/>
  <c r="E28" i="84" s="1"/>
  <c r="CJ8" i="84"/>
  <c r="CK12" i="84"/>
  <c r="CJ52" i="84"/>
  <c r="F17" i="84"/>
  <c r="F24" i="84" s="1"/>
  <c r="F28" i="84" s="1"/>
  <c r="X16" i="84"/>
  <c r="BA13" i="84" s="1"/>
  <c r="X37" i="84"/>
  <c r="X59" i="84" s="1"/>
  <c r="AA133" i="105" l="1"/>
  <c r="AE132" i="105"/>
  <c r="J91" i="105" s="1"/>
  <c r="K91" i="105" s="1"/>
  <c r="N89" i="105"/>
  <c r="M90" i="105"/>
  <c r="L90" i="105"/>
  <c r="AK134" i="105"/>
  <c r="Q92" i="105"/>
  <c r="R92" i="105" s="1"/>
  <c r="U90" i="105"/>
  <c r="T91" i="105"/>
  <c r="S91" i="105"/>
  <c r="CK44" i="84"/>
  <c r="CK46" i="84" s="1"/>
  <c r="CN56" i="84"/>
  <c r="CT54" i="84"/>
  <c r="CJ26" i="84"/>
  <c r="CN13" i="84"/>
  <c r="CO13" i="84" s="1"/>
  <c r="CT24" i="84"/>
  <c r="CO12" i="84"/>
  <c r="CJ54" i="84"/>
  <c r="CK8" i="84"/>
  <c r="CK14" i="84" s="1"/>
  <c r="CJ14" i="84"/>
  <c r="CJ21" i="84" s="1"/>
  <c r="X38" i="84"/>
  <c r="X60" i="84" s="1"/>
  <c r="X17" i="84"/>
  <c r="BA14" i="84" s="1"/>
  <c r="AK135" i="105" l="1"/>
  <c r="Q93" i="105"/>
  <c r="R93" i="105" s="1"/>
  <c r="M91" i="105"/>
  <c r="L91" i="105"/>
  <c r="N90" i="105"/>
  <c r="U91" i="105"/>
  <c r="T92" i="105"/>
  <c r="S92" i="105"/>
  <c r="AA134" i="105"/>
  <c r="AE133" i="105"/>
  <c r="J92" i="105" s="1"/>
  <c r="K92" i="105" s="1"/>
  <c r="CN14" i="84"/>
  <c r="CO26" i="84"/>
  <c r="CM27" i="84"/>
  <c r="CM16" i="84" s="1"/>
  <c r="CM19" i="84" s="1"/>
  <c r="CM21" i="84" s="1"/>
  <c r="CL27" i="84"/>
  <c r="CL16" i="84" s="1"/>
  <c r="CL19" i="84" s="1"/>
  <c r="CL21" i="84" s="1"/>
  <c r="CK27" i="84"/>
  <c r="CK16" i="84" s="1"/>
  <c r="CN27" i="84"/>
  <c r="CN16" i="84" s="1"/>
  <c r="CN19" i="84" s="1"/>
  <c r="CN21" i="84" s="1"/>
  <c r="CJ56" i="84"/>
  <c r="CN45" i="84"/>
  <c r="CO45" i="84" s="1"/>
  <c r="CT56" i="84"/>
  <c r="CN44" i="84"/>
  <c r="X39" i="84"/>
  <c r="X61" i="84" s="1"/>
  <c r="X18" i="84"/>
  <c r="BA15" i="84" s="1"/>
  <c r="U92" i="105" l="1"/>
  <c r="M92" i="105"/>
  <c r="L92" i="105"/>
  <c r="T93" i="105"/>
  <c r="S93" i="105"/>
  <c r="N91" i="105"/>
  <c r="AA135" i="105"/>
  <c r="AE134" i="105"/>
  <c r="J93" i="105" s="1"/>
  <c r="K93" i="105" s="1"/>
  <c r="AK136" i="105"/>
  <c r="Q94" i="105"/>
  <c r="R94" i="105" s="1"/>
  <c r="CO56" i="84"/>
  <c r="CL57" i="84"/>
  <c r="CL49" i="84" s="1"/>
  <c r="CL52" i="84" s="1"/>
  <c r="CL54" i="84" s="1"/>
  <c r="CK57" i="84"/>
  <c r="CK49" i="84" s="1"/>
  <c r="CM57" i="84"/>
  <c r="CM49" i="84" s="1"/>
  <c r="CM52" i="84" s="1"/>
  <c r="CM54" i="84" s="1"/>
  <c r="CN46" i="84"/>
  <c r="CO44" i="84"/>
  <c r="CN57" i="84"/>
  <c r="CN49" i="84" s="1"/>
  <c r="CN52" i="84" s="1"/>
  <c r="CO16" i="84"/>
  <c r="CK19" i="84"/>
  <c r="CK21" i="84" s="1"/>
  <c r="CO21" i="84" s="1"/>
  <c r="X19" i="84"/>
  <c r="BA16" i="84" s="1"/>
  <c r="X40" i="84"/>
  <c r="X62" i="84" s="1"/>
  <c r="N92" i="105" l="1"/>
  <c r="AA136" i="105"/>
  <c r="AE135" i="105"/>
  <c r="J94" i="105" s="1"/>
  <c r="K94" i="105" s="1"/>
  <c r="U93" i="105"/>
  <c r="M93" i="105"/>
  <c r="L93" i="105"/>
  <c r="T94" i="105"/>
  <c r="S94" i="105"/>
  <c r="AK137" i="105"/>
  <c r="Q95" i="105"/>
  <c r="R95" i="105" s="1"/>
  <c r="CO49" i="84"/>
  <c r="CK52" i="84"/>
  <c r="CK54" i="84" s="1"/>
  <c r="CN54" i="84"/>
  <c r="X41" i="84"/>
  <c r="X63" i="84" s="1"/>
  <c r="X20" i="84"/>
  <c r="BA17" i="84" s="1"/>
  <c r="M94" i="105" l="1"/>
  <c r="L94" i="105"/>
  <c r="U94" i="105"/>
  <c r="AA137" i="105"/>
  <c r="AE136" i="105"/>
  <c r="J95" i="105" s="1"/>
  <c r="K95" i="105" s="1"/>
  <c r="N93" i="105"/>
  <c r="T95" i="105"/>
  <c r="S95" i="105"/>
  <c r="AK138" i="105"/>
  <c r="Q96" i="105"/>
  <c r="R96" i="105" s="1"/>
  <c r="CO52" i="84"/>
  <c r="X21" i="84"/>
  <c r="BA18" i="84" s="1"/>
  <c r="X42" i="84"/>
  <c r="X64" i="84" s="1"/>
  <c r="M95" i="105" l="1"/>
  <c r="L95" i="105"/>
  <c r="T96" i="105"/>
  <c r="S96" i="105"/>
  <c r="AA138" i="105"/>
  <c r="AE137" i="105"/>
  <c r="J96" i="105" s="1"/>
  <c r="K96" i="105" s="1"/>
  <c r="N94" i="105"/>
  <c r="U95" i="105"/>
  <c r="AK139" i="105"/>
  <c r="Q97" i="105"/>
  <c r="R97" i="105" s="1"/>
  <c r="X43" i="84"/>
  <c r="X65" i="84" s="1"/>
  <c r="AA139" i="105" l="1"/>
  <c r="AE138" i="105"/>
  <c r="J97" i="105" s="1"/>
  <c r="K97" i="105" s="1"/>
  <c r="T97" i="105"/>
  <c r="S97" i="105"/>
  <c r="N95" i="105"/>
  <c r="M96" i="105"/>
  <c r="L96" i="105"/>
  <c r="AK140" i="105"/>
  <c r="Q98" i="105"/>
  <c r="R98" i="105" s="1"/>
  <c r="U96" i="105"/>
  <c r="T98" i="105" l="1"/>
  <c r="S98" i="105"/>
  <c r="U97" i="105"/>
  <c r="M97" i="105"/>
  <c r="L97" i="105"/>
  <c r="AK141" i="105"/>
  <c r="Q99" i="105"/>
  <c r="R99" i="105" s="1"/>
  <c r="N96" i="105"/>
  <c r="AA140" i="105"/>
  <c r="AE139" i="105"/>
  <c r="J98" i="105" s="1"/>
  <c r="K98" i="105" s="1"/>
  <c r="C4" i="56"/>
  <c r="A4" i="55"/>
  <c r="AP79" i="76"/>
  <c r="AP78" i="76"/>
  <c r="AP77" i="76"/>
  <c r="AP76" i="76"/>
  <c r="AP74" i="76"/>
  <c r="AP71" i="76"/>
  <c r="AP70" i="76"/>
  <c r="AP69" i="76"/>
  <c r="AP72" i="76" s="1"/>
  <c r="AP65" i="76"/>
  <c r="AP64" i="76"/>
  <c r="AP63" i="76"/>
  <c r="AP66" i="76" s="1"/>
  <c r="AP57" i="76"/>
  <c r="AP56" i="76"/>
  <c r="AP47" i="76"/>
  <c r="AP46" i="76"/>
  <c r="AP45" i="76"/>
  <c r="AP44" i="76"/>
  <c r="AP41" i="76"/>
  <c r="AP40" i="76"/>
  <c r="AP39" i="76"/>
  <c r="AP36" i="76"/>
  <c r="AP35" i="76"/>
  <c r="AP34" i="76"/>
  <c r="AP37" i="76" s="1"/>
  <c r="AP30" i="76"/>
  <c r="AP29" i="76"/>
  <c r="AP28" i="76"/>
  <c r="AP24" i="76"/>
  <c r="AP23" i="76"/>
  <c r="AP22" i="76"/>
  <c r="AP17" i="76"/>
  <c r="AP16" i="76"/>
  <c r="AP15" i="76"/>
  <c r="AP12" i="76"/>
  <c r="AP10" i="76"/>
  <c r="AP9" i="76"/>
  <c r="AP8" i="76"/>
  <c r="AO79" i="76"/>
  <c r="AO78" i="76"/>
  <c r="AO77" i="76"/>
  <c r="AO76" i="76"/>
  <c r="AO74" i="76"/>
  <c r="AO71" i="76"/>
  <c r="AO70" i="76"/>
  <c r="AO69" i="76"/>
  <c r="AO65" i="76"/>
  <c r="AO64" i="76"/>
  <c r="AO63" i="76"/>
  <c r="AO57" i="76"/>
  <c r="AO56" i="76"/>
  <c r="AO47" i="76"/>
  <c r="AO46" i="76"/>
  <c r="AO45" i="76"/>
  <c r="AO44" i="76"/>
  <c r="AO41" i="76"/>
  <c r="AO40" i="76"/>
  <c r="AO39" i="76"/>
  <c r="AO36" i="76"/>
  <c r="AO35" i="76"/>
  <c r="AO34" i="76"/>
  <c r="AO30" i="76"/>
  <c r="AO29" i="76"/>
  <c r="AO28" i="76"/>
  <c r="AO24" i="76"/>
  <c r="AO23" i="76"/>
  <c r="AO22" i="76"/>
  <c r="AO17" i="76"/>
  <c r="AO16" i="76"/>
  <c r="AO15" i="76"/>
  <c r="AO12" i="76"/>
  <c r="AO10" i="76"/>
  <c r="AO9" i="76"/>
  <c r="AO8" i="76"/>
  <c r="AN79" i="76"/>
  <c r="AN78" i="76"/>
  <c r="AN77" i="76"/>
  <c r="AN76" i="76"/>
  <c r="AN74" i="76"/>
  <c r="AN71" i="76"/>
  <c r="AN70" i="76"/>
  <c r="AN69" i="76"/>
  <c r="AN65" i="76"/>
  <c r="AN64" i="76"/>
  <c r="AN63" i="76"/>
  <c r="AN57" i="76"/>
  <c r="AN56" i="76"/>
  <c r="AN47" i="76"/>
  <c r="AN46" i="76"/>
  <c r="AN45" i="76"/>
  <c r="AN44" i="76"/>
  <c r="AN41" i="76"/>
  <c r="AN40" i="76"/>
  <c r="AN39" i="76"/>
  <c r="AN36" i="76"/>
  <c r="AN35" i="76"/>
  <c r="AN34" i="76"/>
  <c r="AN30" i="76"/>
  <c r="AN29" i="76"/>
  <c r="AN28" i="76"/>
  <c r="AN24" i="76"/>
  <c r="AN23" i="76"/>
  <c r="AN22" i="76"/>
  <c r="AN17" i="76"/>
  <c r="AN16" i="76"/>
  <c r="AN15" i="76"/>
  <c r="AN12" i="76"/>
  <c r="AN10" i="76"/>
  <c r="AN9" i="76"/>
  <c r="AN8" i="76"/>
  <c r="AF79" i="76"/>
  <c r="AF78" i="76"/>
  <c r="AF77" i="76"/>
  <c r="AF76" i="76"/>
  <c r="AF74" i="76"/>
  <c r="AF71" i="76"/>
  <c r="AF70" i="76"/>
  <c r="AF69" i="76"/>
  <c r="AF65" i="76"/>
  <c r="AF64" i="76"/>
  <c r="AF63" i="76"/>
  <c r="AF57" i="76"/>
  <c r="AF56" i="76"/>
  <c r="AF47" i="76"/>
  <c r="AF46" i="76"/>
  <c r="AF45" i="76"/>
  <c r="AF44" i="76"/>
  <c r="AF41" i="76"/>
  <c r="AF40" i="76"/>
  <c r="AF39" i="76"/>
  <c r="AF36" i="76"/>
  <c r="AF35" i="76"/>
  <c r="AF34" i="76"/>
  <c r="AF30" i="76"/>
  <c r="AF29" i="76"/>
  <c r="AF28" i="76"/>
  <c r="AF24" i="76"/>
  <c r="AF23" i="76"/>
  <c r="AF22" i="76"/>
  <c r="AF17" i="76"/>
  <c r="AF16" i="76"/>
  <c r="AF15" i="76"/>
  <c r="AF12" i="76"/>
  <c r="AF10" i="76"/>
  <c r="AF9" i="76"/>
  <c r="AF8" i="76"/>
  <c r="F60" i="69"/>
  <c r="F34" i="69"/>
  <c r="A4" i="3"/>
  <c r="AN72" i="76" l="1"/>
  <c r="AP25" i="76"/>
  <c r="M98" i="105"/>
  <c r="L98" i="105"/>
  <c r="T99" i="105"/>
  <c r="S99" i="105"/>
  <c r="U98" i="105"/>
  <c r="N97" i="105"/>
  <c r="AA141" i="105"/>
  <c r="AE140" i="105"/>
  <c r="J99" i="105" s="1"/>
  <c r="K99" i="105" s="1"/>
  <c r="AK142" i="105"/>
  <c r="Q100" i="105"/>
  <c r="R100" i="105" s="1"/>
  <c r="AO31" i="76"/>
  <c r="AP31" i="76"/>
  <c r="AP18" i="76"/>
  <c r="AO25" i="76"/>
  <c r="AN25" i="76"/>
  <c r="AO66" i="76"/>
  <c r="AN31" i="76"/>
  <c r="AO72" i="76"/>
  <c r="AP48" i="76"/>
  <c r="AP49" i="76" s="1"/>
  <c r="AP51" i="76" s="1"/>
  <c r="AO18" i="76"/>
  <c r="AN18" i="76"/>
  <c r="AO37" i="76"/>
  <c r="AN37" i="76"/>
  <c r="AP73" i="76"/>
  <c r="AP75" i="76" s="1"/>
  <c r="AP82" i="76" s="1"/>
  <c r="AO48" i="76"/>
  <c r="AF18" i="76"/>
  <c r="AF72" i="76"/>
  <c r="AF73" i="76" s="1"/>
  <c r="AF75" i="76" s="1"/>
  <c r="AF82" i="76" s="1"/>
  <c r="AN48" i="76"/>
  <c r="AN66" i="76"/>
  <c r="AN73" i="76" s="1"/>
  <c r="AN75" i="76" s="1"/>
  <c r="AN82" i="76" s="1"/>
  <c r="AF37" i="76"/>
  <c r="AF31" i="76"/>
  <c r="AF25" i="76"/>
  <c r="AF48" i="76"/>
  <c r="AF66" i="76"/>
  <c r="M99" i="105" l="1"/>
  <c r="L99" i="105"/>
  <c r="AA142" i="105"/>
  <c r="AE141" i="105"/>
  <c r="J100" i="105" s="1"/>
  <c r="K100" i="105" s="1"/>
  <c r="T100" i="105"/>
  <c r="S100" i="105"/>
  <c r="N98" i="105"/>
  <c r="AK143" i="105"/>
  <c r="Q101" i="105"/>
  <c r="R101" i="105" s="1"/>
  <c r="U99" i="105"/>
  <c r="AO73" i="76"/>
  <c r="AO75" i="76" s="1"/>
  <c r="AO82" i="76" s="1"/>
  <c r="AO49" i="76"/>
  <c r="AO51" i="76" s="1"/>
  <c r="AN49" i="76"/>
  <c r="AN51" i="76" s="1"/>
  <c r="AF49" i="76"/>
  <c r="AF51" i="76" s="1"/>
  <c r="U100" i="105" l="1"/>
  <c r="N99" i="105"/>
  <c r="T101" i="105"/>
  <c r="S101" i="105"/>
  <c r="AA143" i="105"/>
  <c r="AE142" i="105"/>
  <c r="J101" i="105" s="1"/>
  <c r="K101" i="105" s="1"/>
  <c r="AK144" i="105"/>
  <c r="Q102" i="105"/>
  <c r="R102" i="105" s="1"/>
  <c r="M100" i="105"/>
  <c r="L100" i="105"/>
  <c r="O21" i="55"/>
  <c r="N100" i="105" l="1"/>
  <c r="T102" i="105"/>
  <c r="S102" i="105"/>
  <c r="U101" i="105"/>
  <c r="AA144" i="105"/>
  <c r="AE143" i="105"/>
  <c r="J102" i="105" s="1"/>
  <c r="K102" i="105" s="1"/>
  <c r="AK145" i="105"/>
  <c r="Q103" i="105"/>
  <c r="R103" i="105" s="1"/>
  <c r="M101" i="105"/>
  <c r="L101" i="105"/>
  <c r="B43" i="69"/>
  <c r="N101" i="105" l="1"/>
  <c r="T103" i="105"/>
  <c r="S103" i="105"/>
  <c r="U102" i="105"/>
  <c r="AA145" i="105"/>
  <c r="AE144" i="105"/>
  <c r="J103" i="105" s="1"/>
  <c r="K103" i="105" s="1"/>
  <c r="AK146" i="105"/>
  <c r="Q104" i="105"/>
  <c r="R104" i="105" s="1"/>
  <c r="M102" i="105"/>
  <c r="L102" i="105"/>
  <c r="AA146" i="105" l="1"/>
  <c r="AE145" i="105"/>
  <c r="J104" i="105" s="1"/>
  <c r="K104" i="105" s="1"/>
  <c r="U103" i="105"/>
  <c r="N102" i="105"/>
  <c r="AK147" i="105"/>
  <c r="Q105" i="105"/>
  <c r="R105" i="105" s="1"/>
  <c r="T104" i="105"/>
  <c r="S104" i="105"/>
  <c r="M103" i="105"/>
  <c r="L103" i="105"/>
  <c r="C37" i="3"/>
  <c r="B38" i="75" s="1"/>
  <c r="B37" i="3"/>
  <c r="AG17" i="1"/>
  <c r="AG24" i="1"/>
  <c r="AG30" i="1"/>
  <c r="AG36" i="1"/>
  <c r="AG47" i="1"/>
  <c r="AG65" i="1"/>
  <c r="AG71" i="1"/>
  <c r="AG72" i="1" l="1"/>
  <c r="AG74" i="1" s="1"/>
  <c r="AG81" i="1" s="1"/>
  <c r="AK148" i="105"/>
  <c r="Q106" i="105"/>
  <c r="R106" i="105" s="1"/>
  <c r="M104" i="105"/>
  <c r="L104" i="105"/>
  <c r="N103" i="105"/>
  <c r="T105" i="105"/>
  <c r="S105" i="105"/>
  <c r="U104" i="105"/>
  <c r="AA147" i="105"/>
  <c r="AE146" i="105"/>
  <c r="J105" i="105" s="1"/>
  <c r="K105" i="105" s="1"/>
  <c r="AG48" i="1"/>
  <c r="AG50" i="1" s="1"/>
  <c r="I43" i="69" l="1"/>
  <c r="L43" i="69" s="1"/>
  <c r="E37" i="3"/>
  <c r="F38" i="75" s="1"/>
  <c r="G38" i="75" s="1"/>
  <c r="U105" i="105"/>
  <c r="N104" i="105"/>
  <c r="M105" i="105"/>
  <c r="L105" i="105"/>
  <c r="T106" i="105"/>
  <c r="S106" i="105"/>
  <c r="AE147" i="105"/>
  <c r="J106" i="105" s="1"/>
  <c r="K106" i="105" s="1"/>
  <c r="AA148" i="105"/>
  <c r="AK149" i="105"/>
  <c r="Q107" i="105"/>
  <c r="R107" i="105" s="1"/>
  <c r="AG53" i="1"/>
  <c r="AF54" i="76" s="1"/>
  <c r="AA149" i="105" l="1"/>
  <c r="AE148" i="105"/>
  <c r="J107" i="105" s="1"/>
  <c r="K107" i="105" s="1"/>
  <c r="U106" i="105"/>
  <c r="M106" i="105"/>
  <c r="L106" i="105"/>
  <c r="T107" i="105"/>
  <c r="S107" i="105"/>
  <c r="AK150" i="105"/>
  <c r="Q108" i="105"/>
  <c r="R108" i="105" s="1"/>
  <c r="N105" i="105"/>
  <c r="T108" i="105" l="1"/>
  <c r="S108" i="105"/>
  <c r="U107" i="105"/>
  <c r="AK151" i="105"/>
  <c r="Q109" i="105"/>
  <c r="R109" i="105" s="1"/>
  <c r="M107" i="105"/>
  <c r="L107" i="105"/>
  <c r="N106" i="105"/>
  <c r="AE149" i="105"/>
  <c r="J108" i="105" s="1"/>
  <c r="K108" i="105" s="1"/>
  <c r="AA150" i="105"/>
  <c r="T109" i="105" l="1"/>
  <c r="S109" i="105"/>
  <c r="AA151" i="105"/>
  <c r="AE150" i="105"/>
  <c r="J109" i="105" s="1"/>
  <c r="K109" i="105" s="1"/>
  <c r="AK152" i="105"/>
  <c r="Q110" i="105"/>
  <c r="R110" i="105" s="1"/>
  <c r="N107" i="105"/>
  <c r="M108" i="105"/>
  <c r="L108" i="105"/>
  <c r="U108" i="105"/>
  <c r="BG17" i="1"/>
  <c r="BG71" i="1"/>
  <c r="BF71" i="1"/>
  <c r="BE71" i="1"/>
  <c r="BD71" i="1"/>
  <c r="BG65" i="1"/>
  <c r="BG72" i="1" s="1"/>
  <c r="BG74" i="1" s="1"/>
  <c r="BG81" i="1" s="1"/>
  <c r="BE65" i="1"/>
  <c r="BD65" i="1"/>
  <c r="BD72" i="1" s="1"/>
  <c r="BD74" i="1" s="1"/>
  <c r="BD81" i="1" s="1"/>
  <c r="BF65" i="1"/>
  <c r="BG47" i="1"/>
  <c r="BD47" i="1"/>
  <c r="BF47" i="1"/>
  <c r="BE47" i="1"/>
  <c r="BG36" i="1"/>
  <c r="BF36" i="1"/>
  <c r="BE36" i="1"/>
  <c r="BD36" i="1"/>
  <c r="BG30" i="1"/>
  <c r="BF30" i="1"/>
  <c r="BE30" i="1"/>
  <c r="BD30" i="1"/>
  <c r="BG24" i="1"/>
  <c r="BF24" i="1"/>
  <c r="BD24" i="1"/>
  <c r="BE24" i="1"/>
  <c r="BF17" i="1"/>
  <c r="BE17" i="1"/>
  <c r="BD17" i="1"/>
  <c r="B53" i="69"/>
  <c r="B52" i="69"/>
  <c r="B51" i="69"/>
  <c r="C47" i="3"/>
  <c r="B48" i="75" s="1"/>
  <c r="B47" i="3"/>
  <c r="C46" i="3"/>
  <c r="B47" i="75" s="1"/>
  <c r="B46" i="3"/>
  <c r="C45" i="3"/>
  <c r="B46" i="75" s="1"/>
  <c r="B45" i="3"/>
  <c r="AS71" i="1"/>
  <c r="AS65" i="1"/>
  <c r="AS47" i="1"/>
  <c r="AS36" i="1"/>
  <c r="AS30" i="1"/>
  <c r="AS24" i="1"/>
  <c r="AS17" i="1"/>
  <c r="AT10" i="1"/>
  <c r="AJ17" i="1"/>
  <c r="AK17" i="1"/>
  <c r="AL17" i="1"/>
  <c r="AM17" i="1"/>
  <c r="AN17" i="1"/>
  <c r="AJ24" i="1"/>
  <c r="AK24" i="1"/>
  <c r="AL24" i="1"/>
  <c r="AM24" i="1"/>
  <c r="AN24" i="1"/>
  <c r="AJ30" i="1"/>
  <c r="AK30" i="1"/>
  <c r="AL30" i="1"/>
  <c r="AM30" i="1"/>
  <c r="AN30" i="1"/>
  <c r="AM36" i="1"/>
  <c r="AJ36" i="1"/>
  <c r="AK36" i="1"/>
  <c r="AL36" i="1"/>
  <c r="AN36" i="1"/>
  <c r="AN47" i="1"/>
  <c r="AJ47" i="1"/>
  <c r="AK47" i="1"/>
  <c r="AL47" i="1"/>
  <c r="AM47" i="1"/>
  <c r="AJ65" i="1"/>
  <c r="AK65" i="1"/>
  <c r="AK72" i="1" s="1"/>
  <c r="AK74" i="1" s="1"/>
  <c r="AK81" i="1" s="1"/>
  <c r="I47" i="69" s="1"/>
  <c r="AL65" i="1"/>
  <c r="AM65" i="1"/>
  <c r="AN65" i="1"/>
  <c r="AJ71" i="1"/>
  <c r="AK71" i="1"/>
  <c r="AL71" i="1"/>
  <c r="AL72" i="1" s="1"/>
  <c r="AL74" i="1" s="1"/>
  <c r="AL81" i="1" s="1"/>
  <c r="I48" i="69" s="1"/>
  <c r="AM71" i="1"/>
  <c r="AN71" i="1"/>
  <c r="AQ71" i="1"/>
  <c r="AQ65" i="1"/>
  <c r="AQ47" i="1"/>
  <c r="AQ36" i="1"/>
  <c r="AQ30" i="1"/>
  <c r="AQ24" i="1"/>
  <c r="AQ17" i="1"/>
  <c r="AP71" i="1"/>
  <c r="AP65" i="1"/>
  <c r="AP47" i="1"/>
  <c r="AP36" i="1"/>
  <c r="AP30" i="1"/>
  <c r="AP24" i="1"/>
  <c r="AP17" i="1"/>
  <c r="AO71" i="1"/>
  <c r="AO65" i="1"/>
  <c r="AO47" i="1"/>
  <c r="AO36" i="1"/>
  <c r="AO30" i="1"/>
  <c r="AO24" i="1"/>
  <c r="AO17" i="1"/>
  <c r="AJ72" i="1" l="1"/>
  <c r="AJ74" i="1" s="1"/>
  <c r="AJ81" i="1" s="1"/>
  <c r="I46" i="69" s="1"/>
  <c r="BE72" i="1"/>
  <c r="BE74" i="1" s="1"/>
  <c r="BE81" i="1" s="1"/>
  <c r="AE151" i="105"/>
  <c r="J110" i="105" s="1"/>
  <c r="K110" i="105" s="1"/>
  <c r="AA152" i="105"/>
  <c r="T110" i="105"/>
  <c r="S110" i="105"/>
  <c r="N108" i="105"/>
  <c r="AK153" i="105"/>
  <c r="Q111" i="105"/>
  <c r="R111" i="105" s="1"/>
  <c r="M109" i="105"/>
  <c r="L109" i="105"/>
  <c r="U109" i="105"/>
  <c r="AK48" i="1"/>
  <c r="AK50" i="1" s="1"/>
  <c r="AK53" i="1" s="1"/>
  <c r="AS48" i="1"/>
  <c r="AS50" i="1" s="1"/>
  <c r="AS53" i="1" s="1"/>
  <c r="BD48" i="1"/>
  <c r="BD50" i="1" s="1"/>
  <c r="BD53" i="1" s="1"/>
  <c r="BG48" i="1"/>
  <c r="BG50" i="1" s="1"/>
  <c r="BG53" i="1" s="1"/>
  <c r="BE48" i="1"/>
  <c r="BE50" i="1" s="1"/>
  <c r="BE53" i="1" s="1"/>
  <c r="BF72" i="1"/>
  <c r="BF74" i="1" s="1"/>
  <c r="BF81" i="1" s="1"/>
  <c r="AP72" i="1"/>
  <c r="AP74" i="1" s="1"/>
  <c r="AP81" i="1" s="1"/>
  <c r="AP48" i="1"/>
  <c r="AP50" i="1" s="1"/>
  <c r="AP53" i="1" s="1"/>
  <c r="AO54" i="76" s="1"/>
  <c r="AO48" i="1"/>
  <c r="AO50" i="1" s="1"/>
  <c r="AO53" i="1" s="1"/>
  <c r="AN54" i="76" s="1"/>
  <c r="AL48" i="1"/>
  <c r="AL50" i="1" s="1"/>
  <c r="AL53" i="1" s="1"/>
  <c r="BF48" i="1"/>
  <c r="BF50" i="1" s="1"/>
  <c r="AM48" i="1"/>
  <c r="AM50" i="1" s="1"/>
  <c r="AM53" i="1" s="1"/>
  <c r="AQ72" i="1"/>
  <c r="AQ74" i="1" s="1"/>
  <c r="AQ81" i="1" s="1"/>
  <c r="I53" i="69" s="1"/>
  <c r="AQ48" i="1"/>
  <c r="AQ50" i="1" s="1"/>
  <c r="AN72" i="1"/>
  <c r="AN74" i="1" s="1"/>
  <c r="AN81" i="1" s="1"/>
  <c r="I50" i="69" s="1"/>
  <c r="AO72" i="1"/>
  <c r="AO74" i="1" s="1"/>
  <c r="AO81" i="1" s="1"/>
  <c r="I51" i="69" s="1"/>
  <c r="AM72" i="1"/>
  <c r="AM74" i="1" s="1"/>
  <c r="AM81" i="1" s="1"/>
  <c r="I49" i="69" s="1"/>
  <c r="AJ48" i="1"/>
  <c r="AJ50" i="1" s="1"/>
  <c r="AJ53" i="1" s="1"/>
  <c r="AS72" i="1"/>
  <c r="AS74" i="1" s="1"/>
  <c r="AS81" i="1" s="1"/>
  <c r="I55" i="69" s="1"/>
  <c r="AN48" i="1"/>
  <c r="AN50" i="1" s="1"/>
  <c r="U110" i="105" l="1"/>
  <c r="N109" i="105"/>
  <c r="AA153" i="105"/>
  <c r="AE152" i="105"/>
  <c r="J111" i="105" s="1"/>
  <c r="K111" i="105" s="1"/>
  <c r="AK154" i="105"/>
  <c r="Q112" i="105"/>
  <c r="R112" i="105" s="1"/>
  <c r="T111" i="105"/>
  <c r="S111" i="105"/>
  <c r="M110" i="105"/>
  <c r="L110" i="105"/>
  <c r="I52" i="69"/>
  <c r="L52" i="69" s="1"/>
  <c r="E46" i="3"/>
  <c r="F47" i="75" s="1"/>
  <c r="BF53" i="1"/>
  <c r="L53" i="69"/>
  <c r="E47" i="3"/>
  <c r="F48" i="75" s="1"/>
  <c r="AQ53" i="1"/>
  <c r="AP54" i="76" s="1"/>
  <c r="L51" i="69"/>
  <c r="E45" i="3"/>
  <c r="F46" i="75" s="1"/>
  <c r="AN53" i="1"/>
  <c r="T112" i="105" l="1"/>
  <c r="S112" i="105"/>
  <c r="AK155" i="105"/>
  <c r="Q113" i="105"/>
  <c r="R113" i="105" s="1"/>
  <c r="N110" i="105"/>
  <c r="M111" i="105"/>
  <c r="L111" i="105"/>
  <c r="U111" i="105"/>
  <c r="AE153" i="105"/>
  <c r="J112" i="105" s="1"/>
  <c r="K112" i="105" s="1"/>
  <c r="AA154" i="105"/>
  <c r="G46" i="75"/>
  <c r="G47" i="75"/>
  <c r="G48" i="75"/>
  <c r="F320" i="5"/>
  <c r="F321" i="5"/>
  <c r="F322" i="5"/>
  <c r="F323" i="5"/>
  <c r="F324" i="5"/>
  <c r="F325" i="5"/>
  <c r="B78" i="69"/>
  <c r="A67" i="69"/>
  <c r="B60" i="69"/>
  <c r="A35" i="69"/>
  <c r="AK156" i="105" l="1"/>
  <c r="Q114" i="105"/>
  <c r="R114" i="105" s="1"/>
  <c r="N111" i="105"/>
  <c r="AA155" i="105"/>
  <c r="AE154" i="105"/>
  <c r="J113" i="105" s="1"/>
  <c r="K113" i="105" s="1"/>
  <c r="M112" i="105"/>
  <c r="L112" i="105"/>
  <c r="T113" i="105"/>
  <c r="S113" i="105"/>
  <c r="U112" i="105"/>
  <c r="AI71" i="1"/>
  <c r="AH71" i="1"/>
  <c r="AF71" i="1"/>
  <c r="AE71" i="1"/>
  <c r="AD71" i="1"/>
  <c r="AI65" i="1"/>
  <c r="AH65" i="1"/>
  <c r="AF65" i="1"/>
  <c r="AF72" i="1" s="1"/>
  <c r="AF74" i="1" s="1"/>
  <c r="AF81" i="1" s="1"/>
  <c r="I42" i="69" s="1"/>
  <c r="AE65" i="1"/>
  <c r="AD65" i="1"/>
  <c r="AI47" i="1"/>
  <c r="AH47" i="1"/>
  <c r="AF47" i="1"/>
  <c r="AE47" i="1"/>
  <c r="AD47" i="1"/>
  <c r="AI36" i="1"/>
  <c r="AH36" i="1"/>
  <c r="AF36" i="1"/>
  <c r="AE36" i="1"/>
  <c r="AD36" i="1"/>
  <c r="AI30" i="1"/>
  <c r="AH30" i="1"/>
  <c r="AF30" i="1"/>
  <c r="AE30" i="1"/>
  <c r="AD30" i="1"/>
  <c r="AI24" i="1"/>
  <c r="AH24" i="1"/>
  <c r="AF24" i="1"/>
  <c r="AE24" i="1"/>
  <c r="AD24" i="1"/>
  <c r="AI17" i="1"/>
  <c r="AH17" i="1"/>
  <c r="AF17" i="1"/>
  <c r="AE17" i="1"/>
  <c r="AD17" i="1"/>
  <c r="X17" i="1"/>
  <c r="X24" i="1"/>
  <c r="X30" i="1"/>
  <c r="X36" i="1"/>
  <c r="X47" i="1"/>
  <c r="X65" i="1"/>
  <c r="X71" i="1"/>
  <c r="AH72" i="1" l="1"/>
  <c r="AH74" i="1" s="1"/>
  <c r="AH81" i="1" s="1"/>
  <c r="I44" i="69" s="1"/>
  <c r="M113" i="105"/>
  <c r="L113" i="105"/>
  <c r="T114" i="105"/>
  <c r="S114" i="105"/>
  <c r="N112" i="105"/>
  <c r="U113" i="105"/>
  <c r="AE155" i="105"/>
  <c r="J114" i="105" s="1"/>
  <c r="K114" i="105" s="1"/>
  <c r="AA156" i="105"/>
  <c r="AK157" i="105"/>
  <c r="Q115" i="105"/>
  <c r="R115" i="105" s="1"/>
  <c r="AE72" i="1"/>
  <c r="AE74" i="1" s="1"/>
  <c r="AE81" i="1" s="1"/>
  <c r="I41" i="69" s="1"/>
  <c r="AD72" i="1"/>
  <c r="AD74" i="1" s="1"/>
  <c r="AD81" i="1" s="1"/>
  <c r="I40" i="69" s="1"/>
  <c r="AI72" i="1"/>
  <c r="AI74" i="1" s="1"/>
  <c r="AI81" i="1" s="1"/>
  <c r="I45" i="69" s="1"/>
  <c r="AI48" i="1"/>
  <c r="AI50" i="1" s="1"/>
  <c r="AF48" i="1"/>
  <c r="AF50" i="1" s="1"/>
  <c r="AF53" i="1" s="1"/>
  <c r="AD48" i="1"/>
  <c r="AD50" i="1" s="1"/>
  <c r="AE48" i="1"/>
  <c r="AE50" i="1" s="1"/>
  <c r="AE53" i="1" s="1"/>
  <c r="AH48" i="1"/>
  <c r="AH50" i="1" s="1"/>
  <c r="X48" i="1"/>
  <c r="X50" i="1" s="1"/>
  <c r="X53" i="1" s="1"/>
  <c r="X72" i="1"/>
  <c r="X74" i="1" s="1"/>
  <c r="X81" i="1" s="1"/>
  <c r="I33" i="69" s="1"/>
  <c r="U114" i="105" l="1"/>
  <c r="AE156" i="105"/>
  <c r="J115" i="105" s="1"/>
  <c r="K115" i="105" s="1"/>
  <c r="AA157" i="105"/>
  <c r="M114" i="105"/>
  <c r="L114" i="105"/>
  <c r="T115" i="105"/>
  <c r="S115" i="105"/>
  <c r="AK158" i="105"/>
  <c r="Q116" i="105"/>
  <c r="R116" i="105" s="1"/>
  <c r="N113" i="105"/>
  <c r="AH53" i="1"/>
  <c r="AI53" i="1"/>
  <c r="AD53" i="1"/>
  <c r="AA158" i="105" l="1"/>
  <c r="AE157" i="105"/>
  <c r="J116" i="105" s="1"/>
  <c r="K116" i="105" s="1"/>
  <c r="AK159" i="105"/>
  <c r="Q117" i="105"/>
  <c r="R117" i="105" s="1"/>
  <c r="T116" i="105"/>
  <c r="S116" i="105"/>
  <c r="M115" i="105"/>
  <c r="L115" i="105"/>
  <c r="U115" i="105"/>
  <c r="N114" i="105"/>
  <c r="B68" i="69"/>
  <c r="B77" i="69"/>
  <c r="B76" i="69"/>
  <c r="B75" i="69"/>
  <c r="B74" i="69"/>
  <c r="B73" i="69"/>
  <c r="B72" i="69"/>
  <c r="B71" i="69"/>
  <c r="B70" i="69"/>
  <c r="B69" i="69"/>
  <c r="B54" i="69"/>
  <c r="B50" i="69"/>
  <c r="B46" i="69"/>
  <c r="B33" i="69"/>
  <c r="AE158" i="105" l="1"/>
  <c r="J117" i="105" s="1"/>
  <c r="K117" i="105" s="1"/>
  <c r="AA159" i="105"/>
  <c r="N115" i="105"/>
  <c r="T117" i="105"/>
  <c r="S117" i="105"/>
  <c r="AK160" i="105"/>
  <c r="Q118" i="105"/>
  <c r="R118" i="105" s="1"/>
  <c r="U116" i="105"/>
  <c r="M116" i="105"/>
  <c r="L116" i="105"/>
  <c r="AU8" i="76"/>
  <c r="AU9" i="76"/>
  <c r="AU10" i="76"/>
  <c r="AU12" i="76"/>
  <c r="AU15" i="76"/>
  <c r="AU16" i="76"/>
  <c r="AU17" i="76"/>
  <c r="AU22" i="76"/>
  <c r="AU23" i="76"/>
  <c r="AU24" i="76"/>
  <c r="AU28" i="76"/>
  <c r="AU29" i="76"/>
  <c r="AU30" i="76"/>
  <c r="AU34" i="76"/>
  <c r="AU35" i="76"/>
  <c r="AU36" i="76"/>
  <c r="AU39" i="76"/>
  <c r="AU40" i="76"/>
  <c r="AU41" i="76"/>
  <c r="AU44" i="76"/>
  <c r="AU45" i="76"/>
  <c r="AU46" i="76"/>
  <c r="AU47" i="76"/>
  <c r="AU56" i="76"/>
  <c r="AU57" i="76"/>
  <c r="AU63" i="76"/>
  <c r="AU64" i="76"/>
  <c r="AU65" i="76"/>
  <c r="AU69" i="76"/>
  <c r="AU70" i="76"/>
  <c r="AU71" i="76"/>
  <c r="AU74" i="76"/>
  <c r="AU76" i="76"/>
  <c r="AU77" i="76"/>
  <c r="AU78" i="76"/>
  <c r="AU79" i="76"/>
  <c r="Z8" i="76"/>
  <c r="AA8" i="76"/>
  <c r="AB8" i="76"/>
  <c r="AC8" i="76"/>
  <c r="AD8" i="76"/>
  <c r="AE8" i="76"/>
  <c r="AG8" i="76"/>
  <c r="AH8" i="76"/>
  <c r="AI8" i="76"/>
  <c r="AJ8" i="76"/>
  <c r="AK8" i="76"/>
  <c r="AL8" i="76"/>
  <c r="AM8" i="76"/>
  <c r="AQ8" i="76"/>
  <c r="AR8" i="76"/>
  <c r="AS8" i="76"/>
  <c r="AT8" i="76"/>
  <c r="AV8" i="76"/>
  <c r="AW8" i="76"/>
  <c r="AX8" i="76"/>
  <c r="AY8" i="76"/>
  <c r="AZ8" i="76"/>
  <c r="BA8" i="76"/>
  <c r="BB8" i="76"/>
  <c r="BC8" i="76"/>
  <c r="BD8" i="76"/>
  <c r="Z9" i="76"/>
  <c r="AA9" i="76"/>
  <c r="AB9" i="76"/>
  <c r="AC9" i="76"/>
  <c r="AD9" i="76"/>
  <c r="AE9" i="76"/>
  <c r="AG9" i="76"/>
  <c r="AH9" i="76"/>
  <c r="AI9" i="76"/>
  <c r="AJ9" i="76"/>
  <c r="AK9" i="76"/>
  <c r="AL9" i="76"/>
  <c r="AM9" i="76"/>
  <c r="AQ9" i="76"/>
  <c r="AR9" i="76"/>
  <c r="AS9" i="76"/>
  <c r="AT9" i="76"/>
  <c r="AV9" i="76"/>
  <c r="AW9" i="76"/>
  <c r="AX9" i="76"/>
  <c r="AY9" i="76"/>
  <c r="AZ9" i="76"/>
  <c r="BA9" i="76"/>
  <c r="BB9" i="76"/>
  <c r="BC9" i="76"/>
  <c r="BD9" i="76"/>
  <c r="Z10" i="76"/>
  <c r="AA10" i="76"/>
  <c r="AB10" i="76"/>
  <c r="AC10" i="76"/>
  <c r="AD10" i="76"/>
  <c r="AE10" i="76"/>
  <c r="AG10" i="76"/>
  <c r="AH10" i="76"/>
  <c r="AI10" i="76"/>
  <c r="AJ10" i="76"/>
  <c r="AK10" i="76"/>
  <c r="AL10" i="76"/>
  <c r="AM10" i="76"/>
  <c r="AQ10" i="76"/>
  <c r="AR10" i="76"/>
  <c r="AS10" i="76"/>
  <c r="AT10" i="76"/>
  <c r="AV10" i="76"/>
  <c r="AW10" i="76"/>
  <c r="AX10" i="76"/>
  <c r="AY10" i="76"/>
  <c r="AZ10" i="76"/>
  <c r="BA10" i="76"/>
  <c r="BB10" i="76"/>
  <c r="BC10" i="76"/>
  <c r="BD10" i="76"/>
  <c r="Z12" i="76"/>
  <c r="AA12" i="76"/>
  <c r="AB12" i="76"/>
  <c r="AC12" i="76"/>
  <c r="AD12" i="76"/>
  <c r="AE12" i="76"/>
  <c r="AG12" i="76"/>
  <c r="AH12" i="76"/>
  <c r="AI12" i="76"/>
  <c r="AJ12" i="76"/>
  <c r="AK12" i="76"/>
  <c r="AL12" i="76"/>
  <c r="AM12" i="76"/>
  <c r="AQ12" i="76"/>
  <c r="AR12" i="76"/>
  <c r="AS12" i="76"/>
  <c r="AT12" i="76"/>
  <c r="AV12" i="76"/>
  <c r="AW12" i="76"/>
  <c r="AX12" i="76"/>
  <c r="AY12" i="76"/>
  <c r="AZ12" i="76"/>
  <c r="BA12" i="76"/>
  <c r="BB12" i="76"/>
  <c r="BC12" i="76"/>
  <c r="BD12" i="76"/>
  <c r="Z15" i="76"/>
  <c r="AA15" i="76"/>
  <c r="AB15" i="76"/>
  <c r="AC15" i="76"/>
  <c r="AD15" i="76"/>
  <c r="AE15" i="76"/>
  <c r="AG15" i="76"/>
  <c r="AH15" i="76"/>
  <c r="AI15" i="76"/>
  <c r="AJ15" i="76"/>
  <c r="AK15" i="76"/>
  <c r="AL15" i="76"/>
  <c r="AM15" i="76"/>
  <c r="AQ15" i="76"/>
  <c r="AR15" i="76"/>
  <c r="AS15" i="76"/>
  <c r="AT15" i="76"/>
  <c r="AV15" i="76"/>
  <c r="AW15" i="76"/>
  <c r="AX15" i="76"/>
  <c r="AY15" i="76"/>
  <c r="AZ15" i="76"/>
  <c r="BA15" i="76"/>
  <c r="BB15" i="76"/>
  <c r="BC15" i="76"/>
  <c r="BD15" i="76"/>
  <c r="Z16" i="76"/>
  <c r="AA16" i="76"/>
  <c r="AB16" i="76"/>
  <c r="AC16" i="76"/>
  <c r="AD16" i="76"/>
  <c r="AE16" i="76"/>
  <c r="AG16" i="76"/>
  <c r="AH16" i="76"/>
  <c r="AI16" i="76"/>
  <c r="AJ16" i="76"/>
  <c r="AK16" i="76"/>
  <c r="AL16" i="76"/>
  <c r="AM16" i="76"/>
  <c r="AQ16" i="76"/>
  <c r="AR16" i="76"/>
  <c r="AS16" i="76"/>
  <c r="AT16" i="76"/>
  <c r="AV16" i="76"/>
  <c r="AW16" i="76"/>
  <c r="AX16" i="76"/>
  <c r="AY16" i="76"/>
  <c r="AZ16" i="76"/>
  <c r="BA16" i="76"/>
  <c r="BB16" i="76"/>
  <c r="BC16" i="76"/>
  <c r="BD16" i="76"/>
  <c r="Z17" i="76"/>
  <c r="AA17" i="76"/>
  <c r="AB17" i="76"/>
  <c r="AC17" i="76"/>
  <c r="AD17" i="76"/>
  <c r="AE17" i="76"/>
  <c r="AG17" i="76"/>
  <c r="AH17" i="76"/>
  <c r="AI17" i="76"/>
  <c r="AJ17" i="76"/>
  <c r="AK17" i="76"/>
  <c r="AL17" i="76"/>
  <c r="AM17" i="76"/>
  <c r="AQ17" i="76"/>
  <c r="AR17" i="76"/>
  <c r="AS17" i="76"/>
  <c r="AT17" i="76"/>
  <c r="AV17" i="76"/>
  <c r="AW17" i="76"/>
  <c r="AX17" i="76"/>
  <c r="AY17" i="76"/>
  <c r="AZ17" i="76"/>
  <c r="BA17" i="76"/>
  <c r="BB17" i="76"/>
  <c r="BC17" i="76"/>
  <c r="Z22" i="76"/>
  <c r="AA22" i="76"/>
  <c r="AB22" i="76"/>
  <c r="AC22" i="76"/>
  <c r="AD22" i="76"/>
  <c r="AE22" i="76"/>
  <c r="AG22" i="76"/>
  <c r="AH22" i="76"/>
  <c r="AI22" i="76"/>
  <c r="AJ22" i="76"/>
  <c r="AK22" i="76"/>
  <c r="AL22" i="76"/>
  <c r="AM22" i="76"/>
  <c r="AQ22" i="76"/>
  <c r="AR22" i="76"/>
  <c r="AS22" i="76"/>
  <c r="AT22" i="76"/>
  <c r="AV22" i="76"/>
  <c r="AW22" i="76"/>
  <c r="AX22" i="76"/>
  <c r="AY22" i="76"/>
  <c r="AZ22" i="76"/>
  <c r="BA22" i="76"/>
  <c r="BB22" i="76"/>
  <c r="BC22" i="76"/>
  <c r="BD22" i="76"/>
  <c r="Z23" i="76"/>
  <c r="AA23" i="76"/>
  <c r="AB23" i="76"/>
  <c r="AC23" i="76"/>
  <c r="AD23" i="76"/>
  <c r="AG23" i="76"/>
  <c r="AH23" i="76"/>
  <c r="AI23" i="76"/>
  <c r="AJ23" i="76"/>
  <c r="AK23" i="76"/>
  <c r="AL23" i="76"/>
  <c r="AQ23" i="76"/>
  <c r="AR23" i="76"/>
  <c r="AS23" i="76"/>
  <c r="AT23" i="76"/>
  <c r="AV23" i="76"/>
  <c r="AW23" i="76"/>
  <c r="AX23" i="76"/>
  <c r="AY23" i="76"/>
  <c r="AZ23" i="76"/>
  <c r="BA23" i="76"/>
  <c r="BC23" i="76"/>
  <c r="BD23" i="76"/>
  <c r="Z24" i="76"/>
  <c r="AA24" i="76"/>
  <c r="AB24" i="76"/>
  <c r="AC24" i="76"/>
  <c r="AD24" i="76"/>
  <c r="AE24" i="76"/>
  <c r="AG24" i="76"/>
  <c r="AH24" i="76"/>
  <c r="AI24" i="76"/>
  <c r="AJ24" i="76"/>
  <c r="AK24" i="76"/>
  <c r="AL24" i="76"/>
  <c r="AM24" i="76"/>
  <c r="AQ24" i="76"/>
  <c r="AR24" i="76"/>
  <c r="AS24" i="76"/>
  <c r="AT24" i="76"/>
  <c r="AV24" i="76"/>
  <c r="AW24" i="76"/>
  <c r="AX24" i="76"/>
  <c r="AY24" i="76"/>
  <c r="AZ24" i="76"/>
  <c r="BA24" i="76"/>
  <c r="BB24" i="76"/>
  <c r="BC24" i="76"/>
  <c r="BD24" i="76"/>
  <c r="Z28" i="76"/>
  <c r="AA28" i="76"/>
  <c r="AB28" i="76"/>
  <c r="AC28" i="76"/>
  <c r="AD28" i="76"/>
  <c r="AE28" i="76"/>
  <c r="AG28" i="76"/>
  <c r="AH28" i="76"/>
  <c r="AI28" i="76"/>
  <c r="AJ28" i="76"/>
  <c r="AK28" i="76"/>
  <c r="AL28" i="76"/>
  <c r="AQ28" i="76"/>
  <c r="AR28" i="76"/>
  <c r="AS28" i="76"/>
  <c r="AT28" i="76"/>
  <c r="AV28" i="76"/>
  <c r="AW28" i="76"/>
  <c r="AX28" i="76"/>
  <c r="AY28" i="76"/>
  <c r="AZ28" i="76"/>
  <c r="BA28" i="76"/>
  <c r="BC28" i="76"/>
  <c r="BD28" i="76"/>
  <c r="Z29" i="76"/>
  <c r="AA29" i="76"/>
  <c r="AB29" i="76"/>
  <c r="AC29" i="76"/>
  <c r="AD29" i="76"/>
  <c r="AE29" i="76"/>
  <c r="AG29" i="76"/>
  <c r="AH29" i="76"/>
  <c r="AI29" i="76"/>
  <c r="AJ29" i="76"/>
  <c r="AK29" i="76"/>
  <c r="AL29" i="76"/>
  <c r="AM29" i="76"/>
  <c r="AQ29" i="76"/>
  <c r="AR29" i="76"/>
  <c r="AS29" i="76"/>
  <c r="AT29" i="76"/>
  <c r="AV29" i="76"/>
  <c r="AW29" i="76"/>
  <c r="AX29" i="76"/>
  <c r="AY29" i="76"/>
  <c r="AZ29" i="76"/>
  <c r="BA29" i="76"/>
  <c r="BB29" i="76"/>
  <c r="BC29" i="76"/>
  <c r="BD29" i="76"/>
  <c r="Z30" i="76"/>
  <c r="AA30" i="76"/>
  <c r="AB30" i="76"/>
  <c r="AC30" i="76"/>
  <c r="AD30" i="76"/>
  <c r="AE30" i="76"/>
  <c r="AG30" i="76"/>
  <c r="AH30" i="76"/>
  <c r="AI30" i="76"/>
  <c r="AJ30" i="76"/>
  <c r="AK30" i="76"/>
  <c r="AL30" i="76"/>
  <c r="AM30" i="76"/>
  <c r="AQ30" i="76"/>
  <c r="AR30" i="76"/>
  <c r="AS30" i="76"/>
  <c r="AT30" i="76"/>
  <c r="AV30" i="76"/>
  <c r="AW30" i="76"/>
  <c r="AX30" i="76"/>
  <c r="AY30" i="76"/>
  <c r="AZ30" i="76"/>
  <c r="BA30" i="76"/>
  <c r="BB30" i="76"/>
  <c r="BC30" i="76"/>
  <c r="BD30" i="76"/>
  <c r="Z34" i="76"/>
  <c r="AA34" i="76"/>
  <c r="AB34" i="76"/>
  <c r="AC34" i="76"/>
  <c r="AD34" i="76"/>
  <c r="AG34" i="76"/>
  <c r="AH34" i="76"/>
  <c r="AI34" i="76"/>
  <c r="AJ34" i="76"/>
  <c r="AK34" i="76"/>
  <c r="AL34" i="76"/>
  <c r="AQ34" i="76"/>
  <c r="AR34" i="76"/>
  <c r="AS34" i="76"/>
  <c r="AT34" i="76"/>
  <c r="AV34" i="76"/>
  <c r="AX34" i="76"/>
  <c r="AY34" i="76"/>
  <c r="AZ34" i="76"/>
  <c r="BA34" i="76"/>
  <c r="BC34" i="76"/>
  <c r="BD34" i="76"/>
  <c r="Z35" i="76"/>
  <c r="AA35" i="76"/>
  <c r="AB35" i="76"/>
  <c r="AC35" i="76"/>
  <c r="AD35" i="76"/>
  <c r="AE35" i="76"/>
  <c r="AG35" i="76"/>
  <c r="AH35" i="76"/>
  <c r="AI35" i="76"/>
  <c r="AJ35" i="76"/>
  <c r="AK35" i="76"/>
  <c r="AL35" i="76"/>
  <c r="AM35" i="76"/>
  <c r="AQ35" i="76"/>
  <c r="AR35" i="76"/>
  <c r="AS35" i="76"/>
  <c r="AT35" i="76"/>
  <c r="AV35" i="76"/>
  <c r="AW35" i="76"/>
  <c r="AX35" i="76"/>
  <c r="AY35" i="76"/>
  <c r="AZ35" i="76"/>
  <c r="BA35" i="76"/>
  <c r="BB35" i="76"/>
  <c r="BC35" i="76"/>
  <c r="BD35" i="76"/>
  <c r="Z36" i="76"/>
  <c r="AA36" i="76"/>
  <c r="AB36" i="76"/>
  <c r="AC36" i="76"/>
  <c r="AD36" i="76"/>
  <c r="AE36" i="76"/>
  <c r="AG36" i="76"/>
  <c r="AH36" i="76"/>
  <c r="AI36" i="76"/>
  <c r="AJ36" i="76"/>
  <c r="AK36" i="76"/>
  <c r="AL36" i="76"/>
  <c r="AM36" i="76"/>
  <c r="AQ36" i="76"/>
  <c r="AR36" i="76"/>
  <c r="AS36" i="76"/>
  <c r="AT36" i="76"/>
  <c r="AV36" i="76"/>
  <c r="AW36" i="76"/>
  <c r="AX36" i="76"/>
  <c r="AY36" i="76"/>
  <c r="AZ36" i="76"/>
  <c r="BA36" i="76"/>
  <c r="BB36" i="76"/>
  <c r="BC36" i="76"/>
  <c r="BD36" i="76"/>
  <c r="Z39" i="76"/>
  <c r="AA39" i="76"/>
  <c r="AB39" i="76"/>
  <c r="AC39" i="76"/>
  <c r="AD39" i="76"/>
  <c r="AG39" i="76"/>
  <c r="AH39" i="76"/>
  <c r="AI39" i="76"/>
  <c r="AJ39" i="76"/>
  <c r="AK39" i="76"/>
  <c r="AL39" i="76"/>
  <c r="AQ39" i="76"/>
  <c r="AR39" i="76"/>
  <c r="AS39" i="76"/>
  <c r="AT39" i="76"/>
  <c r="AV39" i="76"/>
  <c r="AX39" i="76"/>
  <c r="AY39" i="76"/>
  <c r="AZ39" i="76"/>
  <c r="BA39" i="76"/>
  <c r="BC39" i="76"/>
  <c r="BD39" i="76"/>
  <c r="Z40" i="76"/>
  <c r="AA40" i="76"/>
  <c r="AB40" i="76"/>
  <c r="AC40" i="76"/>
  <c r="AD40" i="76"/>
  <c r="AG40" i="76"/>
  <c r="AH40" i="76"/>
  <c r="AI40" i="76"/>
  <c r="AJ40" i="76"/>
  <c r="AK40" i="76"/>
  <c r="AL40" i="76"/>
  <c r="AQ40" i="76"/>
  <c r="AR40" i="76"/>
  <c r="AS40" i="76"/>
  <c r="AT40" i="76"/>
  <c r="AV40" i="76"/>
  <c r="AW40" i="76"/>
  <c r="AX40" i="76"/>
  <c r="AY40" i="76"/>
  <c r="AZ40" i="76"/>
  <c r="BA40" i="76"/>
  <c r="BC40" i="76"/>
  <c r="BD40" i="76"/>
  <c r="Z41" i="76"/>
  <c r="AA41" i="76"/>
  <c r="AB41" i="76"/>
  <c r="AC41" i="76"/>
  <c r="AD41" i="76"/>
  <c r="AE41" i="76"/>
  <c r="AG41" i="76"/>
  <c r="AH41" i="76"/>
  <c r="AI41" i="76"/>
  <c r="AJ41" i="76"/>
  <c r="AK41" i="76"/>
  <c r="AL41" i="76"/>
  <c r="AM41" i="76"/>
  <c r="AQ41" i="76"/>
  <c r="AR41" i="76"/>
  <c r="AS41" i="76"/>
  <c r="AT41" i="76"/>
  <c r="AV41" i="76"/>
  <c r="AW41" i="76"/>
  <c r="AX41" i="76"/>
  <c r="AY41" i="76"/>
  <c r="AZ41" i="76"/>
  <c r="BA41" i="76"/>
  <c r="BB41" i="76"/>
  <c r="BC41" i="76"/>
  <c r="BD41" i="76"/>
  <c r="Z44" i="76"/>
  <c r="AA44" i="76"/>
  <c r="AB44" i="76"/>
  <c r="AC44" i="76"/>
  <c r="AD44" i="76"/>
  <c r="AG44" i="76"/>
  <c r="AH44" i="76"/>
  <c r="AI44" i="76"/>
  <c r="AJ44" i="76"/>
  <c r="AK44" i="76"/>
  <c r="AL44" i="76"/>
  <c r="AQ44" i="76"/>
  <c r="AR44" i="76"/>
  <c r="AS44" i="76"/>
  <c r="AT44" i="76"/>
  <c r="AV44" i="76"/>
  <c r="AX44" i="76"/>
  <c r="AY44" i="76"/>
  <c r="AZ44" i="76"/>
  <c r="BA44" i="76"/>
  <c r="BC44" i="76"/>
  <c r="BD44" i="76"/>
  <c r="Z45" i="76"/>
  <c r="AA45" i="76"/>
  <c r="AB45" i="76"/>
  <c r="AC45" i="76"/>
  <c r="AD45" i="76"/>
  <c r="AE45" i="76"/>
  <c r="AG45" i="76"/>
  <c r="AH45" i="76"/>
  <c r="AI45" i="76"/>
  <c r="AJ45" i="76"/>
  <c r="AK45" i="76"/>
  <c r="AL45" i="76"/>
  <c r="AM45" i="76"/>
  <c r="AT45" i="76"/>
  <c r="AV45" i="76"/>
  <c r="AW45" i="76"/>
  <c r="AX45" i="76"/>
  <c r="AY45" i="76"/>
  <c r="AZ45" i="76"/>
  <c r="BA45" i="76"/>
  <c r="BB45" i="76"/>
  <c r="BD45" i="76"/>
  <c r="Z46" i="76"/>
  <c r="AA46" i="76"/>
  <c r="AB46" i="76"/>
  <c r="AD46" i="76"/>
  <c r="AE46" i="76"/>
  <c r="AG46" i="76"/>
  <c r="AH46" i="76"/>
  <c r="AI46" i="76"/>
  <c r="AJ46" i="76"/>
  <c r="AK46" i="76"/>
  <c r="AL46" i="76"/>
  <c r="AM46" i="76"/>
  <c r="AQ46" i="76"/>
  <c r="AR46" i="76"/>
  <c r="AS46" i="76"/>
  <c r="AT46" i="76"/>
  <c r="AV46" i="76"/>
  <c r="AW46" i="76"/>
  <c r="AX46" i="76"/>
  <c r="AY46" i="76"/>
  <c r="AZ46" i="76"/>
  <c r="BA46" i="76"/>
  <c r="BB46" i="76"/>
  <c r="BC46" i="76"/>
  <c r="BD46" i="76"/>
  <c r="Z47" i="76"/>
  <c r="AA47" i="76"/>
  <c r="AB47" i="76"/>
  <c r="AC47" i="76"/>
  <c r="AD47" i="76"/>
  <c r="AE47" i="76"/>
  <c r="AG47" i="76"/>
  <c r="AH47" i="76"/>
  <c r="AI47" i="76"/>
  <c r="AJ47" i="76"/>
  <c r="AK47" i="76"/>
  <c r="AL47" i="76"/>
  <c r="AM47" i="76"/>
  <c r="AQ47" i="76"/>
  <c r="AR47" i="76"/>
  <c r="AS47" i="76"/>
  <c r="AT47" i="76"/>
  <c r="AV47" i="76"/>
  <c r="AW47" i="76"/>
  <c r="AX47" i="76"/>
  <c r="AY47" i="76"/>
  <c r="AZ47" i="76"/>
  <c r="BA47" i="76"/>
  <c r="BB47" i="76"/>
  <c r="BC47" i="76"/>
  <c r="BD47" i="76"/>
  <c r="Z56" i="76"/>
  <c r="AA56" i="76"/>
  <c r="AB56" i="76"/>
  <c r="AC56" i="76"/>
  <c r="AD56" i="76"/>
  <c r="AE56" i="76"/>
  <c r="AG56" i="76"/>
  <c r="AH56" i="76"/>
  <c r="AI56" i="76"/>
  <c r="AJ56" i="76"/>
  <c r="AK56" i="76"/>
  <c r="AL56" i="76"/>
  <c r="AM56" i="76"/>
  <c r="AQ56" i="76"/>
  <c r="AR56" i="76"/>
  <c r="AS56" i="76"/>
  <c r="AT56" i="76"/>
  <c r="AV56" i="76"/>
  <c r="AW56" i="76"/>
  <c r="AX56" i="76"/>
  <c r="AY56" i="76"/>
  <c r="AZ56" i="76"/>
  <c r="BA56" i="76"/>
  <c r="BB56" i="76"/>
  <c r="BC56" i="76"/>
  <c r="BD56" i="76"/>
  <c r="Z57" i="76"/>
  <c r="AA57" i="76"/>
  <c r="AB57" i="76"/>
  <c r="AC57" i="76"/>
  <c r="AD57" i="76"/>
  <c r="AE57" i="76"/>
  <c r="AG57" i="76"/>
  <c r="AH57" i="76"/>
  <c r="AI57" i="76"/>
  <c r="AJ57" i="76"/>
  <c r="AK57" i="76"/>
  <c r="AL57" i="76"/>
  <c r="AM57" i="76"/>
  <c r="AQ57" i="76"/>
  <c r="AR57" i="76"/>
  <c r="AS57" i="76"/>
  <c r="AT57" i="76"/>
  <c r="AV57" i="76"/>
  <c r="AW57" i="76"/>
  <c r="AX57" i="76"/>
  <c r="AY57" i="76"/>
  <c r="AZ57" i="76"/>
  <c r="BA57" i="76"/>
  <c r="BB57" i="76"/>
  <c r="BC57" i="76"/>
  <c r="BD57" i="76"/>
  <c r="Z63" i="76"/>
  <c r="AA63" i="76"/>
  <c r="AB63" i="76"/>
  <c r="AC63" i="76"/>
  <c r="AD63" i="76"/>
  <c r="AE63" i="76"/>
  <c r="AG63" i="76"/>
  <c r="AH63" i="76"/>
  <c r="AI63" i="76"/>
  <c r="AJ63" i="76"/>
  <c r="AK63" i="76"/>
  <c r="AL63" i="76"/>
  <c r="AM63" i="76"/>
  <c r="AQ63" i="76"/>
  <c r="AR63" i="76"/>
  <c r="AS63" i="76"/>
  <c r="AT63" i="76"/>
  <c r="AV63" i="76"/>
  <c r="AW63" i="76"/>
  <c r="AX63" i="76"/>
  <c r="AY63" i="76"/>
  <c r="AZ63" i="76"/>
  <c r="BA63" i="76"/>
  <c r="BB63" i="76"/>
  <c r="BC63" i="76"/>
  <c r="BD63" i="76"/>
  <c r="Z64" i="76"/>
  <c r="AA64" i="76"/>
  <c r="AB64" i="76"/>
  <c r="AC64" i="76"/>
  <c r="AD64" i="76"/>
  <c r="AE64" i="76"/>
  <c r="AG64" i="76"/>
  <c r="AH64" i="76"/>
  <c r="AI64" i="76"/>
  <c r="AJ64" i="76"/>
  <c r="AK64" i="76"/>
  <c r="AL64" i="76"/>
  <c r="AM64" i="76"/>
  <c r="AQ64" i="76"/>
  <c r="AR64" i="76"/>
  <c r="AS64" i="76"/>
  <c r="AT64" i="76"/>
  <c r="AV64" i="76"/>
  <c r="AW64" i="76"/>
  <c r="AX64" i="76"/>
  <c r="AY64" i="76"/>
  <c r="AZ64" i="76"/>
  <c r="BA64" i="76"/>
  <c r="BB64" i="76"/>
  <c r="BC64" i="76"/>
  <c r="BD64" i="76"/>
  <c r="Z65" i="76"/>
  <c r="AA65" i="76"/>
  <c r="AB65" i="76"/>
  <c r="AC65" i="76"/>
  <c r="AD65" i="76"/>
  <c r="AE65" i="76"/>
  <c r="AG65" i="76"/>
  <c r="AH65" i="76"/>
  <c r="AI65" i="76"/>
  <c r="AJ65" i="76"/>
  <c r="AK65" i="76"/>
  <c r="AL65" i="76"/>
  <c r="AM65" i="76"/>
  <c r="AT65" i="76"/>
  <c r="AV65" i="76"/>
  <c r="AW65" i="76"/>
  <c r="AX65" i="76"/>
  <c r="AY65" i="76"/>
  <c r="AZ65" i="76"/>
  <c r="BA65" i="76"/>
  <c r="BB65" i="76"/>
  <c r="BD65" i="76"/>
  <c r="Z69" i="76"/>
  <c r="AA69" i="76"/>
  <c r="AB69" i="76"/>
  <c r="AC69" i="76"/>
  <c r="AD69" i="76"/>
  <c r="AE69" i="76"/>
  <c r="AG69" i="76"/>
  <c r="AH69" i="76"/>
  <c r="AI69" i="76"/>
  <c r="AJ69" i="76"/>
  <c r="AK69" i="76"/>
  <c r="AL69" i="76"/>
  <c r="AM69" i="76"/>
  <c r="AQ69" i="76"/>
  <c r="AR69" i="76"/>
  <c r="AS69" i="76"/>
  <c r="AT69" i="76"/>
  <c r="AV69" i="76"/>
  <c r="AW69" i="76"/>
  <c r="AX69" i="76"/>
  <c r="AY69" i="76"/>
  <c r="AZ69" i="76"/>
  <c r="BA69" i="76"/>
  <c r="BB69" i="76"/>
  <c r="BC69" i="76"/>
  <c r="BD69" i="76"/>
  <c r="Z70" i="76"/>
  <c r="AA70" i="76"/>
  <c r="AB70" i="76"/>
  <c r="AC70" i="76"/>
  <c r="AD70" i="76"/>
  <c r="AE70" i="76"/>
  <c r="AG70" i="76"/>
  <c r="AH70" i="76"/>
  <c r="AI70" i="76"/>
  <c r="AJ70" i="76"/>
  <c r="AK70" i="76"/>
  <c r="AL70" i="76"/>
  <c r="AM70" i="76"/>
  <c r="AQ70" i="76"/>
  <c r="AR70" i="76"/>
  <c r="AS70" i="76"/>
  <c r="AT70" i="76"/>
  <c r="AV70" i="76"/>
  <c r="AW70" i="76"/>
  <c r="AX70" i="76"/>
  <c r="AY70" i="76"/>
  <c r="AZ70" i="76"/>
  <c r="BA70" i="76"/>
  <c r="BB70" i="76"/>
  <c r="BC70" i="76"/>
  <c r="BD70" i="76"/>
  <c r="Z71" i="76"/>
  <c r="AA71" i="76"/>
  <c r="AB71" i="76"/>
  <c r="AC71" i="76"/>
  <c r="AD71" i="76"/>
  <c r="AE71" i="76"/>
  <c r="AG71" i="76"/>
  <c r="AH71" i="76"/>
  <c r="AI71" i="76"/>
  <c r="AJ71" i="76"/>
  <c r="AK71" i="76"/>
  <c r="AL71" i="76"/>
  <c r="AM71" i="76"/>
  <c r="AT71" i="76"/>
  <c r="AV71" i="76"/>
  <c r="AW71" i="76"/>
  <c r="AX71" i="76"/>
  <c r="AY71" i="76"/>
  <c r="AZ71" i="76"/>
  <c r="BA71" i="76"/>
  <c r="BB71" i="76"/>
  <c r="BD71" i="76"/>
  <c r="Z74" i="76"/>
  <c r="AA74" i="76"/>
  <c r="AB74" i="76"/>
  <c r="AC74" i="76"/>
  <c r="AD74" i="76"/>
  <c r="AE74" i="76"/>
  <c r="AG74" i="76"/>
  <c r="AH74" i="76"/>
  <c r="AI74" i="76"/>
  <c r="AJ74" i="76"/>
  <c r="AK74" i="76"/>
  <c r="AL74" i="76"/>
  <c r="AM74" i="76"/>
  <c r="AQ74" i="76"/>
  <c r="AR74" i="76"/>
  <c r="AS74" i="76"/>
  <c r="AT74" i="76"/>
  <c r="AV74" i="76"/>
  <c r="AW74" i="76"/>
  <c r="AX74" i="76"/>
  <c r="AY74" i="76"/>
  <c r="AZ74" i="76"/>
  <c r="BA74" i="76"/>
  <c r="BB74" i="76"/>
  <c r="BC74" i="76"/>
  <c r="BD74" i="76"/>
  <c r="Z76" i="76"/>
  <c r="AA76" i="76"/>
  <c r="AB76" i="76"/>
  <c r="AC76" i="76"/>
  <c r="AD76" i="76"/>
  <c r="AE76" i="76"/>
  <c r="AG76" i="76"/>
  <c r="AH76" i="76"/>
  <c r="AI76" i="76"/>
  <c r="AJ76" i="76"/>
  <c r="AK76" i="76"/>
  <c r="AL76" i="76"/>
  <c r="AM76" i="76"/>
  <c r="AQ76" i="76"/>
  <c r="AR76" i="76"/>
  <c r="AS76" i="76"/>
  <c r="AT76" i="76"/>
  <c r="AV76" i="76"/>
  <c r="AW76" i="76"/>
  <c r="AX76" i="76"/>
  <c r="AY76" i="76"/>
  <c r="AZ76" i="76"/>
  <c r="BA76" i="76"/>
  <c r="BB76" i="76"/>
  <c r="BC76" i="76"/>
  <c r="BD76" i="76"/>
  <c r="Z77" i="76"/>
  <c r="AA77" i="76"/>
  <c r="AB77" i="76"/>
  <c r="AC77" i="76"/>
  <c r="AD77" i="76"/>
  <c r="AE77" i="76"/>
  <c r="AG77" i="76"/>
  <c r="AH77" i="76"/>
  <c r="AI77" i="76"/>
  <c r="AJ77" i="76"/>
  <c r="AK77" i="76"/>
  <c r="AL77" i="76"/>
  <c r="AM77" i="76"/>
  <c r="AQ77" i="76"/>
  <c r="AR77" i="76"/>
  <c r="AS77" i="76"/>
  <c r="AT77" i="76"/>
  <c r="AV77" i="76"/>
  <c r="AW77" i="76"/>
  <c r="AX77" i="76"/>
  <c r="AY77" i="76"/>
  <c r="AZ77" i="76"/>
  <c r="BA77" i="76"/>
  <c r="BB77" i="76"/>
  <c r="BC77" i="76"/>
  <c r="BD77" i="76"/>
  <c r="Z78" i="76"/>
  <c r="AA78" i="76"/>
  <c r="AB78" i="76"/>
  <c r="AC78" i="76"/>
  <c r="AD78" i="76"/>
  <c r="AE78" i="76"/>
  <c r="AG78" i="76"/>
  <c r="AH78" i="76"/>
  <c r="AI78" i="76"/>
  <c r="AJ78" i="76"/>
  <c r="AK78" i="76"/>
  <c r="AL78" i="76"/>
  <c r="AM78" i="76"/>
  <c r="AQ78" i="76"/>
  <c r="AR78" i="76"/>
  <c r="AS78" i="76"/>
  <c r="AT78" i="76"/>
  <c r="AV78" i="76"/>
  <c r="AW78" i="76"/>
  <c r="AX78" i="76"/>
  <c r="AY78" i="76"/>
  <c r="AZ78" i="76"/>
  <c r="BA78" i="76"/>
  <c r="BB78" i="76"/>
  <c r="BC78" i="76"/>
  <c r="BD78" i="76"/>
  <c r="Z79" i="76"/>
  <c r="AA79" i="76"/>
  <c r="AB79" i="76"/>
  <c r="AC79" i="76"/>
  <c r="AD79" i="76"/>
  <c r="AE79" i="76"/>
  <c r="AG79" i="76"/>
  <c r="AH79" i="76"/>
  <c r="AI79" i="76"/>
  <c r="AJ79" i="76"/>
  <c r="AK79" i="76"/>
  <c r="AL79" i="76"/>
  <c r="AM79" i="76"/>
  <c r="AQ79" i="76"/>
  <c r="AR79" i="76"/>
  <c r="AS79" i="76"/>
  <c r="AT79" i="76"/>
  <c r="AV79" i="76"/>
  <c r="AW79" i="76"/>
  <c r="AX79" i="76"/>
  <c r="AY79" i="76"/>
  <c r="AZ79" i="76"/>
  <c r="BA79" i="76"/>
  <c r="BB79" i="76"/>
  <c r="BC79" i="76"/>
  <c r="BD79" i="76"/>
  <c r="X8" i="76"/>
  <c r="X9" i="76"/>
  <c r="X10" i="76"/>
  <c r="X12" i="76"/>
  <c r="X15" i="76"/>
  <c r="X16" i="76"/>
  <c r="X17" i="76"/>
  <c r="X22" i="76"/>
  <c r="X23" i="76"/>
  <c r="X24" i="76"/>
  <c r="X28" i="76"/>
  <c r="X29" i="76"/>
  <c r="X30" i="76"/>
  <c r="X34" i="76"/>
  <c r="X35" i="76"/>
  <c r="X36" i="76"/>
  <c r="X39" i="76"/>
  <c r="X40" i="76"/>
  <c r="X41" i="76"/>
  <c r="X44" i="76"/>
  <c r="X45" i="76"/>
  <c r="X46" i="76"/>
  <c r="X47" i="76"/>
  <c r="X56" i="76"/>
  <c r="X57" i="76"/>
  <c r="X63" i="76"/>
  <c r="X64" i="76"/>
  <c r="X65" i="76"/>
  <c r="X69" i="76"/>
  <c r="X70" i="76"/>
  <c r="X71" i="76"/>
  <c r="X74" i="76"/>
  <c r="X76" i="76"/>
  <c r="X77" i="76"/>
  <c r="X78" i="76"/>
  <c r="X79" i="76"/>
  <c r="AV18" i="76" l="1"/>
  <c r="AK161" i="105"/>
  <c r="Q119" i="105"/>
  <c r="R119" i="105" s="1"/>
  <c r="U117" i="105"/>
  <c r="AA160" i="105"/>
  <c r="AE159" i="105"/>
  <c r="J118" i="105" s="1"/>
  <c r="K118" i="105" s="1"/>
  <c r="N116" i="105"/>
  <c r="T118" i="105"/>
  <c r="S118" i="105"/>
  <c r="M117" i="105"/>
  <c r="L117" i="105"/>
  <c r="Z72" i="76"/>
  <c r="AZ18" i="76"/>
  <c r="AS18" i="76"/>
  <c r="AL18" i="76"/>
  <c r="AH18" i="76"/>
  <c r="AU25" i="76"/>
  <c r="AC18" i="76"/>
  <c r="AM72" i="76"/>
  <c r="AI72" i="76"/>
  <c r="AT66" i="76"/>
  <c r="BD72" i="76"/>
  <c r="AY25" i="76"/>
  <c r="AT72" i="76"/>
  <c r="BD31" i="76"/>
  <c r="AS31" i="76"/>
  <c r="AH31" i="76"/>
  <c r="AC31" i="76"/>
  <c r="AU66" i="76"/>
  <c r="BD48" i="76"/>
  <c r="AL31" i="76"/>
  <c r="BA72" i="76"/>
  <c r="AW72" i="76"/>
  <c r="BC18" i="76"/>
  <c r="AY18" i="76"/>
  <c r="Z66" i="76"/>
  <c r="Z73" i="76" s="1"/>
  <c r="Z75" i="76" s="1"/>
  <c r="Z82" i="76" s="1"/>
  <c r="X66" i="76"/>
  <c r="X31" i="76"/>
  <c r="AU31" i="76"/>
  <c r="AZ31" i="76"/>
  <c r="AV31" i="76"/>
  <c r="AZ48" i="76"/>
  <c r="AV48" i="76"/>
  <c r="AY37" i="76"/>
  <c r="AD72" i="76"/>
  <c r="BA66" i="76"/>
  <c r="AM66" i="76"/>
  <c r="AI66" i="76"/>
  <c r="AD66" i="76"/>
  <c r="AW66" i="76"/>
  <c r="AY31" i="76"/>
  <c r="BD37" i="76"/>
  <c r="AZ37" i="76"/>
  <c r="AV37" i="76"/>
  <c r="AS37" i="76"/>
  <c r="AL37" i="76"/>
  <c r="AH37" i="76"/>
  <c r="AC37" i="76"/>
  <c r="BD25" i="76"/>
  <c r="AZ25" i="76"/>
  <c r="AV25" i="76"/>
  <c r="AS25" i="76"/>
  <c r="AL25" i="76"/>
  <c r="AH25" i="76"/>
  <c r="AC25" i="76"/>
  <c r="AJ72" i="76"/>
  <c r="AE72" i="76"/>
  <c r="AA72" i="76"/>
  <c r="BB72" i="76"/>
  <c r="AX72" i="76"/>
  <c r="AZ72" i="76"/>
  <c r="AV72" i="76"/>
  <c r="AJ66" i="76"/>
  <c r="AE66" i="76"/>
  <c r="AA66" i="76"/>
  <c r="BB66" i="76"/>
  <c r="AX66" i="76"/>
  <c r="BD66" i="76"/>
  <c r="BD73" i="76" s="1"/>
  <c r="BD75" i="76" s="1"/>
  <c r="BD82" i="76" s="1"/>
  <c r="AZ66" i="76"/>
  <c r="AZ73" i="76" s="1"/>
  <c r="AZ75" i="76" s="1"/>
  <c r="AZ82" i="76" s="1"/>
  <c r="AV66" i="76"/>
  <c r="AV73" i="76" s="1"/>
  <c r="AV75" i="76" s="1"/>
  <c r="AV82" i="76" s="1"/>
  <c r="AU37" i="76"/>
  <c r="X48" i="76"/>
  <c r="X18" i="76"/>
  <c r="BC37" i="76"/>
  <c r="BC31" i="76"/>
  <c r="BC25" i="76"/>
  <c r="AU72" i="76"/>
  <c r="AU48" i="76"/>
  <c r="AU18" i="76"/>
  <c r="X72" i="76"/>
  <c r="X25" i="76"/>
  <c r="AK72" i="76"/>
  <c r="AG72" i="76"/>
  <c r="AB72" i="76"/>
  <c r="AY72" i="76"/>
  <c r="AK66" i="76"/>
  <c r="AG66" i="76"/>
  <c r="AB66" i="76"/>
  <c r="AY66" i="76"/>
  <c r="AT48" i="76"/>
  <c r="AI48" i="76"/>
  <c r="AD48" i="76"/>
  <c r="Z48" i="76"/>
  <c r="BA48" i="76"/>
  <c r="AT37" i="76"/>
  <c r="AI37" i="76"/>
  <c r="AD37" i="76"/>
  <c r="Z37" i="76"/>
  <c r="BA37" i="76"/>
  <c r="AT31" i="76"/>
  <c r="AI31" i="76"/>
  <c r="AD31" i="76"/>
  <c r="Z31" i="76"/>
  <c r="BA31" i="76"/>
  <c r="AW31" i="76"/>
  <c r="AT25" i="76"/>
  <c r="AI25" i="76"/>
  <c r="AD25" i="76"/>
  <c r="Z25" i="76"/>
  <c r="BA25" i="76"/>
  <c r="AW25" i="76"/>
  <c r="AT18" i="76"/>
  <c r="AM18" i="76"/>
  <c r="AI18" i="76"/>
  <c r="AD18" i="76"/>
  <c r="Z18" i="76"/>
  <c r="BA18" i="76"/>
  <c r="AW18" i="76"/>
  <c r="AL48" i="76"/>
  <c r="AL72" i="76"/>
  <c r="AH72" i="76"/>
  <c r="AC72" i="76"/>
  <c r="AL66" i="76"/>
  <c r="AH66" i="76"/>
  <c r="AC66" i="76"/>
  <c r="AJ48" i="76"/>
  <c r="AA48" i="76"/>
  <c r="AX48" i="76"/>
  <c r="AQ37" i="76"/>
  <c r="AJ37" i="76"/>
  <c r="AA37" i="76"/>
  <c r="AX37" i="76"/>
  <c r="AQ31" i="76"/>
  <c r="AJ31" i="76"/>
  <c r="AE31" i="76"/>
  <c r="AA31" i="76"/>
  <c r="AX31" i="76"/>
  <c r="AQ25" i="76"/>
  <c r="AJ25" i="76"/>
  <c r="AA25" i="76"/>
  <c r="AX25" i="76"/>
  <c r="AQ18" i="76"/>
  <c r="AJ18" i="76"/>
  <c r="AE18" i="76"/>
  <c r="AA18" i="76"/>
  <c r="BB18" i="76"/>
  <c r="AX18" i="76"/>
  <c r="AH48" i="76"/>
  <c r="X37" i="76"/>
  <c r="AK48" i="76"/>
  <c r="AG48" i="76"/>
  <c r="AB48" i="76"/>
  <c r="AY48" i="76"/>
  <c r="AR37" i="76"/>
  <c r="AK37" i="76"/>
  <c r="AG37" i="76"/>
  <c r="AB37" i="76"/>
  <c r="AR31" i="76"/>
  <c r="AK31" i="76"/>
  <c r="AG31" i="76"/>
  <c r="AB31" i="76"/>
  <c r="AR25" i="76"/>
  <c r="AK25" i="76"/>
  <c r="AG25" i="76"/>
  <c r="AB25" i="76"/>
  <c r="AR18" i="76"/>
  <c r="AK18" i="76"/>
  <c r="AG18" i="76"/>
  <c r="AB18" i="76"/>
  <c r="U118" i="105" l="1"/>
  <c r="T119" i="105"/>
  <c r="S119" i="105"/>
  <c r="M118" i="105"/>
  <c r="L118" i="105"/>
  <c r="N117" i="105"/>
  <c r="AE160" i="105"/>
  <c r="J119" i="105" s="1"/>
  <c r="K119" i="105" s="1"/>
  <c r="AA161" i="105"/>
  <c r="AK162" i="105"/>
  <c r="Q120" i="105"/>
  <c r="R120" i="105" s="1"/>
  <c r="AI73" i="76"/>
  <c r="AI75" i="76" s="1"/>
  <c r="AI82" i="76" s="1"/>
  <c r="AM73" i="76"/>
  <c r="AM75" i="76" s="1"/>
  <c r="AM82" i="76" s="1"/>
  <c r="AD73" i="76"/>
  <c r="AD75" i="76" s="1"/>
  <c r="AD82" i="76" s="1"/>
  <c r="BA49" i="76"/>
  <c r="BA51" i="76" s="1"/>
  <c r="AV49" i="76"/>
  <c r="AV51" i="76" s="1"/>
  <c r="BB73" i="76"/>
  <c r="BB75" i="76" s="1"/>
  <c r="BB82" i="76" s="1"/>
  <c r="AU73" i="76"/>
  <c r="AU75" i="76" s="1"/>
  <c r="AU82" i="76" s="1"/>
  <c r="AJ49" i="76"/>
  <c r="AJ51" i="76" s="1"/>
  <c r="AK73" i="76"/>
  <c r="AK75" i="76" s="1"/>
  <c r="AK82" i="76" s="1"/>
  <c r="AA73" i="76"/>
  <c r="AA75" i="76" s="1"/>
  <c r="AA82" i="76" s="1"/>
  <c r="AY49" i="76"/>
  <c r="AY51" i="76" s="1"/>
  <c r="AT73" i="76"/>
  <c r="AT75" i="76" s="1"/>
  <c r="AT82" i="76" s="1"/>
  <c r="AH49" i="76"/>
  <c r="AH51" i="76" s="1"/>
  <c r="AL49" i="76"/>
  <c r="AL51" i="76" s="1"/>
  <c r="BA73" i="76"/>
  <c r="BA75" i="76" s="1"/>
  <c r="BA82" i="76" s="1"/>
  <c r="Z49" i="76"/>
  <c r="Z51" i="76" s="1"/>
  <c r="AU49" i="76"/>
  <c r="AU51" i="76" s="1"/>
  <c r="AZ49" i="76"/>
  <c r="AZ51" i="76" s="1"/>
  <c r="AW73" i="76"/>
  <c r="AW75" i="76" s="1"/>
  <c r="AW82" i="76" s="1"/>
  <c r="BD49" i="76"/>
  <c r="X73" i="76"/>
  <c r="X75" i="76" s="1"/>
  <c r="X82" i="76" s="1"/>
  <c r="AC73" i="76"/>
  <c r="AC75" i="76" s="1"/>
  <c r="AC82" i="76" s="1"/>
  <c r="AB73" i="76"/>
  <c r="AB75" i="76" s="1"/>
  <c r="AB82" i="76" s="1"/>
  <c r="X49" i="76"/>
  <c r="X51" i="76" s="1"/>
  <c r="AE73" i="76"/>
  <c r="AE75" i="76" s="1"/>
  <c r="AE82" i="76" s="1"/>
  <c r="AD49" i="76"/>
  <c r="AD51" i="76" s="1"/>
  <c r="AA49" i="76"/>
  <c r="AA51" i="76" s="1"/>
  <c r="AI49" i="76"/>
  <c r="AI51" i="76" s="1"/>
  <c r="AT49" i="76"/>
  <c r="AT51" i="76" s="1"/>
  <c r="AG73" i="76"/>
  <c r="AG75" i="76" s="1"/>
  <c r="AG82" i="76" s="1"/>
  <c r="AX73" i="76"/>
  <c r="AX75" i="76" s="1"/>
  <c r="AX82" i="76" s="1"/>
  <c r="AJ73" i="76"/>
  <c r="AJ75" i="76" s="1"/>
  <c r="AJ82" i="76" s="1"/>
  <c r="AB49" i="76"/>
  <c r="AB51" i="76" s="1"/>
  <c r="AY73" i="76"/>
  <c r="AY75" i="76" s="1"/>
  <c r="AY82" i="76" s="1"/>
  <c r="AG49" i="76"/>
  <c r="AG51" i="76" s="1"/>
  <c r="AX49" i="76"/>
  <c r="AX51" i="76" s="1"/>
  <c r="AL73" i="76"/>
  <c r="AL75" i="76" s="1"/>
  <c r="AL82" i="76" s="1"/>
  <c r="AK49" i="76"/>
  <c r="AK51" i="76" s="1"/>
  <c r="AH73" i="76"/>
  <c r="AH75" i="76" s="1"/>
  <c r="AH82" i="76" s="1"/>
  <c r="N23" i="55"/>
  <c r="M23" i="55"/>
  <c r="O22" i="55"/>
  <c r="O23" i="55" s="1"/>
  <c r="AA162" i="105" l="1"/>
  <c r="AE161" i="105"/>
  <c r="J120" i="105" s="1"/>
  <c r="K120" i="105" s="1"/>
  <c r="M119" i="105"/>
  <c r="L119" i="105"/>
  <c r="N118" i="105"/>
  <c r="T120" i="105"/>
  <c r="S120" i="105"/>
  <c r="U119" i="105"/>
  <c r="AK163" i="105"/>
  <c r="Q121" i="105"/>
  <c r="R121" i="105" s="1"/>
  <c r="AW44" i="76"/>
  <c r="AW48" i="76" s="1"/>
  <c r="AW39" i="76"/>
  <c r="AW34" i="76"/>
  <c r="AW37" i="76" s="1"/>
  <c r="AE44" i="76"/>
  <c r="AE48" i="76" s="1"/>
  <c r="AE40" i="76"/>
  <c r="AE39" i="76"/>
  <c r="AE34" i="76"/>
  <c r="AE37" i="76" s="1"/>
  <c r="AE23" i="76"/>
  <c r="AE25" i="76" s="1"/>
  <c r="N119" i="105" l="1"/>
  <c r="T121" i="105"/>
  <c r="S121" i="105"/>
  <c r="M120" i="105"/>
  <c r="L120" i="105"/>
  <c r="AK164" i="105"/>
  <c r="Q122" i="105"/>
  <c r="R122" i="105" s="1"/>
  <c r="U120" i="105"/>
  <c r="AE162" i="105"/>
  <c r="J121" i="105" s="1"/>
  <c r="K121" i="105" s="1"/>
  <c r="AA163" i="105"/>
  <c r="AW49" i="76"/>
  <c r="AW51" i="76" s="1"/>
  <c r="AE49" i="76"/>
  <c r="AE51" i="76" s="1"/>
  <c r="BB44" i="76"/>
  <c r="BB48" i="76" s="1"/>
  <c r="BB40" i="76"/>
  <c r="BB39" i="76"/>
  <c r="BB34" i="76"/>
  <c r="BB37" i="76" s="1"/>
  <c r="BB28" i="76"/>
  <c r="BB31" i="76" s="1"/>
  <c r="BB23" i="76"/>
  <c r="BB25" i="76" s="1"/>
  <c r="AM44" i="76"/>
  <c r="AM48" i="76" s="1"/>
  <c r="AM40" i="76"/>
  <c r="AM39" i="76"/>
  <c r="AM34" i="76"/>
  <c r="AM37" i="76" s="1"/>
  <c r="AM28" i="76"/>
  <c r="AM31" i="76" s="1"/>
  <c r="AM23" i="76"/>
  <c r="AM25" i="76" s="1"/>
  <c r="N120" i="105" l="1"/>
  <c r="U121" i="105"/>
  <c r="AA164" i="105"/>
  <c r="AE163" i="105"/>
  <c r="J122" i="105" s="1"/>
  <c r="K122" i="105" s="1"/>
  <c r="T122" i="105"/>
  <c r="S122" i="105"/>
  <c r="M121" i="105"/>
  <c r="L121" i="105"/>
  <c r="AK165" i="105"/>
  <c r="Q123" i="105"/>
  <c r="R123" i="105" s="1"/>
  <c r="BB49" i="76"/>
  <c r="BB51" i="76" s="1"/>
  <c r="AM49" i="76"/>
  <c r="AM51" i="76" s="1"/>
  <c r="C27" i="3"/>
  <c r="B30" i="75" s="1"/>
  <c r="B27" i="3"/>
  <c r="L33" i="69"/>
  <c r="U122" i="105" l="1"/>
  <c r="N121" i="105"/>
  <c r="M122" i="105"/>
  <c r="L122" i="105"/>
  <c r="T123" i="105"/>
  <c r="S123" i="105"/>
  <c r="AK166" i="105"/>
  <c r="Q124" i="105"/>
  <c r="R124" i="105" s="1"/>
  <c r="AE164" i="105"/>
  <c r="J123" i="105" s="1"/>
  <c r="K123" i="105" s="1"/>
  <c r="AA165" i="105"/>
  <c r="E27" i="3"/>
  <c r="X54" i="76"/>
  <c r="AK167" i="105" l="1"/>
  <c r="Q125" i="105"/>
  <c r="R125" i="105" s="1"/>
  <c r="AA166" i="105"/>
  <c r="AE165" i="105"/>
  <c r="J124" i="105" s="1"/>
  <c r="K124" i="105" s="1"/>
  <c r="T124" i="105"/>
  <c r="S124" i="105"/>
  <c r="N122" i="105"/>
  <c r="M123" i="105"/>
  <c r="L123" i="105"/>
  <c r="U123" i="105"/>
  <c r="F30" i="75"/>
  <c r="G30" i="75" s="1"/>
  <c r="M124" i="105" l="1"/>
  <c r="L124" i="105"/>
  <c r="N123" i="105"/>
  <c r="AE166" i="105"/>
  <c r="J125" i="105" s="1"/>
  <c r="K125" i="105" s="1"/>
  <c r="AA167" i="105"/>
  <c r="T125" i="105"/>
  <c r="S125" i="105"/>
  <c r="U124" i="105"/>
  <c r="AK168" i="105"/>
  <c r="Q126" i="105"/>
  <c r="R126" i="105" s="1"/>
  <c r="BC71" i="76"/>
  <c r="BC72" i="76" s="1"/>
  <c r="AS71" i="76"/>
  <c r="AS72" i="76" s="1"/>
  <c r="AR71" i="76"/>
  <c r="AR72" i="76" s="1"/>
  <c r="AA168" i="105" l="1"/>
  <c r="AE167" i="105"/>
  <c r="J126" i="105" s="1"/>
  <c r="K126" i="105" s="1"/>
  <c r="T126" i="105"/>
  <c r="S126" i="105"/>
  <c r="M125" i="105"/>
  <c r="L125" i="105"/>
  <c r="N124" i="105"/>
  <c r="AK169" i="105"/>
  <c r="Q127" i="105"/>
  <c r="R127" i="105" s="1"/>
  <c r="U125" i="105"/>
  <c r="BC65" i="76"/>
  <c r="BC66" i="76" s="1"/>
  <c r="BC73" i="76" s="1"/>
  <c r="BC75" i="76" s="1"/>
  <c r="BC82" i="76" s="1"/>
  <c r="BC45" i="76"/>
  <c r="BC48" i="76" s="1"/>
  <c r="BC49" i="76" s="1"/>
  <c r="BC51" i="76" s="1"/>
  <c r="AS65" i="76"/>
  <c r="AS66" i="76" s="1"/>
  <c r="AS73" i="76" s="1"/>
  <c r="AS75" i="76" s="1"/>
  <c r="AS82" i="76" s="1"/>
  <c r="AS45" i="76"/>
  <c r="AS48" i="76" s="1"/>
  <c r="AS49" i="76" s="1"/>
  <c r="AS51" i="76" s="1"/>
  <c r="AR65" i="76"/>
  <c r="AR66" i="76" s="1"/>
  <c r="AR73" i="76" s="1"/>
  <c r="AR75" i="76" s="1"/>
  <c r="AR82" i="76" s="1"/>
  <c r="AR45" i="76"/>
  <c r="AR48" i="76" s="1"/>
  <c r="AR49" i="76" s="1"/>
  <c r="AR51" i="76" s="1"/>
  <c r="AQ71" i="76"/>
  <c r="AQ72" i="76" s="1"/>
  <c r="AQ65" i="76"/>
  <c r="AQ66" i="76" s="1"/>
  <c r="AQ45" i="76"/>
  <c r="AQ48" i="76" s="1"/>
  <c r="AQ49" i="76" s="1"/>
  <c r="AQ51" i="76" s="1"/>
  <c r="T127" i="105" l="1"/>
  <c r="S127" i="105"/>
  <c r="U126" i="105"/>
  <c r="AK170" i="105"/>
  <c r="Q128" i="105"/>
  <c r="R128" i="105" s="1"/>
  <c r="M126" i="105"/>
  <c r="L126" i="105"/>
  <c r="N125" i="105"/>
  <c r="AE168" i="105"/>
  <c r="J127" i="105" s="1"/>
  <c r="K127" i="105" s="1"/>
  <c r="AA169" i="105"/>
  <c r="AQ73" i="76"/>
  <c r="AQ75" i="76" s="1"/>
  <c r="AQ82" i="76" s="1"/>
  <c r="AY71" i="1"/>
  <c r="AY65" i="1"/>
  <c r="AY47" i="1"/>
  <c r="AY36" i="1"/>
  <c r="AY30" i="1"/>
  <c r="AY24" i="1"/>
  <c r="AY17" i="1"/>
  <c r="T128" i="105" l="1"/>
  <c r="S128" i="105"/>
  <c r="AA170" i="105"/>
  <c r="AE169" i="105"/>
  <c r="J128" i="105" s="1"/>
  <c r="K128" i="105" s="1"/>
  <c r="AK171" i="105"/>
  <c r="Q129" i="105"/>
  <c r="R129" i="105" s="1"/>
  <c r="U127" i="105"/>
  <c r="M127" i="105"/>
  <c r="L127" i="105"/>
  <c r="N126" i="105"/>
  <c r="AY72" i="1"/>
  <c r="AY74" i="1" s="1"/>
  <c r="AY81" i="1" s="1"/>
  <c r="I68" i="69" s="1"/>
  <c r="L68" i="69" s="1"/>
  <c r="AY48" i="1"/>
  <c r="AY50" i="1" s="1"/>
  <c r="AY53" i="1" s="1"/>
  <c r="AU54" i="76" s="1"/>
  <c r="AE170" i="105" l="1"/>
  <c r="J129" i="105" s="1"/>
  <c r="K129" i="105" s="1"/>
  <c r="AA171" i="105"/>
  <c r="N127" i="105"/>
  <c r="T129" i="105"/>
  <c r="S129" i="105"/>
  <c r="AK172" i="105"/>
  <c r="Q130" i="105"/>
  <c r="R130" i="105" s="1"/>
  <c r="U128" i="105"/>
  <c r="M128" i="105"/>
  <c r="L128" i="105"/>
  <c r="I74" i="69"/>
  <c r="L74" i="69" s="1"/>
  <c r="BA54" i="76"/>
  <c r="BD17" i="76"/>
  <c r="BD18" i="76" s="1"/>
  <c r="BD51" i="76" s="1"/>
  <c r="N128" i="105" l="1"/>
  <c r="U129" i="105"/>
  <c r="AA172" i="105"/>
  <c r="AE171" i="105"/>
  <c r="J130" i="105" s="1"/>
  <c r="K130" i="105" s="1"/>
  <c r="AK173" i="105"/>
  <c r="Q131" i="105"/>
  <c r="R131" i="105" s="1"/>
  <c r="T130" i="105"/>
  <c r="S130" i="105"/>
  <c r="M129" i="105"/>
  <c r="L129" i="105"/>
  <c r="AC46" i="76"/>
  <c r="AC48" i="76" s="1"/>
  <c r="AC49" i="76" s="1"/>
  <c r="AC51" i="76" s="1"/>
  <c r="T131" i="105" l="1"/>
  <c r="S131" i="105"/>
  <c r="AK174" i="105"/>
  <c r="Q132" i="105"/>
  <c r="R132" i="105" s="1"/>
  <c r="M130" i="105"/>
  <c r="L130" i="105"/>
  <c r="U130" i="105"/>
  <c r="N129" i="105"/>
  <c r="AE172" i="105"/>
  <c r="J131" i="105" s="1"/>
  <c r="K131" i="105" s="1"/>
  <c r="AA173" i="105"/>
  <c r="C57" i="3"/>
  <c r="B57" i="3"/>
  <c r="E57" i="3"/>
  <c r="AV17" i="1"/>
  <c r="AV24" i="1"/>
  <c r="AV30" i="1"/>
  <c r="AV36" i="1"/>
  <c r="AV47" i="1"/>
  <c r="AV65" i="1"/>
  <c r="AV71" i="1"/>
  <c r="AK175" i="105" l="1"/>
  <c r="Q133" i="105"/>
  <c r="R133" i="105" s="1"/>
  <c r="N130" i="105"/>
  <c r="AA174" i="105"/>
  <c r="AE173" i="105"/>
  <c r="J132" i="105" s="1"/>
  <c r="K132" i="105" s="1"/>
  <c r="U131" i="105"/>
  <c r="M131" i="105"/>
  <c r="L131" i="105"/>
  <c r="T132" i="105"/>
  <c r="S132" i="105"/>
  <c r="AV72" i="1"/>
  <c r="AV74" i="1" s="1"/>
  <c r="AV81" i="1" s="1"/>
  <c r="I58" i="69" s="1"/>
  <c r="AV48" i="1"/>
  <c r="AV50" i="1" s="1"/>
  <c r="AV53" i="1" s="1"/>
  <c r="N131" i="105" l="1"/>
  <c r="T133" i="105"/>
  <c r="S133" i="105"/>
  <c r="M132" i="105"/>
  <c r="L132" i="105"/>
  <c r="U132" i="105"/>
  <c r="AE174" i="105"/>
  <c r="J133" i="105" s="1"/>
  <c r="K133" i="105" s="1"/>
  <c r="AA175" i="105"/>
  <c r="AK176" i="105"/>
  <c r="Q134" i="105"/>
  <c r="R134" i="105" s="1"/>
  <c r="C58" i="3"/>
  <c r="C40" i="3"/>
  <c r="B41" i="75" s="1"/>
  <c r="B40" i="3"/>
  <c r="AA176" i="105" l="1"/>
  <c r="AE175" i="105"/>
  <c r="J134" i="105" s="1"/>
  <c r="K134" i="105" s="1"/>
  <c r="U133" i="105"/>
  <c r="N132" i="105"/>
  <c r="M133" i="105"/>
  <c r="L133" i="105"/>
  <c r="T134" i="105"/>
  <c r="S134" i="105"/>
  <c r="AK177" i="105"/>
  <c r="Q135" i="105"/>
  <c r="R135" i="105" s="1"/>
  <c r="AZ10" i="1"/>
  <c r="AA10" i="1"/>
  <c r="Z11" i="76" s="1"/>
  <c r="AK178" i="105" l="1"/>
  <c r="Q136" i="105"/>
  <c r="R136" i="105" s="1"/>
  <c r="U134" i="105"/>
  <c r="AE176" i="105"/>
  <c r="J135" i="105" s="1"/>
  <c r="K135" i="105" s="1"/>
  <c r="AA177" i="105"/>
  <c r="N133" i="105"/>
  <c r="T135" i="105"/>
  <c r="U135" i="105" s="1"/>
  <c r="S135" i="105"/>
  <c r="M134" i="105"/>
  <c r="L134" i="105"/>
  <c r="BA10" i="1"/>
  <c r="A69" i="69"/>
  <c r="AV11" i="76"/>
  <c r="AI54" i="76"/>
  <c r="I72" i="82"/>
  <c r="I66" i="82"/>
  <c r="I31" i="82"/>
  <c r="I25" i="82"/>
  <c r="AA178" i="105" l="1"/>
  <c r="AE177" i="105"/>
  <c r="J136" i="105" s="1"/>
  <c r="K136" i="105" s="1"/>
  <c r="T136" i="105"/>
  <c r="U136" i="105" s="1"/>
  <c r="S136" i="105"/>
  <c r="N134" i="105"/>
  <c r="M135" i="105"/>
  <c r="N135" i="105" s="1"/>
  <c r="L135" i="105"/>
  <c r="AK179" i="105"/>
  <c r="Q137" i="105"/>
  <c r="R137" i="105" s="1"/>
  <c r="I73" i="82"/>
  <c r="I75" i="82" s="1"/>
  <c r="I81" i="82" s="1"/>
  <c r="E40" i="3"/>
  <c r="L46" i="69"/>
  <c r="BB10" i="1"/>
  <c r="A70" i="69"/>
  <c r="AW11" i="76"/>
  <c r="BC36" i="1"/>
  <c r="T137" i="105" l="1"/>
  <c r="U137" i="105" s="1"/>
  <c r="S137" i="105"/>
  <c r="M136" i="105"/>
  <c r="N136" i="105" s="1"/>
  <c r="L136" i="105"/>
  <c r="AK180" i="105"/>
  <c r="Q138" i="105"/>
  <c r="R138" i="105" s="1"/>
  <c r="AE178" i="105"/>
  <c r="J137" i="105" s="1"/>
  <c r="K137" i="105" s="1"/>
  <c r="AA179" i="105"/>
  <c r="F41" i="75"/>
  <c r="G41" i="75" s="1"/>
  <c r="BC10" i="1"/>
  <c r="BD10" i="1" s="1"/>
  <c r="BE10" i="1" s="1"/>
  <c r="BF10" i="1" s="1"/>
  <c r="BG10" i="1" s="1"/>
  <c r="A71" i="69"/>
  <c r="AX11" i="76"/>
  <c r="C64" i="3"/>
  <c r="B64" i="3"/>
  <c r="C63" i="3"/>
  <c r="B63" i="3"/>
  <c r="C62" i="3"/>
  <c r="B62" i="3"/>
  <c r="C61" i="3"/>
  <c r="B61" i="3"/>
  <c r="C60" i="3"/>
  <c r="B60" i="3"/>
  <c r="C59" i="3"/>
  <c r="B59" i="3"/>
  <c r="B58" i="3"/>
  <c r="C66" i="3"/>
  <c r="B66" i="3"/>
  <c r="C65" i="3"/>
  <c r="B65" i="3"/>
  <c r="AZ71" i="1"/>
  <c r="AZ65" i="1"/>
  <c r="AZ47" i="1"/>
  <c r="AZ36" i="1"/>
  <c r="AZ30" i="1"/>
  <c r="AZ24" i="1"/>
  <c r="AZ17" i="1"/>
  <c r="AA180" i="105" l="1"/>
  <c r="AE179" i="105"/>
  <c r="J138" i="105" s="1"/>
  <c r="K138" i="105" s="1"/>
  <c r="M137" i="105"/>
  <c r="N137" i="105" s="1"/>
  <c r="L137" i="105"/>
  <c r="T138" i="105"/>
  <c r="U138" i="105" s="1"/>
  <c r="S138" i="105"/>
  <c r="AK181" i="105"/>
  <c r="Q139" i="105"/>
  <c r="R139" i="105" s="1"/>
  <c r="A72" i="69"/>
  <c r="AY11" i="76"/>
  <c r="AZ72" i="1"/>
  <c r="AZ74" i="1" s="1"/>
  <c r="AZ81" i="1" s="1"/>
  <c r="I69" i="69" s="1"/>
  <c r="L69" i="69" s="1"/>
  <c r="AZ48" i="1"/>
  <c r="AZ50" i="1" s="1"/>
  <c r="AZ53" i="1" s="1"/>
  <c r="AV54" i="76" s="1"/>
  <c r="AK182" i="105" l="1"/>
  <c r="Q140" i="105"/>
  <c r="R140" i="105" s="1"/>
  <c r="T139" i="105"/>
  <c r="U139" i="105" s="1"/>
  <c r="S139" i="105"/>
  <c r="M138" i="105"/>
  <c r="N138" i="105" s="1"/>
  <c r="L138" i="105"/>
  <c r="AE180" i="105"/>
  <c r="J139" i="105" s="1"/>
  <c r="K139" i="105" s="1"/>
  <c r="AA181" i="105"/>
  <c r="A73" i="69"/>
  <c r="AZ11" i="76"/>
  <c r="E58" i="3"/>
  <c r="AA182" i="105" l="1"/>
  <c r="AE181" i="105"/>
  <c r="J140" i="105" s="1"/>
  <c r="K140" i="105" s="1"/>
  <c r="M139" i="105"/>
  <c r="N139" i="105" s="1"/>
  <c r="L139" i="105"/>
  <c r="T140" i="105"/>
  <c r="U140" i="105" s="1"/>
  <c r="S140" i="105"/>
  <c r="AK183" i="105"/>
  <c r="Q141" i="105"/>
  <c r="R141" i="105" s="1"/>
  <c r="A74" i="69"/>
  <c r="BA11" i="76"/>
  <c r="H1048576" i="82"/>
  <c r="J72" i="82"/>
  <c r="J66" i="82"/>
  <c r="J31" i="82"/>
  <c r="J25" i="82"/>
  <c r="A4" i="82"/>
  <c r="A3" i="82"/>
  <c r="A2" i="82"/>
  <c r="A1" i="82"/>
  <c r="T141" i="105" l="1"/>
  <c r="U141" i="105" s="1"/>
  <c r="S141" i="105"/>
  <c r="AK184" i="105"/>
  <c r="Q142" i="105"/>
  <c r="R142" i="105" s="1"/>
  <c r="M140" i="105"/>
  <c r="N140" i="105" s="1"/>
  <c r="L140" i="105"/>
  <c r="AE182" i="105"/>
  <c r="J141" i="105" s="1"/>
  <c r="K141" i="105" s="1"/>
  <c r="AA183" i="105"/>
  <c r="A75" i="69"/>
  <c r="BB11" i="76"/>
  <c r="J73" i="82"/>
  <c r="J75" i="82" s="1"/>
  <c r="J81" i="82" s="1"/>
  <c r="M141" i="105" l="1"/>
  <c r="N141" i="105" s="1"/>
  <c r="L141" i="105"/>
  <c r="AA184" i="105"/>
  <c r="AE183" i="105"/>
  <c r="J142" i="105" s="1"/>
  <c r="K142" i="105" s="1"/>
  <c r="AK185" i="105"/>
  <c r="Q143" i="105"/>
  <c r="R143" i="105" s="1"/>
  <c r="T142" i="105"/>
  <c r="U142" i="105" s="1"/>
  <c r="S142" i="105"/>
  <c r="A76" i="69"/>
  <c r="BC11" i="76"/>
  <c r="A65" i="3"/>
  <c r="C44" i="3"/>
  <c r="B45" i="75" s="1"/>
  <c r="B44" i="3"/>
  <c r="C48" i="3"/>
  <c r="B49" i="75" s="1"/>
  <c r="B48" i="3"/>
  <c r="BH71" i="1"/>
  <c r="BH65" i="1"/>
  <c r="BH47" i="1"/>
  <c r="BH36" i="1"/>
  <c r="BH30" i="1"/>
  <c r="BH24" i="1"/>
  <c r="BH17" i="1"/>
  <c r="BC71" i="1"/>
  <c r="BB71" i="1"/>
  <c r="BA71" i="1"/>
  <c r="BC65" i="1"/>
  <c r="BB65" i="1"/>
  <c r="BA65" i="1"/>
  <c r="BC47" i="1"/>
  <c r="BB47" i="1"/>
  <c r="BA47" i="1"/>
  <c r="BB36" i="1"/>
  <c r="BA36" i="1"/>
  <c r="BC30" i="1"/>
  <c r="BB30" i="1"/>
  <c r="BA30" i="1"/>
  <c r="BC24" i="1"/>
  <c r="BB24" i="1"/>
  <c r="BA24" i="1"/>
  <c r="BC17" i="1"/>
  <c r="BB17" i="1"/>
  <c r="BA17" i="1"/>
  <c r="AS11" i="76"/>
  <c r="AR71" i="1"/>
  <c r="AR65" i="1"/>
  <c r="AR47" i="1"/>
  <c r="AR36" i="1"/>
  <c r="AR30" i="1"/>
  <c r="AR24" i="1"/>
  <c r="AR17" i="1"/>
  <c r="M142" i="105" l="1"/>
  <c r="N142" i="105" s="1"/>
  <c r="L142" i="105"/>
  <c r="AE184" i="105"/>
  <c r="J143" i="105" s="1"/>
  <c r="K143" i="105" s="1"/>
  <c r="AA185" i="105"/>
  <c r="T143" i="105"/>
  <c r="U143" i="105" s="1"/>
  <c r="S143" i="105"/>
  <c r="AK186" i="105"/>
  <c r="Q144" i="105"/>
  <c r="R144" i="105" s="1"/>
  <c r="A77" i="69"/>
  <c r="BD11" i="76"/>
  <c r="BC48" i="1"/>
  <c r="BC50" i="1" s="1"/>
  <c r="BC53" i="1" s="1"/>
  <c r="AY54" i="76" s="1"/>
  <c r="AU10" i="1"/>
  <c r="A66" i="3"/>
  <c r="E63" i="3"/>
  <c r="BC72" i="1"/>
  <c r="BH48" i="1"/>
  <c r="BH50" i="1" s="1"/>
  <c r="BH53" i="1" s="1"/>
  <c r="BD54" i="76" s="1"/>
  <c r="BH72" i="1"/>
  <c r="BA72" i="1"/>
  <c r="BA48" i="1"/>
  <c r="BA50" i="1" s="1"/>
  <c r="BB48" i="1"/>
  <c r="BB50" i="1" s="1"/>
  <c r="BB53" i="1" s="1"/>
  <c r="AX54" i="76" s="1"/>
  <c r="BB72" i="1"/>
  <c r="AR48" i="1"/>
  <c r="AR50" i="1" s="1"/>
  <c r="AR53" i="1" s="1"/>
  <c r="AQ54" i="76" s="1"/>
  <c r="AR72" i="1"/>
  <c r="AR74" i="1" s="1"/>
  <c r="AR81" i="1" s="1"/>
  <c r="I54" i="69" s="1"/>
  <c r="BC54" i="76"/>
  <c r="AM54" i="76"/>
  <c r="AA186" i="105" l="1"/>
  <c r="AE185" i="105"/>
  <c r="J144" i="105" s="1"/>
  <c r="K144" i="105" s="1"/>
  <c r="AK187" i="105"/>
  <c r="Q145" i="105"/>
  <c r="R145" i="105" s="1"/>
  <c r="M143" i="105"/>
  <c r="N143" i="105" s="1"/>
  <c r="L143" i="105"/>
  <c r="T144" i="105"/>
  <c r="U144" i="105" s="1"/>
  <c r="S144" i="105"/>
  <c r="BH74" i="1"/>
  <c r="BH81" i="1" s="1"/>
  <c r="BC74" i="1"/>
  <c r="BC81" i="1" s="1"/>
  <c r="BB74" i="1"/>
  <c r="BB81" i="1" s="1"/>
  <c r="BA74" i="1"/>
  <c r="BA81" i="1" s="1"/>
  <c r="E48" i="3"/>
  <c r="F49" i="75" s="1"/>
  <c r="G49" i="75" s="1"/>
  <c r="L54" i="69"/>
  <c r="A57" i="3"/>
  <c r="A68" i="69"/>
  <c r="AU11" i="76"/>
  <c r="E44" i="3"/>
  <c r="L50" i="69"/>
  <c r="AT11" i="76"/>
  <c r="A58" i="3"/>
  <c r="AB10" i="1"/>
  <c r="AA11" i="76" s="1"/>
  <c r="BB54" i="76"/>
  <c r="BA53" i="1"/>
  <c r="AW54" i="76" s="1"/>
  <c r="AZ54" i="76"/>
  <c r="M144" i="105" l="1"/>
  <c r="N144" i="105" s="1"/>
  <c r="L144" i="105"/>
  <c r="T145" i="105"/>
  <c r="U145" i="105" s="1"/>
  <c r="S145" i="105"/>
  <c r="Q146" i="105"/>
  <c r="R146" i="105" s="1"/>
  <c r="AK188" i="105"/>
  <c r="AE186" i="105"/>
  <c r="J145" i="105" s="1"/>
  <c r="K145" i="105" s="1"/>
  <c r="AA187" i="105"/>
  <c r="I71" i="69"/>
  <c r="L71" i="69" s="1"/>
  <c r="E60" i="3"/>
  <c r="I72" i="69"/>
  <c r="L72" i="69" s="1"/>
  <c r="E61" i="3"/>
  <c r="I77" i="69"/>
  <c r="L77" i="69" s="1"/>
  <c r="E66" i="3"/>
  <c r="I76" i="69"/>
  <c r="L76" i="69" s="1"/>
  <c r="E65" i="3"/>
  <c r="I70" i="69"/>
  <c r="L70" i="69" s="1"/>
  <c r="E59" i="3"/>
  <c r="I75" i="69"/>
  <c r="L75" i="69" s="1"/>
  <c r="E64" i="3"/>
  <c r="I73" i="69"/>
  <c r="L73" i="69" s="1"/>
  <c r="E62" i="3"/>
  <c r="F45" i="75"/>
  <c r="G45" i="75" s="1"/>
  <c r="AC10" i="1"/>
  <c r="AD10" i="1" s="1"/>
  <c r="A59" i="3"/>
  <c r="G78" i="5"/>
  <c r="G79" i="5"/>
  <c r="F312" i="5"/>
  <c r="F313" i="5"/>
  <c r="F314" i="5"/>
  <c r="F315" i="5"/>
  <c r="F316" i="5"/>
  <c r="F317" i="5"/>
  <c r="F318" i="5"/>
  <c r="F319" i="5"/>
  <c r="F198" i="5"/>
  <c r="F199" i="5"/>
  <c r="F200" i="5"/>
  <c r="F201" i="5"/>
  <c r="F202" i="5"/>
  <c r="F203" i="5"/>
  <c r="F204" i="5"/>
  <c r="F205" i="5"/>
  <c r="F206" i="5"/>
  <c r="F207" i="5"/>
  <c r="F208" i="5"/>
  <c r="AE187" i="105" l="1"/>
  <c r="AA188" i="105"/>
  <c r="M145" i="105"/>
  <c r="N145" i="105" s="1"/>
  <c r="L145" i="105"/>
  <c r="T146" i="105"/>
  <c r="U146" i="105" s="1"/>
  <c r="S146" i="105"/>
  <c r="L78" i="69"/>
  <c r="F76" i="5"/>
  <c r="AE10" i="1"/>
  <c r="AF10" i="1" s="1"/>
  <c r="AC11" i="76"/>
  <c r="AB11" i="76"/>
  <c r="A60" i="3"/>
  <c r="AG10" i="1" l="1"/>
  <c r="J146" i="105"/>
  <c r="K146" i="105" s="1"/>
  <c r="AE188" i="105"/>
  <c r="AD11" i="76"/>
  <c r="A61" i="3"/>
  <c r="E17" i="56"/>
  <c r="S43" i="1" s="1"/>
  <c r="E12" i="56"/>
  <c r="E29" i="81"/>
  <c r="AH10" i="1" l="1"/>
  <c r="AI10" i="1" s="1"/>
  <c r="AJ10" i="1" s="1"/>
  <c r="AK10" i="1" s="1"/>
  <c r="AL10" i="1" s="1"/>
  <c r="AM10" i="1" s="1"/>
  <c r="AN10" i="1" s="1"/>
  <c r="AO10" i="1" s="1"/>
  <c r="AF11" i="76"/>
  <c r="A43" i="69"/>
  <c r="A37" i="3"/>
  <c r="A38" i="75" s="1"/>
  <c r="M146" i="105"/>
  <c r="N146" i="105" s="1"/>
  <c r="L146" i="105"/>
  <c r="AE11" i="76"/>
  <c r="A62" i="3"/>
  <c r="C40" i="81"/>
  <c r="D40" i="81" s="1"/>
  <c r="E41" i="81" s="1"/>
  <c r="E13" i="81" s="1"/>
  <c r="E19" i="56" s="1"/>
  <c r="E9" i="81"/>
  <c r="E15" i="56" s="1"/>
  <c r="AN11" i="76" l="1"/>
  <c r="AP10" i="1"/>
  <c r="A51" i="69"/>
  <c r="A45" i="3"/>
  <c r="A46" i="75" s="1"/>
  <c r="S35" i="1"/>
  <c r="R35" i="1"/>
  <c r="AG11" i="76"/>
  <c r="A63" i="3"/>
  <c r="E16" i="81"/>
  <c r="E18" i="81" s="1"/>
  <c r="E20" i="81" s="1"/>
  <c r="E25" i="56" s="1"/>
  <c r="AO11" i="76" l="1"/>
  <c r="A52" i="69"/>
  <c r="A46" i="3"/>
  <c r="A47" i="75" s="1"/>
  <c r="AQ10" i="1"/>
  <c r="AH11" i="76"/>
  <c r="A64" i="3"/>
  <c r="E22" i="81"/>
  <c r="AR10" i="1" l="1"/>
  <c r="AS10" i="1" s="1"/>
  <c r="AR11" i="76" s="1"/>
  <c r="AP11" i="76"/>
  <c r="A47" i="3"/>
  <c r="A48" i="75" s="1"/>
  <c r="A53" i="69"/>
  <c r="A40" i="3"/>
  <c r="A41" i="75" s="1"/>
  <c r="A46" i="69"/>
  <c r="AI11" i="76"/>
  <c r="H1048576" i="79"/>
  <c r="K72" i="79"/>
  <c r="K66" i="79"/>
  <c r="K31" i="79"/>
  <c r="K25" i="79"/>
  <c r="A4" i="79"/>
  <c r="A3" i="79"/>
  <c r="A2" i="79"/>
  <c r="A1" i="79"/>
  <c r="K73" i="79" l="1"/>
  <c r="K75" i="79" s="1"/>
  <c r="K81" i="79" s="1"/>
  <c r="B39" i="69" l="1"/>
  <c r="B57" i="69"/>
  <c r="B56" i="69"/>
  <c r="B38" i="69"/>
  <c r="B37" i="69"/>
  <c r="C32" i="3" l="1"/>
  <c r="B32" i="3"/>
  <c r="AB71" i="1"/>
  <c r="AB65" i="1"/>
  <c r="AB47" i="1"/>
  <c r="AB36" i="1"/>
  <c r="AB30" i="1"/>
  <c r="AB24" i="1"/>
  <c r="AB17" i="1"/>
  <c r="B33" i="75" l="1"/>
  <c r="AB72" i="1"/>
  <c r="AB74" i="1" s="1"/>
  <c r="AB81" i="1" s="1"/>
  <c r="AB48" i="1"/>
  <c r="AB50" i="1" s="1"/>
  <c r="AB53" i="1" s="1"/>
  <c r="AA54" i="76" s="1"/>
  <c r="C31" i="3"/>
  <c r="B32" i="75" s="1"/>
  <c r="B31" i="3"/>
  <c r="AA71" i="1"/>
  <c r="AA65" i="1"/>
  <c r="AA47" i="1"/>
  <c r="AA36" i="1"/>
  <c r="AA30" i="1"/>
  <c r="AA24" i="1"/>
  <c r="AA17" i="1"/>
  <c r="I38" i="69" l="1"/>
  <c r="L38" i="69" s="1"/>
  <c r="E32" i="3"/>
  <c r="A37" i="69"/>
  <c r="AA72" i="1"/>
  <c r="AA74" i="1" s="1"/>
  <c r="AA81" i="1" s="1"/>
  <c r="I37" i="69" s="1"/>
  <c r="A31" i="3"/>
  <c r="A32" i="75" s="1"/>
  <c r="A32" i="3"/>
  <c r="A33" i="75" s="1"/>
  <c r="AA48" i="1"/>
  <c r="AA50" i="1" s="1"/>
  <c r="AA53" i="1" s="1"/>
  <c r="Z54" i="76" s="1"/>
  <c r="F33" i="75" l="1"/>
  <c r="G33" i="75" s="1"/>
  <c r="A38" i="69"/>
  <c r="E31" i="3"/>
  <c r="L37" i="69"/>
  <c r="F32" i="75" l="1"/>
  <c r="G32" i="75" s="1"/>
  <c r="C33" i="3"/>
  <c r="B34" i="75" s="1"/>
  <c r="C51" i="3"/>
  <c r="B52" i="75" s="1"/>
  <c r="C50" i="3"/>
  <c r="B51" i="75" s="1"/>
  <c r="B33" i="3"/>
  <c r="B51" i="3"/>
  <c r="B50" i="3"/>
  <c r="AC71" i="1"/>
  <c r="AC65" i="1"/>
  <c r="AC47" i="1"/>
  <c r="AC36" i="1"/>
  <c r="AC30" i="1"/>
  <c r="AC24" i="1"/>
  <c r="AC17" i="1"/>
  <c r="AU71" i="1"/>
  <c r="AU65" i="1"/>
  <c r="AU47" i="1"/>
  <c r="AU36" i="1"/>
  <c r="AU30" i="1"/>
  <c r="AU24" i="1"/>
  <c r="AU17" i="1"/>
  <c r="AT71" i="1"/>
  <c r="AT65" i="1"/>
  <c r="AT47" i="1"/>
  <c r="AT36" i="1"/>
  <c r="AT30" i="1"/>
  <c r="AT24" i="1"/>
  <c r="AT17" i="1"/>
  <c r="F329" i="5"/>
  <c r="F328" i="5"/>
  <c r="F327" i="5"/>
  <c r="F326" i="5"/>
  <c r="F79" i="5"/>
  <c r="E79" i="5" s="1"/>
  <c r="F311" i="5"/>
  <c r="F310" i="5"/>
  <c r="F309" i="5"/>
  <c r="F306" i="5"/>
  <c r="F305" i="5"/>
  <c r="F304" i="5"/>
  <c r="F74" i="5" s="1"/>
  <c r="F303" i="5"/>
  <c r="F302" i="5"/>
  <c r="F301" i="5"/>
  <c r="F300" i="5"/>
  <c r="F299" i="5"/>
  <c r="F298" i="5"/>
  <c r="F297" i="5"/>
  <c r="F296" i="5"/>
  <c r="F295" i="5"/>
  <c r="F294" i="5"/>
  <c r="F293" i="5"/>
  <c r="F292" i="5"/>
  <c r="F291" i="5"/>
  <c r="F290" i="5"/>
  <c r="F289" i="5"/>
  <c r="F288" i="5"/>
  <c r="F287" i="5"/>
  <c r="F286" i="5"/>
  <c r="F285" i="5"/>
  <c r="F284" i="5"/>
  <c r="F283" i="5"/>
  <c r="F70" i="5" s="1"/>
  <c r="F282" i="5"/>
  <c r="F69" i="5" s="1"/>
  <c r="F281" i="5"/>
  <c r="F280" i="5"/>
  <c r="F279" i="5"/>
  <c r="F278" i="5"/>
  <c r="F277" i="5"/>
  <c r="F276" i="5"/>
  <c r="F275" i="5"/>
  <c r="F274" i="5"/>
  <c r="F273" i="5"/>
  <c r="F272" i="5"/>
  <c r="F271" i="5"/>
  <c r="F270" i="5"/>
  <c r="F269" i="5"/>
  <c r="F268" i="5"/>
  <c r="F267" i="5"/>
  <c r="F266" i="5"/>
  <c r="F265" i="5"/>
  <c r="F264" i="5"/>
  <c r="F263" i="5"/>
  <c r="F64" i="5" s="1"/>
  <c r="I64" i="5" s="1"/>
  <c r="F262" i="5"/>
  <c r="F261" i="5"/>
  <c r="F260" i="5"/>
  <c r="F259" i="5"/>
  <c r="F258" i="5"/>
  <c r="F257" i="5"/>
  <c r="F256" i="5"/>
  <c r="F255" i="5"/>
  <c r="F254" i="5"/>
  <c r="F253" i="5"/>
  <c r="F252" i="5"/>
  <c r="F251" i="5"/>
  <c r="F250" i="5"/>
  <c r="F249" i="5"/>
  <c r="F248" i="5"/>
  <c r="F247" i="5"/>
  <c r="F63" i="5" s="1"/>
  <c r="I63" i="5" s="1"/>
  <c r="F246" i="5"/>
  <c r="F245" i="5"/>
  <c r="F244" i="5"/>
  <c r="F243" i="5"/>
  <c r="F242" i="5"/>
  <c r="F241" i="5"/>
  <c r="F240" i="5"/>
  <c r="F239" i="5"/>
  <c r="F238" i="5"/>
  <c r="F237" i="5"/>
  <c r="F236" i="5"/>
  <c r="F235" i="5"/>
  <c r="F234" i="5"/>
  <c r="F230" i="5"/>
  <c r="F229" i="5"/>
  <c r="F57" i="5" s="1"/>
  <c r="F228" i="5"/>
  <c r="F56" i="5" s="1"/>
  <c r="F227" i="5"/>
  <c r="F54" i="5" s="1"/>
  <c r="F226" i="5"/>
  <c r="F225" i="5"/>
  <c r="F224" i="5"/>
  <c r="F223" i="5"/>
  <c r="F222" i="5"/>
  <c r="F221" i="5"/>
  <c r="F220" i="5"/>
  <c r="F219" i="5"/>
  <c r="F218" i="5"/>
  <c r="F47" i="5" s="1"/>
  <c r="E47" i="5" s="1"/>
  <c r="H47" i="5" s="1"/>
  <c r="F217" i="5"/>
  <c r="F216" i="5"/>
  <c r="F215" i="5"/>
  <c r="F214" i="5"/>
  <c r="F213" i="5"/>
  <c r="F212" i="5"/>
  <c r="F211" i="5"/>
  <c r="F210" i="5"/>
  <c r="F209" i="5"/>
  <c r="F197" i="5"/>
  <c r="F196" i="5"/>
  <c r="F195" i="5"/>
  <c r="F194" i="5"/>
  <c r="F193" i="5"/>
  <c r="F192" i="5"/>
  <c r="F44" i="5" s="1"/>
  <c r="F191" i="5"/>
  <c r="F190" i="5"/>
  <c r="F189" i="5"/>
  <c r="F188" i="5"/>
  <c r="F187" i="5"/>
  <c r="F186" i="5"/>
  <c r="F185" i="5"/>
  <c r="F184" i="5"/>
  <c r="F183" i="5"/>
  <c r="F182" i="5"/>
  <c r="F181" i="5"/>
  <c r="F180" i="5"/>
  <c r="F179" i="5"/>
  <c r="F178" i="5"/>
  <c r="F41" i="5" s="1"/>
  <c r="I41" i="5" s="1"/>
  <c r="F177" i="5"/>
  <c r="F176" i="5"/>
  <c r="F175" i="5"/>
  <c r="F174" i="5"/>
  <c r="F173" i="5"/>
  <c r="F172" i="5"/>
  <c r="F171" i="5"/>
  <c r="F170" i="5"/>
  <c r="F169" i="5"/>
  <c r="F168" i="5"/>
  <c r="F167" i="5"/>
  <c r="F166" i="5"/>
  <c r="F39" i="5" s="1"/>
  <c r="I39" i="5" s="1"/>
  <c r="F165" i="5"/>
  <c r="F164" i="5"/>
  <c r="F163" i="5"/>
  <c r="F162" i="5"/>
  <c r="F161" i="5"/>
  <c r="F160" i="5"/>
  <c r="F159" i="5"/>
  <c r="F158" i="5"/>
  <c r="F157" i="5"/>
  <c r="F156" i="5"/>
  <c r="F155" i="5"/>
  <c r="F36" i="5" s="1"/>
  <c r="F154" i="5"/>
  <c r="F35" i="5" s="1"/>
  <c r="F153" i="5"/>
  <c r="F152" i="5"/>
  <c r="F34" i="5" s="1"/>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30" i="5" s="1"/>
  <c r="F124" i="5"/>
  <c r="F123" i="5"/>
  <c r="F122" i="5"/>
  <c r="F121" i="5"/>
  <c r="F28" i="5" s="1"/>
  <c r="F120" i="5"/>
  <c r="F119" i="5"/>
  <c r="F118" i="5"/>
  <c r="F117" i="5"/>
  <c r="F116" i="5"/>
  <c r="F115" i="5"/>
  <c r="F112" i="5"/>
  <c r="F111" i="5"/>
  <c r="F110" i="5"/>
  <c r="F109" i="5"/>
  <c r="F108" i="5"/>
  <c r="F22" i="5" s="1"/>
  <c r="F107" i="5"/>
  <c r="F106" i="5"/>
  <c r="F105" i="5"/>
  <c r="F104" i="5"/>
  <c r="F17" i="5" s="1"/>
  <c r="F103" i="5"/>
  <c r="F102" i="5"/>
  <c r="F101" i="5"/>
  <c r="F100" i="5"/>
  <c r="F99" i="5"/>
  <c r="F98" i="5"/>
  <c r="F97" i="5"/>
  <c r="F96" i="5"/>
  <c r="F95" i="5"/>
  <c r="F94" i="5"/>
  <c r="F15" i="5" s="1"/>
  <c r="F93" i="5"/>
  <c r="F92" i="5"/>
  <c r="F91" i="5"/>
  <c r="F90" i="5"/>
  <c r="F89" i="5"/>
  <c r="F88" i="5"/>
  <c r="G77" i="5"/>
  <c r="E77" i="5" s="1"/>
  <c r="G76" i="5"/>
  <c r="G74" i="5"/>
  <c r="G71" i="5"/>
  <c r="G70" i="5"/>
  <c r="G69" i="5"/>
  <c r="H68" i="5"/>
  <c r="G65" i="5"/>
  <c r="G64" i="5"/>
  <c r="G63" i="5"/>
  <c r="G57" i="5"/>
  <c r="G56" i="5"/>
  <c r="G54" i="5"/>
  <c r="G46" i="5"/>
  <c r="G45" i="5"/>
  <c r="G44" i="5"/>
  <c r="G41" i="5"/>
  <c r="G40" i="5"/>
  <c r="F40" i="5"/>
  <c r="I40" i="5" s="1"/>
  <c r="G39" i="5"/>
  <c r="G36" i="5"/>
  <c r="G35" i="5"/>
  <c r="G34" i="5"/>
  <c r="G30" i="5"/>
  <c r="G29" i="5"/>
  <c r="G28" i="5"/>
  <c r="G24" i="5"/>
  <c r="G23" i="5"/>
  <c r="G22" i="5"/>
  <c r="H21" i="5"/>
  <c r="G17" i="5"/>
  <c r="G16" i="5"/>
  <c r="G15" i="5"/>
  <c r="F23" i="5" l="1"/>
  <c r="F78" i="5"/>
  <c r="F65" i="5"/>
  <c r="I65" i="5" s="1"/>
  <c r="F46" i="5"/>
  <c r="E46" i="5" s="1"/>
  <c r="E78" i="5"/>
  <c r="F29" i="5"/>
  <c r="E29" i="5" s="1"/>
  <c r="H29" i="5" s="1"/>
  <c r="E57" i="5"/>
  <c r="H57" i="5" s="1"/>
  <c r="F24" i="5"/>
  <c r="E24" i="5" s="1"/>
  <c r="H24" i="5" s="1"/>
  <c r="E76" i="5"/>
  <c r="H76" i="5" s="1"/>
  <c r="E35" i="5"/>
  <c r="H35" i="5" s="1"/>
  <c r="AT72" i="1"/>
  <c r="AT74" i="1" s="1"/>
  <c r="AT81" i="1" s="1"/>
  <c r="I56" i="69" s="1"/>
  <c r="E23" i="5"/>
  <c r="H23" i="5" s="1"/>
  <c r="E69" i="5"/>
  <c r="H69" i="5" s="1"/>
  <c r="E70" i="5"/>
  <c r="H70" i="5" s="1"/>
  <c r="E17" i="5"/>
  <c r="H17" i="5" s="1"/>
  <c r="G48" i="5"/>
  <c r="E30" i="5"/>
  <c r="H30" i="5" s="1"/>
  <c r="F45" i="5"/>
  <c r="E45" i="5" s="1"/>
  <c r="H45" i="5" s="1"/>
  <c r="E56" i="5"/>
  <c r="H56" i="5" s="1"/>
  <c r="E74" i="5"/>
  <c r="H74" i="5" s="1"/>
  <c r="F71" i="5"/>
  <c r="E71" i="5" s="1"/>
  <c r="H71" i="5" s="1"/>
  <c r="E39" i="5"/>
  <c r="H39" i="5" s="1"/>
  <c r="E41" i="5"/>
  <c r="H41" i="5" s="1"/>
  <c r="E54" i="5"/>
  <c r="H54" i="5" s="1"/>
  <c r="E64" i="5"/>
  <c r="H64" i="5" s="1"/>
  <c r="AC48" i="1"/>
  <c r="AC50" i="1" s="1"/>
  <c r="AC53" i="1" s="1"/>
  <c r="AB54" i="76" s="1"/>
  <c r="AC72" i="1"/>
  <c r="AC74" i="1" s="1"/>
  <c r="AC81" i="1" s="1"/>
  <c r="I39" i="69" s="1"/>
  <c r="G37" i="5"/>
  <c r="E63" i="5"/>
  <c r="H77" i="5"/>
  <c r="G25" i="5"/>
  <c r="E65" i="5"/>
  <c r="H65" i="5" s="1"/>
  <c r="E36" i="5"/>
  <c r="H36" i="5" s="1"/>
  <c r="G66" i="5"/>
  <c r="G31" i="5"/>
  <c r="G18" i="5"/>
  <c r="E34" i="5"/>
  <c r="H34" i="5" s="1"/>
  <c r="E40" i="5"/>
  <c r="H40" i="5" s="1"/>
  <c r="G72" i="5"/>
  <c r="AC54" i="76"/>
  <c r="AU72" i="1"/>
  <c r="AU74" i="1" s="1"/>
  <c r="AU81" i="1" s="1"/>
  <c r="I57" i="69" s="1"/>
  <c r="AU48" i="1"/>
  <c r="AU50" i="1" s="1"/>
  <c r="AU53" i="1" s="1"/>
  <c r="AT54" i="76" s="1"/>
  <c r="AT48" i="1"/>
  <c r="AT50" i="1" s="1"/>
  <c r="AT53" i="1" s="1"/>
  <c r="AS54" i="76" s="1"/>
  <c r="E15" i="5"/>
  <c r="F37" i="5"/>
  <c r="I37" i="5" s="1"/>
  <c r="F16" i="5"/>
  <c r="E16" i="5" s="1"/>
  <c r="H16" i="5" s="1"/>
  <c r="E22" i="5"/>
  <c r="E28" i="5"/>
  <c r="E44" i="5"/>
  <c r="F31" i="5" l="1"/>
  <c r="I31" i="5" s="1"/>
  <c r="E50" i="3"/>
  <c r="F51" i="75" s="1"/>
  <c r="L56" i="69"/>
  <c r="E51" i="3"/>
  <c r="F52" i="75" s="1"/>
  <c r="L57" i="69"/>
  <c r="E33" i="3"/>
  <c r="L39" i="69"/>
  <c r="G49" i="5"/>
  <c r="G51" i="5" s="1"/>
  <c r="G59" i="5" s="1"/>
  <c r="E72" i="5"/>
  <c r="F25" i="5"/>
  <c r="F72" i="5"/>
  <c r="E66" i="5"/>
  <c r="F48" i="5"/>
  <c r="I48" i="5" s="1"/>
  <c r="E37" i="5"/>
  <c r="H37" i="5" s="1"/>
  <c r="G73" i="5"/>
  <c r="G75" i="5" s="1"/>
  <c r="G82" i="5" s="1"/>
  <c r="F66" i="5"/>
  <c r="H63" i="5"/>
  <c r="H44" i="5"/>
  <c r="E48" i="5"/>
  <c r="E18" i="5"/>
  <c r="H15" i="5"/>
  <c r="E31" i="5"/>
  <c r="H31" i="5" s="1"/>
  <c r="H28" i="5"/>
  <c r="F18" i="5"/>
  <c r="I18" i="5" s="1"/>
  <c r="H22" i="5"/>
  <c r="E25" i="5"/>
  <c r="G52" i="75" l="1"/>
  <c r="G51" i="75"/>
  <c r="E49" i="5"/>
  <c r="I25" i="5"/>
  <c r="F49" i="5"/>
  <c r="F34" i="75"/>
  <c r="G34" i="75" s="1"/>
  <c r="F51" i="5"/>
  <c r="F59" i="5" s="1"/>
  <c r="E73" i="5"/>
  <c r="H72" i="5"/>
  <c r="F73" i="5"/>
  <c r="F75" i="5" s="1"/>
  <c r="F82" i="5" s="1"/>
  <c r="H66" i="5"/>
  <c r="H48" i="5"/>
  <c r="H25" i="5"/>
  <c r="H18" i="5"/>
  <c r="E75" i="5" l="1"/>
  <c r="E82" i="5" s="1"/>
  <c r="H82" i="5" s="1"/>
  <c r="F84" i="5"/>
  <c r="H49" i="5"/>
  <c r="E51" i="5"/>
  <c r="E59" i="5" s="1"/>
  <c r="H51" i="5" l="1"/>
  <c r="E84" i="5"/>
  <c r="H59" i="5"/>
  <c r="F16" i="69" l="1"/>
  <c r="E16" i="69"/>
  <c r="E34" i="69" s="1"/>
  <c r="M11" i="55" l="1"/>
  <c r="O11" i="55" s="1"/>
  <c r="O13" i="55"/>
  <c r="W17" i="1"/>
  <c r="W24" i="1"/>
  <c r="W30" i="1"/>
  <c r="W36" i="1"/>
  <c r="W47" i="1"/>
  <c r="W65" i="1"/>
  <c r="W71" i="1"/>
  <c r="W72" i="1" l="1"/>
  <c r="W74" i="1" s="1"/>
  <c r="W81" i="1" s="1"/>
  <c r="I32" i="69" s="1"/>
  <c r="W48" i="1"/>
  <c r="W50" i="1" s="1"/>
  <c r="W53" i="1" s="1"/>
  <c r="AK54" i="76" l="1"/>
  <c r="W8" i="76" l="1"/>
  <c r="W9" i="76"/>
  <c r="W10" i="76"/>
  <c r="W12" i="76"/>
  <c r="W15" i="76"/>
  <c r="W16" i="76"/>
  <c r="W17" i="76"/>
  <c r="W22" i="76"/>
  <c r="W23" i="76"/>
  <c r="W24" i="76"/>
  <c r="W28" i="76"/>
  <c r="W29" i="76"/>
  <c r="W30" i="76"/>
  <c r="W34" i="76"/>
  <c r="W35" i="76"/>
  <c r="W36" i="76"/>
  <c r="W39" i="76"/>
  <c r="W40" i="76"/>
  <c r="W41" i="76"/>
  <c r="W44" i="76"/>
  <c r="W45" i="76"/>
  <c r="W46" i="76"/>
  <c r="W47" i="76"/>
  <c r="W56" i="76"/>
  <c r="W57" i="76"/>
  <c r="W63" i="76"/>
  <c r="W64" i="76"/>
  <c r="W65" i="76"/>
  <c r="W69" i="76"/>
  <c r="W70" i="76"/>
  <c r="W71" i="76"/>
  <c r="W74" i="76"/>
  <c r="W76" i="76"/>
  <c r="W77" i="76"/>
  <c r="W78" i="76"/>
  <c r="W79" i="76"/>
  <c r="W48" i="76" l="1"/>
  <c r="W18" i="76"/>
  <c r="W31" i="76"/>
  <c r="W37" i="76"/>
  <c r="W25" i="76"/>
  <c r="W66" i="76"/>
  <c r="W72" i="76"/>
  <c r="W73" i="76" l="1"/>
  <c r="W75" i="76" s="1"/>
  <c r="W82" i="76" s="1"/>
  <c r="W49" i="76"/>
  <c r="W51" i="76" s="1"/>
  <c r="E21" i="56" l="1"/>
  <c r="E23" i="56" s="1"/>
  <c r="E27" i="56" l="1"/>
  <c r="M15" i="55"/>
  <c r="F22" i="55" l="1"/>
  <c r="G54" i="3"/>
  <c r="O15" i="55"/>
  <c r="G5" i="3" s="1"/>
  <c r="Q14" i="55"/>
  <c r="AG54" i="1" s="1"/>
  <c r="AF55" i="76" l="1"/>
  <c r="AF59" i="76" s="1"/>
  <c r="AG58" i="1"/>
  <c r="BE54" i="1"/>
  <c r="BE58" i="1" s="1"/>
  <c r="BG54" i="1"/>
  <c r="BG58" i="1" s="1"/>
  <c r="BD54" i="1"/>
  <c r="BD58" i="1" s="1"/>
  <c r="BF54" i="1"/>
  <c r="BF58" i="1" s="1"/>
  <c r="AM54" i="1"/>
  <c r="AM58" i="1" s="1"/>
  <c r="H49" i="69" s="1"/>
  <c r="AL54" i="1"/>
  <c r="AL58" i="1" s="1"/>
  <c r="H48" i="69" s="1"/>
  <c r="AP54" i="1"/>
  <c r="AK54" i="1"/>
  <c r="AK58" i="1" s="1"/>
  <c r="H47" i="69" s="1"/>
  <c r="AS54" i="1"/>
  <c r="AS58" i="1" s="1"/>
  <c r="H55" i="69" s="1"/>
  <c r="AJ54" i="1"/>
  <c r="AJ58" i="1" s="1"/>
  <c r="H46" i="69" s="1"/>
  <c r="AN54" i="1"/>
  <c r="AN58" i="1" s="1"/>
  <c r="H50" i="69" s="1"/>
  <c r="AO54" i="1"/>
  <c r="AQ54" i="1"/>
  <c r="AH54" i="1"/>
  <c r="AH58" i="1" s="1"/>
  <c r="H44" i="69" s="1"/>
  <c r="AF54" i="1"/>
  <c r="AF58" i="1" s="1"/>
  <c r="H42" i="69" s="1"/>
  <c r="AD54" i="1"/>
  <c r="AD58" i="1" s="1"/>
  <c r="H40" i="69" s="1"/>
  <c r="AI54" i="1"/>
  <c r="AI58" i="1" s="1"/>
  <c r="H45" i="69" s="1"/>
  <c r="AE54" i="1"/>
  <c r="AE58" i="1" s="1"/>
  <c r="H41" i="69" s="1"/>
  <c r="X54" i="1"/>
  <c r="X58" i="1" s="1"/>
  <c r="H33" i="69" s="1"/>
  <c r="G22" i="55"/>
  <c r="H22" i="55" s="1"/>
  <c r="AY54" i="1"/>
  <c r="AV54" i="1"/>
  <c r="AV58" i="1" s="1"/>
  <c r="H58" i="69" s="1"/>
  <c r="O10" i="69"/>
  <c r="AZ54" i="1"/>
  <c r="AV55" i="76" s="1"/>
  <c r="AV59" i="76" s="1"/>
  <c r="BB54" i="1"/>
  <c r="AX55" i="76" s="1"/>
  <c r="AX59" i="76" s="1"/>
  <c r="BH54" i="1"/>
  <c r="BD55" i="76" s="1"/>
  <c r="BD59" i="76" s="1"/>
  <c r="BC54" i="1"/>
  <c r="AY55" i="76" s="1"/>
  <c r="AY59" i="76" s="1"/>
  <c r="AZ55" i="76"/>
  <c r="AZ59" i="76" s="1"/>
  <c r="BA54" i="1"/>
  <c r="AW55" i="76" s="1"/>
  <c r="AW59" i="76" s="1"/>
  <c r="BC55" i="76"/>
  <c r="BC59" i="76" s="1"/>
  <c r="AR54" i="1"/>
  <c r="AQ55" i="76" s="1"/>
  <c r="AQ59" i="76" s="1"/>
  <c r="F14" i="55"/>
  <c r="AB54" i="1"/>
  <c r="AA55" i="76" s="1"/>
  <c r="AA59" i="76" s="1"/>
  <c r="AA54" i="1"/>
  <c r="Z55" i="76" s="1"/>
  <c r="Z59" i="76" s="1"/>
  <c r="AT54" i="1"/>
  <c r="AS55" i="76" s="1"/>
  <c r="AS59" i="76" s="1"/>
  <c r="AC54" i="1"/>
  <c r="AB55" i="76" s="1"/>
  <c r="AB59" i="76" s="1"/>
  <c r="AU54" i="1"/>
  <c r="AT55" i="76" s="1"/>
  <c r="AT59" i="76" s="1"/>
  <c r="W54" i="1"/>
  <c r="W58" i="1" s="1"/>
  <c r="H32" i="69" s="1"/>
  <c r="E86" i="1"/>
  <c r="AG88" i="1" s="1"/>
  <c r="C26" i="3"/>
  <c r="B29" i="75" s="1"/>
  <c r="B26" i="3"/>
  <c r="AQ58" i="1" l="1"/>
  <c r="H53" i="69" s="1"/>
  <c r="AP55" i="76"/>
  <c r="AP59" i="76" s="1"/>
  <c r="AO58" i="1"/>
  <c r="H51" i="69" s="1"/>
  <c r="K51" i="69" s="1"/>
  <c r="AN55" i="76"/>
  <c r="AN59" i="76" s="1"/>
  <c r="AP58" i="1"/>
  <c r="H52" i="69" s="1"/>
  <c r="K52" i="69" s="1"/>
  <c r="AO55" i="76"/>
  <c r="AO59" i="76" s="1"/>
  <c r="H43" i="69"/>
  <c r="K43" i="69" s="1"/>
  <c r="D37" i="3"/>
  <c r="F37" i="3" s="1"/>
  <c r="AK55" i="76"/>
  <c r="AK59" i="76" s="1"/>
  <c r="BB55" i="76"/>
  <c r="BB59" i="76" s="1"/>
  <c r="AM55" i="76"/>
  <c r="AM59" i="76" s="1"/>
  <c r="BD88" i="1"/>
  <c r="BF88" i="1"/>
  <c r="BG88" i="1"/>
  <c r="BE88" i="1"/>
  <c r="AC55" i="76"/>
  <c r="AC59" i="76" s="1"/>
  <c r="AN88" i="1"/>
  <c r="AJ88" i="1"/>
  <c r="AS88" i="1"/>
  <c r="AK88" i="1"/>
  <c r="AL88" i="1"/>
  <c r="AQ88" i="1"/>
  <c r="K53" i="69"/>
  <c r="AM88" i="1"/>
  <c r="AO88" i="1"/>
  <c r="X88" i="1"/>
  <c r="AE88" i="1"/>
  <c r="AD88" i="1"/>
  <c r="AI88" i="1"/>
  <c r="AH88" i="1"/>
  <c r="AF88" i="1"/>
  <c r="AY58" i="1"/>
  <c r="AY88" i="1" s="1"/>
  <c r="AU55" i="76"/>
  <c r="AU59" i="76" s="1"/>
  <c r="AI55" i="76"/>
  <c r="AI59" i="76" s="1"/>
  <c r="H74" i="69"/>
  <c r="K74" i="69" s="1"/>
  <c r="BA55" i="76"/>
  <c r="BA59" i="76" s="1"/>
  <c r="X55" i="76"/>
  <c r="X59" i="76" s="1"/>
  <c r="G14" i="55"/>
  <c r="AV88" i="1"/>
  <c r="AR58" i="1"/>
  <c r="H54" i="69" s="1"/>
  <c r="BA58" i="1"/>
  <c r="AZ58" i="1"/>
  <c r="BC58" i="1"/>
  <c r="BB58" i="1"/>
  <c r="BH58" i="1"/>
  <c r="AA58" i="1"/>
  <c r="H37" i="69" s="1"/>
  <c r="AB58" i="1"/>
  <c r="H38" i="69" s="1"/>
  <c r="AC58" i="1"/>
  <c r="H39" i="69" s="1"/>
  <c r="AU58" i="1"/>
  <c r="H57" i="69" s="1"/>
  <c r="AT58" i="1"/>
  <c r="H56" i="69" s="1"/>
  <c r="B32" i="69"/>
  <c r="B30" i="69"/>
  <c r="AP88" i="1" l="1"/>
  <c r="D46" i="3"/>
  <c r="F46" i="3" s="1"/>
  <c r="D45" i="3"/>
  <c r="F45" i="3" s="1"/>
  <c r="D47" i="3"/>
  <c r="F47" i="3" s="1"/>
  <c r="D63" i="3"/>
  <c r="F63" i="3" s="1"/>
  <c r="D62" i="3"/>
  <c r="F62" i="3" s="1"/>
  <c r="H73" i="69"/>
  <c r="K73" i="69" s="1"/>
  <c r="D61" i="3"/>
  <c r="F61" i="3" s="1"/>
  <c r="H72" i="69"/>
  <c r="K72" i="69" s="1"/>
  <c r="D44" i="3"/>
  <c r="F44" i="3" s="1"/>
  <c r="K50" i="69"/>
  <c r="D27" i="3"/>
  <c r="F27" i="3" s="1"/>
  <c r="K33" i="69"/>
  <c r="D40" i="3"/>
  <c r="F40" i="3" s="1"/>
  <c r="K46" i="69"/>
  <c r="D64" i="3"/>
  <c r="F64" i="3" s="1"/>
  <c r="H75" i="69"/>
  <c r="K75" i="69" s="1"/>
  <c r="D57" i="3"/>
  <c r="F57" i="3" s="1"/>
  <c r="H68" i="69"/>
  <c r="K68" i="69" s="1"/>
  <c r="D60" i="3"/>
  <c r="F60" i="3" s="1"/>
  <c r="H71" i="69"/>
  <c r="K71" i="69" s="1"/>
  <c r="D58" i="3"/>
  <c r="F58" i="3" s="1"/>
  <c r="H69" i="69"/>
  <c r="K69" i="69" s="1"/>
  <c r="D48" i="3"/>
  <c r="F48" i="3" s="1"/>
  <c r="K54" i="69"/>
  <c r="D66" i="3"/>
  <c r="F66" i="3" s="1"/>
  <c r="H77" i="69"/>
  <c r="K77" i="69" s="1"/>
  <c r="D65" i="3"/>
  <c r="F65" i="3" s="1"/>
  <c r="H76" i="69"/>
  <c r="K76" i="69" s="1"/>
  <c r="D59" i="3"/>
  <c r="F59" i="3" s="1"/>
  <c r="H70" i="69"/>
  <c r="K70" i="69" s="1"/>
  <c r="BH88" i="1"/>
  <c r="AR88" i="1"/>
  <c r="BC88" i="1"/>
  <c r="BB88" i="1"/>
  <c r="BA88" i="1"/>
  <c r="AZ88" i="1"/>
  <c r="D50" i="3"/>
  <c r="F50" i="3" s="1"/>
  <c r="K56" i="69"/>
  <c r="D33" i="3"/>
  <c r="F33" i="3" s="1"/>
  <c r="K39" i="69"/>
  <c r="D31" i="3"/>
  <c r="F31" i="3" s="1"/>
  <c r="K37" i="69"/>
  <c r="D51" i="3"/>
  <c r="F51" i="3" s="1"/>
  <c r="K57" i="69"/>
  <c r="D32" i="3"/>
  <c r="F32" i="3" s="1"/>
  <c r="K38" i="69"/>
  <c r="AB88" i="1"/>
  <c r="AA88" i="1"/>
  <c r="AT88" i="1"/>
  <c r="AC88" i="1"/>
  <c r="AU88" i="1"/>
  <c r="W55" i="76"/>
  <c r="W54" i="76"/>
  <c r="K78" i="69" l="1"/>
  <c r="W59" i="76"/>
  <c r="E26" i="3"/>
  <c r="L32" i="69"/>
  <c r="F29" i="75" l="1"/>
  <c r="G29" i="75" s="1"/>
  <c r="AE55" i="76"/>
  <c r="AH55" i="76" l="1"/>
  <c r="AJ55" i="76"/>
  <c r="AE54" i="76"/>
  <c r="AE59" i="76" s="1"/>
  <c r="AJ54" i="76"/>
  <c r="AH54" i="76"/>
  <c r="AJ59" i="76" l="1"/>
  <c r="AH59" i="76"/>
  <c r="U8" i="76"/>
  <c r="U9" i="76"/>
  <c r="U12" i="76"/>
  <c r="U15" i="76"/>
  <c r="U16" i="76"/>
  <c r="U17" i="76"/>
  <c r="U22" i="76"/>
  <c r="U23" i="76"/>
  <c r="U24" i="76"/>
  <c r="U28" i="76"/>
  <c r="U29" i="76"/>
  <c r="U30" i="76"/>
  <c r="U34" i="76"/>
  <c r="U35" i="76"/>
  <c r="U36" i="76"/>
  <c r="U39" i="76"/>
  <c r="U40" i="76"/>
  <c r="U41" i="76"/>
  <c r="U44" i="76"/>
  <c r="U45" i="76"/>
  <c r="U46" i="76"/>
  <c r="U47" i="76"/>
  <c r="U56" i="76"/>
  <c r="U57" i="76"/>
  <c r="U63" i="76"/>
  <c r="U64" i="76"/>
  <c r="U65" i="76"/>
  <c r="U69" i="76"/>
  <c r="U70" i="76"/>
  <c r="U71" i="76"/>
  <c r="U74" i="76"/>
  <c r="U76" i="76"/>
  <c r="U77" i="76"/>
  <c r="U78" i="76"/>
  <c r="U79" i="76"/>
  <c r="C24" i="3"/>
  <c r="B27" i="75" s="1"/>
  <c r="B24" i="3"/>
  <c r="U71" i="1"/>
  <c r="U65" i="1"/>
  <c r="U47" i="1"/>
  <c r="U36" i="1"/>
  <c r="U30" i="1"/>
  <c r="U24" i="1"/>
  <c r="U17" i="1"/>
  <c r="U72" i="1" l="1"/>
  <c r="U74" i="1" s="1"/>
  <c r="U81" i="1" s="1"/>
  <c r="U48" i="1"/>
  <c r="U50" i="1" s="1"/>
  <c r="U53" i="1" s="1"/>
  <c r="U66" i="76"/>
  <c r="U25" i="76"/>
  <c r="U72" i="76"/>
  <c r="U31" i="76"/>
  <c r="U37" i="76"/>
  <c r="U48" i="76"/>
  <c r="U18" i="76"/>
  <c r="U54" i="1" l="1"/>
  <c r="I30" i="69"/>
  <c r="E24" i="3"/>
  <c r="L30" i="69"/>
  <c r="U54" i="76"/>
  <c r="U73" i="76"/>
  <c r="U75" i="76" s="1"/>
  <c r="U82" i="76" s="1"/>
  <c r="U49" i="76"/>
  <c r="U51" i="76" s="1"/>
  <c r="F27" i="75" l="1"/>
  <c r="G27" i="75" s="1"/>
  <c r="A3" i="76"/>
  <c r="T79" i="76" l="1"/>
  <c r="T78" i="76"/>
  <c r="T77" i="76"/>
  <c r="T76" i="76"/>
  <c r="T74" i="76"/>
  <c r="T71" i="76"/>
  <c r="T70" i="76"/>
  <c r="T69" i="76"/>
  <c r="T65" i="76"/>
  <c r="T64" i="76"/>
  <c r="T63" i="76"/>
  <c r="T57" i="76"/>
  <c r="T56" i="76"/>
  <c r="T47" i="76"/>
  <c r="T46" i="76"/>
  <c r="T45" i="76"/>
  <c r="T44" i="76"/>
  <c r="T41" i="76"/>
  <c r="T40" i="76"/>
  <c r="T39" i="76"/>
  <c r="T36" i="76"/>
  <c r="T35" i="76"/>
  <c r="T34" i="76"/>
  <c r="T30" i="76"/>
  <c r="T29" i="76"/>
  <c r="T28" i="76"/>
  <c r="T24" i="76"/>
  <c r="T23" i="76"/>
  <c r="T22" i="76"/>
  <c r="T17" i="76"/>
  <c r="T16" i="76"/>
  <c r="T15" i="76"/>
  <c r="T12" i="76"/>
  <c r="T10" i="76"/>
  <c r="T9" i="76"/>
  <c r="T8" i="76"/>
  <c r="T25" i="76" l="1"/>
  <c r="T66" i="76"/>
  <c r="T18" i="76"/>
  <c r="T37" i="76"/>
  <c r="T31" i="76"/>
  <c r="T48" i="76"/>
  <c r="T72" i="76"/>
  <c r="B41" i="69"/>
  <c r="C35" i="3"/>
  <c r="B36" i="75" s="1"/>
  <c r="B35" i="3"/>
  <c r="T49" i="76" l="1"/>
  <c r="T51" i="76" s="1"/>
  <c r="T73" i="76"/>
  <c r="T75" i="76" s="1"/>
  <c r="T82" i="76" s="1"/>
  <c r="AD55" i="76"/>
  <c r="AD54" i="76" l="1"/>
  <c r="AD59" i="76" s="1"/>
  <c r="E35" i="3"/>
  <c r="L41" i="69"/>
  <c r="F36" i="75" l="1"/>
  <c r="G36" i="75" s="1"/>
  <c r="R38" i="1"/>
  <c r="R43" i="1"/>
  <c r="B49" i="69" l="1"/>
  <c r="C43" i="3" l="1"/>
  <c r="B44" i="75" s="1"/>
  <c r="B43" i="3"/>
  <c r="AL55" i="76" l="1"/>
  <c r="AL54" i="76" l="1"/>
  <c r="AL59" i="76" s="1"/>
  <c r="L49" i="69"/>
  <c r="E43" i="3"/>
  <c r="F44" i="75" l="1"/>
  <c r="G44" i="75" s="1"/>
  <c r="Q35" i="76" l="1"/>
  <c r="Z43" i="1"/>
  <c r="Z38" i="1"/>
  <c r="Z35" i="1"/>
  <c r="S38" i="1"/>
  <c r="M17" i="1"/>
  <c r="M24" i="1"/>
  <c r="M30" i="1"/>
  <c r="M36" i="1"/>
  <c r="M47" i="1"/>
  <c r="M65" i="1"/>
  <c r="M71" i="1"/>
  <c r="M48" i="1" l="1"/>
  <c r="M50" i="1" s="1"/>
  <c r="M53" i="1" s="1"/>
  <c r="M72" i="1"/>
  <c r="M74" i="1" s="1"/>
  <c r="M81" i="1" s="1"/>
  <c r="B58" i="69"/>
  <c r="B40" i="69"/>
  <c r="B28" i="69"/>
  <c r="C52" i="3"/>
  <c r="C34" i="3"/>
  <c r="B35" i="75" s="1"/>
  <c r="B52" i="3"/>
  <c r="B34" i="3"/>
  <c r="C30" i="3"/>
  <c r="B31" i="75" s="1"/>
  <c r="B30" i="3"/>
  <c r="C22" i="3"/>
  <c r="B25" i="75" s="1"/>
  <c r="B22" i="3"/>
  <c r="S8" i="76"/>
  <c r="S9" i="76"/>
  <c r="S10" i="76"/>
  <c r="S12" i="76"/>
  <c r="S15" i="76"/>
  <c r="S16" i="76"/>
  <c r="S17" i="76"/>
  <c r="S22" i="76"/>
  <c r="S23" i="76"/>
  <c r="S24" i="76"/>
  <c r="S28" i="76"/>
  <c r="S29" i="76"/>
  <c r="S30" i="76"/>
  <c r="S34" i="76"/>
  <c r="S35" i="76"/>
  <c r="S36" i="76"/>
  <c r="S39" i="76"/>
  <c r="S40" i="76"/>
  <c r="S41" i="76"/>
  <c r="S44" i="76"/>
  <c r="S45" i="76"/>
  <c r="S46" i="76"/>
  <c r="S47" i="76"/>
  <c r="S56" i="76"/>
  <c r="S57" i="76"/>
  <c r="S63" i="76"/>
  <c r="S64" i="76"/>
  <c r="S65" i="76"/>
  <c r="S69" i="76"/>
  <c r="S70" i="76"/>
  <c r="S71" i="76"/>
  <c r="S74" i="76"/>
  <c r="S76" i="76"/>
  <c r="S77" i="76"/>
  <c r="S78" i="76"/>
  <c r="S79" i="76"/>
  <c r="M54" i="1" l="1"/>
  <c r="I22" i="69"/>
  <c r="S18" i="76"/>
  <c r="S48" i="76"/>
  <c r="S37" i="76"/>
  <c r="S66" i="76"/>
  <c r="S72" i="76"/>
  <c r="S25" i="76"/>
  <c r="S31" i="76"/>
  <c r="S71" i="1"/>
  <c r="S65" i="1"/>
  <c r="S47" i="1"/>
  <c r="S36" i="1"/>
  <c r="S30" i="1"/>
  <c r="S24" i="1"/>
  <c r="S17" i="1"/>
  <c r="L40" i="69" l="1"/>
  <c r="E34" i="3"/>
  <c r="S72" i="1"/>
  <c r="S74" i="1" s="1"/>
  <c r="S81" i="1" s="1"/>
  <c r="S73" i="76"/>
  <c r="S75" i="76" s="1"/>
  <c r="S82" i="76" s="1"/>
  <c r="S49" i="76"/>
  <c r="S51" i="76" s="1"/>
  <c r="S48" i="1"/>
  <c r="S50" i="1" s="1"/>
  <c r="S53" i="1" s="1"/>
  <c r="S54" i="1" l="1"/>
  <c r="I28" i="69"/>
  <c r="L28" i="69" s="1"/>
  <c r="F35" i="75"/>
  <c r="G35" i="75" s="1"/>
  <c r="E22" i="3"/>
  <c r="S54" i="76"/>
  <c r="F25" i="75" l="1"/>
  <c r="G25" i="75" s="1"/>
  <c r="B36" i="69"/>
  <c r="Y10" i="76"/>
  <c r="Y8" i="76"/>
  <c r="Y9" i="76"/>
  <c r="Y12" i="76"/>
  <c r="Y15" i="76"/>
  <c r="Y16" i="76"/>
  <c r="Y17" i="76"/>
  <c r="Y22" i="76"/>
  <c r="Y23" i="76"/>
  <c r="Y24" i="76"/>
  <c r="Y28" i="76"/>
  <c r="Y29" i="76"/>
  <c r="Y30" i="76"/>
  <c r="Y34" i="76"/>
  <c r="Y35" i="76"/>
  <c r="Y36" i="76"/>
  <c r="Y39" i="76"/>
  <c r="Y40" i="76"/>
  <c r="Y41" i="76"/>
  <c r="Y44" i="76"/>
  <c r="Y45" i="76"/>
  <c r="Y46" i="76"/>
  <c r="Y47" i="76"/>
  <c r="Y56" i="76"/>
  <c r="Y57" i="76"/>
  <c r="Y63" i="76"/>
  <c r="Y64" i="76"/>
  <c r="Y65" i="76"/>
  <c r="Y69" i="76"/>
  <c r="Y70" i="76"/>
  <c r="Y71" i="76"/>
  <c r="Y74" i="76"/>
  <c r="Y76" i="76"/>
  <c r="Y77" i="76"/>
  <c r="Y78" i="76"/>
  <c r="Y79" i="76"/>
  <c r="Z71" i="1"/>
  <c r="Z65" i="1"/>
  <c r="Z47" i="1"/>
  <c r="Z36" i="1"/>
  <c r="Z30" i="1"/>
  <c r="Z24" i="1"/>
  <c r="Z17" i="1"/>
  <c r="Z72" i="1" l="1"/>
  <c r="Z74" i="1" s="1"/>
  <c r="Z81" i="1" s="1"/>
  <c r="I36" i="69" s="1"/>
  <c r="Y25" i="76"/>
  <c r="Y18" i="76"/>
  <c r="Y31" i="76"/>
  <c r="Y72" i="76"/>
  <c r="Y37" i="76"/>
  <c r="Y66" i="76"/>
  <c r="Y48" i="76"/>
  <c r="Z48" i="1"/>
  <c r="Z50" i="1" s="1"/>
  <c r="Z53" i="1" s="1"/>
  <c r="E30" i="3" l="1"/>
  <c r="Z54" i="1"/>
  <c r="Y54" i="76"/>
  <c r="Y73" i="76"/>
  <c r="Y75" i="76" s="1"/>
  <c r="Y82" i="76" s="1"/>
  <c r="Y49" i="76"/>
  <c r="Y51" i="76" s="1"/>
  <c r="B47" i="69"/>
  <c r="C41" i="3"/>
  <c r="B42" i="75" s="1"/>
  <c r="B41" i="3"/>
  <c r="F31" i="75" l="1"/>
  <c r="G31" i="75" s="1"/>
  <c r="G8" i="76"/>
  <c r="H8" i="76"/>
  <c r="I8" i="76"/>
  <c r="J8" i="76"/>
  <c r="K8" i="76"/>
  <c r="L8" i="76"/>
  <c r="M8" i="76"/>
  <c r="N8" i="76"/>
  <c r="O8" i="76"/>
  <c r="P8" i="76"/>
  <c r="Q8" i="76"/>
  <c r="R8" i="76"/>
  <c r="V8" i="76"/>
  <c r="G9" i="76"/>
  <c r="H9" i="76"/>
  <c r="I9" i="76"/>
  <c r="J9" i="76"/>
  <c r="K9" i="76"/>
  <c r="L9" i="76"/>
  <c r="M9" i="76"/>
  <c r="N9" i="76"/>
  <c r="O9" i="76"/>
  <c r="P9" i="76"/>
  <c r="Q9" i="76"/>
  <c r="R9" i="76"/>
  <c r="V9" i="76"/>
  <c r="G10" i="76"/>
  <c r="I10" i="76"/>
  <c r="J10" i="76"/>
  <c r="M10" i="76"/>
  <c r="N10" i="76"/>
  <c r="O10" i="76"/>
  <c r="P10" i="76"/>
  <c r="R10" i="76"/>
  <c r="V10" i="76"/>
  <c r="I11" i="76"/>
  <c r="G12" i="76"/>
  <c r="H12" i="76"/>
  <c r="I12" i="76"/>
  <c r="J12" i="76"/>
  <c r="K12" i="76"/>
  <c r="L12" i="76"/>
  <c r="M12" i="76"/>
  <c r="N12" i="76"/>
  <c r="O12" i="76"/>
  <c r="P12" i="76"/>
  <c r="Q12" i="76"/>
  <c r="R12" i="76"/>
  <c r="V12" i="76"/>
  <c r="G15" i="76"/>
  <c r="H15" i="76"/>
  <c r="I15" i="76"/>
  <c r="J15" i="76"/>
  <c r="K15" i="76"/>
  <c r="L15" i="76"/>
  <c r="M15" i="76"/>
  <c r="N15" i="76"/>
  <c r="O15" i="76"/>
  <c r="P15" i="76"/>
  <c r="Q15" i="76"/>
  <c r="R15" i="76"/>
  <c r="V15" i="76"/>
  <c r="G16" i="76"/>
  <c r="H16" i="76"/>
  <c r="I16" i="76"/>
  <c r="J16" i="76"/>
  <c r="K16" i="76"/>
  <c r="L16" i="76"/>
  <c r="M16" i="76"/>
  <c r="N16" i="76"/>
  <c r="O16" i="76"/>
  <c r="P16" i="76"/>
  <c r="Q16" i="76"/>
  <c r="R16" i="76"/>
  <c r="V16" i="76"/>
  <c r="G17" i="76"/>
  <c r="H17" i="76"/>
  <c r="I17" i="76"/>
  <c r="J17" i="76"/>
  <c r="K17" i="76"/>
  <c r="L17" i="76"/>
  <c r="M17" i="76"/>
  <c r="N17" i="76"/>
  <c r="O17" i="76"/>
  <c r="P17" i="76"/>
  <c r="Q17" i="76"/>
  <c r="R17" i="76"/>
  <c r="V17" i="76"/>
  <c r="G22" i="76"/>
  <c r="H22" i="76"/>
  <c r="I22" i="76"/>
  <c r="J22" i="76"/>
  <c r="K22" i="76"/>
  <c r="L22" i="76"/>
  <c r="M22" i="76"/>
  <c r="N22" i="76"/>
  <c r="O22" i="76"/>
  <c r="P22" i="76"/>
  <c r="Q22" i="76"/>
  <c r="R22" i="76"/>
  <c r="V22" i="76"/>
  <c r="G23" i="76"/>
  <c r="H23" i="76"/>
  <c r="I23" i="76"/>
  <c r="J23" i="76"/>
  <c r="K23" i="76"/>
  <c r="L23" i="76"/>
  <c r="M23" i="76"/>
  <c r="N23" i="76"/>
  <c r="O23" i="76"/>
  <c r="P23" i="76"/>
  <c r="Q23" i="76"/>
  <c r="R23" i="76"/>
  <c r="V23" i="76"/>
  <c r="G24" i="76"/>
  <c r="H24" i="76"/>
  <c r="I24" i="76"/>
  <c r="J24" i="76"/>
  <c r="K24" i="76"/>
  <c r="L24" i="76"/>
  <c r="M24" i="76"/>
  <c r="N24" i="76"/>
  <c r="O24" i="76"/>
  <c r="P24" i="76"/>
  <c r="Q24" i="76"/>
  <c r="R24" i="76"/>
  <c r="V24" i="76"/>
  <c r="G28" i="76"/>
  <c r="H28" i="76"/>
  <c r="I28" i="76"/>
  <c r="J28" i="76"/>
  <c r="K28" i="76"/>
  <c r="L28" i="76"/>
  <c r="M28" i="76"/>
  <c r="N28" i="76"/>
  <c r="O28" i="76"/>
  <c r="P28" i="76"/>
  <c r="Q28" i="76"/>
  <c r="R28" i="76"/>
  <c r="V28" i="76"/>
  <c r="G29" i="76"/>
  <c r="H29" i="76"/>
  <c r="I29" i="76"/>
  <c r="J29" i="76"/>
  <c r="K29" i="76"/>
  <c r="L29" i="76"/>
  <c r="M29" i="76"/>
  <c r="N29" i="76"/>
  <c r="O29" i="76"/>
  <c r="P29" i="76"/>
  <c r="Q29" i="76"/>
  <c r="R29" i="76"/>
  <c r="V29" i="76"/>
  <c r="G30" i="76"/>
  <c r="H30" i="76"/>
  <c r="I30" i="76"/>
  <c r="J30" i="76"/>
  <c r="K30" i="76"/>
  <c r="L30" i="76"/>
  <c r="M30" i="76"/>
  <c r="N30" i="76"/>
  <c r="O30" i="76"/>
  <c r="P30" i="76"/>
  <c r="Q30" i="76"/>
  <c r="R30" i="76"/>
  <c r="V30" i="76"/>
  <c r="G34" i="76"/>
  <c r="H34" i="76"/>
  <c r="I34" i="76"/>
  <c r="J34" i="76"/>
  <c r="K34" i="76"/>
  <c r="L34" i="76"/>
  <c r="M34" i="76"/>
  <c r="N34" i="76"/>
  <c r="O34" i="76"/>
  <c r="P34" i="76"/>
  <c r="Q34" i="76"/>
  <c r="R34" i="76"/>
  <c r="V34" i="76"/>
  <c r="G35" i="76"/>
  <c r="H35" i="76"/>
  <c r="I35" i="76"/>
  <c r="J35" i="76"/>
  <c r="K35" i="76"/>
  <c r="L35" i="76"/>
  <c r="M35" i="76"/>
  <c r="N35" i="76"/>
  <c r="O35" i="76"/>
  <c r="P35" i="76"/>
  <c r="R35" i="76"/>
  <c r="V35" i="76"/>
  <c r="G36" i="76"/>
  <c r="H36" i="76"/>
  <c r="I36" i="76"/>
  <c r="J36" i="76"/>
  <c r="K36" i="76"/>
  <c r="L36" i="76"/>
  <c r="M36" i="76"/>
  <c r="N36" i="76"/>
  <c r="O36" i="76"/>
  <c r="P36" i="76"/>
  <c r="Q36" i="76"/>
  <c r="R36" i="76"/>
  <c r="V36" i="76"/>
  <c r="G39" i="76"/>
  <c r="H39" i="76"/>
  <c r="I39" i="76"/>
  <c r="J39" i="76"/>
  <c r="K39" i="76"/>
  <c r="L39" i="76"/>
  <c r="M39" i="76"/>
  <c r="N39" i="76"/>
  <c r="O39" i="76"/>
  <c r="P39" i="76"/>
  <c r="Q39" i="76"/>
  <c r="R39" i="76"/>
  <c r="V39" i="76"/>
  <c r="G40" i="76"/>
  <c r="H40" i="76"/>
  <c r="I40" i="76"/>
  <c r="J40" i="76"/>
  <c r="K40" i="76"/>
  <c r="L40" i="76"/>
  <c r="M40" i="76"/>
  <c r="N40" i="76"/>
  <c r="O40" i="76"/>
  <c r="P40" i="76"/>
  <c r="Q40" i="76"/>
  <c r="R40" i="76"/>
  <c r="V40" i="76"/>
  <c r="G41" i="76"/>
  <c r="H41" i="76"/>
  <c r="I41" i="76"/>
  <c r="J41" i="76"/>
  <c r="K41" i="76"/>
  <c r="L41" i="76"/>
  <c r="M41" i="76"/>
  <c r="N41" i="76"/>
  <c r="O41" i="76"/>
  <c r="P41" i="76"/>
  <c r="Q41" i="76"/>
  <c r="R41" i="76"/>
  <c r="V41" i="76"/>
  <c r="G44" i="76"/>
  <c r="H44" i="76"/>
  <c r="I44" i="76"/>
  <c r="J44" i="76"/>
  <c r="K44" i="76"/>
  <c r="L44" i="76"/>
  <c r="M44" i="76"/>
  <c r="N44" i="76"/>
  <c r="O44" i="76"/>
  <c r="P44" i="76"/>
  <c r="Q44" i="76"/>
  <c r="R44" i="76"/>
  <c r="V44" i="76"/>
  <c r="G45" i="76"/>
  <c r="H45" i="76"/>
  <c r="I45" i="76"/>
  <c r="J45" i="76"/>
  <c r="K45" i="76"/>
  <c r="L45" i="76"/>
  <c r="M45" i="76"/>
  <c r="N45" i="76"/>
  <c r="O45" i="76"/>
  <c r="P45" i="76"/>
  <c r="Q45" i="76"/>
  <c r="R45" i="76"/>
  <c r="V45" i="76"/>
  <c r="G46" i="76"/>
  <c r="H46" i="76"/>
  <c r="I46" i="76"/>
  <c r="J46" i="76"/>
  <c r="K46" i="76"/>
  <c r="L46" i="76"/>
  <c r="M46" i="76"/>
  <c r="N46" i="76"/>
  <c r="O46" i="76"/>
  <c r="P46" i="76"/>
  <c r="Q46" i="76"/>
  <c r="R46" i="76"/>
  <c r="V46" i="76"/>
  <c r="G47" i="76"/>
  <c r="H47" i="76"/>
  <c r="I47" i="76"/>
  <c r="J47" i="76"/>
  <c r="K47" i="76"/>
  <c r="L47" i="76"/>
  <c r="M47" i="76"/>
  <c r="N47" i="76"/>
  <c r="O47" i="76"/>
  <c r="P47" i="76"/>
  <c r="Q47" i="76"/>
  <c r="R47" i="76"/>
  <c r="V47" i="76"/>
  <c r="N54" i="76"/>
  <c r="G56" i="76"/>
  <c r="H56" i="76"/>
  <c r="I56" i="76"/>
  <c r="J56" i="76"/>
  <c r="K56" i="76"/>
  <c r="L56" i="76"/>
  <c r="M56" i="76"/>
  <c r="N56" i="76"/>
  <c r="O56" i="76"/>
  <c r="P56" i="76"/>
  <c r="Q56" i="76"/>
  <c r="R56" i="76"/>
  <c r="V56" i="76"/>
  <c r="G57" i="76"/>
  <c r="H57" i="76"/>
  <c r="I57" i="76"/>
  <c r="J57" i="76"/>
  <c r="K57" i="76"/>
  <c r="L57" i="76"/>
  <c r="M57" i="76"/>
  <c r="N57" i="76"/>
  <c r="O57" i="76"/>
  <c r="P57" i="76"/>
  <c r="Q57" i="76"/>
  <c r="R57" i="76"/>
  <c r="V57" i="76"/>
  <c r="G63" i="76"/>
  <c r="H63" i="76"/>
  <c r="I63" i="76"/>
  <c r="J63" i="76"/>
  <c r="K63" i="76"/>
  <c r="L63" i="76"/>
  <c r="M63" i="76"/>
  <c r="N63" i="76"/>
  <c r="O63" i="76"/>
  <c r="P63" i="76"/>
  <c r="Q63" i="76"/>
  <c r="R63" i="76"/>
  <c r="V63" i="76"/>
  <c r="G64" i="76"/>
  <c r="H64" i="76"/>
  <c r="I64" i="76"/>
  <c r="J64" i="76"/>
  <c r="K64" i="76"/>
  <c r="L64" i="76"/>
  <c r="M64" i="76"/>
  <c r="N64" i="76"/>
  <c r="O64" i="76"/>
  <c r="P64" i="76"/>
  <c r="Q64" i="76"/>
  <c r="R64" i="76"/>
  <c r="V64" i="76"/>
  <c r="G65" i="76"/>
  <c r="H65" i="76"/>
  <c r="I65" i="76"/>
  <c r="J65" i="76"/>
  <c r="K65" i="76"/>
  <c r="L65" i="76"/>
  <c r="M65" i="76"/>
  <c r="N65" i="76"/>
  <c r="O65" i="76"/>
  <c r="P65" i="76"/>
  <c r="Q65" i="76"/>
  <c r="R65" i="76"/>
  <c r="V65" i="76"/>
  <c r="G69" i="76"/>
  <c r="H69" i="76"/>
  <c r="I69" i="76"/>
  <c r="J69" i="76"/>
  <c r="K69" i="76"/>
  <c r="L69" i="76"/>
  <c r="M69" i="76"/>
  <c r="N69" i="76"/>
  <c r="O69" i="76"/>
  <c r="P69" i="76"/>
  <c r="Q69" i="76"/>
  <c r="R69" i="76"/>
  <c r="V69" i="76"/>
  <c r="G70" i="76"/>
  <c r="H70" i="76"/>
  <c r="I70" i="76"/>
  <c r="J70" i="76"/>
  <c r="K70" i="76"/>
  <c r="L70" i="76"/>
  <c r="M70" i="76"/>
  <c r="N70" i="76"/>
  <c r="O70" i="76"/>
  <c r="P70" i="76"/>
  <c r="Q70" i="76"/>
  <c r="R70" i="76"/>
  <c r="V70" i="76"/>
  <c r="G71" i="76"/>
  <c r="H71" i="76"/>
  <c r="I71" i="76"/>
  <c r="J71" i="76"/>
  <c r="K71" i="76"/>
  <c r="L71" i="76"/>
  <c r="M71" i="76"/>
  <c r="N71" i="76"/>
  <c r="O71" i="76"/>
  <c r="P71" i="76"/>
  <c r="Q71" i="76"/>
  <c r="R71" i="76"/>
  <c r="V71" i="76"/>
  <c r="G74" i="76"/>
  <c r="H74" i="76"/>
  <c r="I74" i="76"/>
  <c r="J74" i="76"/>
  <c r="K74" i="76"/>
  <c r="L74" i="76"/>
  <c r="M74" i="76"/>
  <c r="N74" i="76"/>
  <c r="O74" i="76"/>
  <c r="P74" i="76"/>
  <c r="Q74" i="76"/>
  <c r="R74" i="76"/>
  <c r="V74" i="76"/>
  <c r="G76" i="76"/>
  <c r="H76" i="76"/>
  <c r="I76" i="76"/>
  <c r="J76" i="76"/>
  <c r="K76" i="76"/>
  <c r="L76" i="76"/>
  <c r="M76" i="76"/>
  <c r="N76" i="76"/>
  <c r="O76" i="76"/>
  <c r="P76" i="76"/>
  <c r="Q76" i="76"/>
  <c r="R76" i="76"/>
  <c r="V76" i="76"/>
  <c r="G77" i="76"/>
  <c r="H77" i="76"/>
  <c r="I77" i="76"/>
  <c r="J77" i="76"/>
  <c r="K77" i="76"/>
  <c r="L77" i="76"/>
  <c r="M77" i="76"/>
  <c r="N77" i="76"/>
  <c r="O77" i="76"/>
  <c r="P77" i="76"/>
  <c r="Q77" i="76"/>
  <c r="R77" i="76"/>
  <c r="V77" i="76"/>
  <c r="G78" i="76"/>
  <c r="H78" i="76"/>
  <c r="I78" i="76"/>
  <c r="J78" i="76"/>
  <c r="K78" i="76"/>
  <c r="L78" i="76"/>
  <c r="M78" i="76"/>
  <c r="N78" i="76"/>
  <c r="O78" i="76"/>
  <c r="P78" i="76"/>
  <c r="Q78" i="76"/>
  <c r="R78" i="76"/>
  <c r="V78" i="76"/>
  <c r="G79" i="76"/>
  <c r="H79" i="76"/>
  <c r="I79" i="76"/>
  <c r="J79" i="76"/>
  <c r="K79" i="76"/>
  <c r="L79" i="76"/>
  <c r="M79" i="76"/>
  <c r="N79" i="76"/>
  <c r="O79" i="76"/>
  <c r="P79" i="76"/>
  <c r="Q79" i="76"/>
  <c r="R79" i="76"/>
  <c r="V79" i="76"/>
  <c r="G66" i="76" l="1"/>
  <c r="O18" i="76"/>
  <c r="I18" i="76"/>
  <c r="J72" i="76"/>
  <c r="N66" i="76"/>
  <c r="G18" i="76"/>
  <c r="H18" i="76"/>
  <c r="R72" i="76"/>
  <c r="N72" i="76"/>
  <c r="R66" i="76"/>
  <c r="J66" i="76"/>
  <c r="V72" i="76"/>
  <c r="V66" i="76"/>
  <c r="L18" i="76"/>
  <c r="H48" i="76"/>
  <c r="V48" i="76"/>
  <c r="R48" i="76"/>
  <c r="N48" i="76"/>
  <c r="J48" i="76"/>
  <c r="K72" i="76"/>
  <c r="G72" i="76"/>
  <c r="H25" i="76"/>
  <c r="V31" i="76"/>
  <c r="K18" i="76"/>
  <c r="G31" i="76"/>
  <c r="Q31" i="76"/>
  <c r="I31" i="76"/>
  <c r="H31" i="76"/>
  <c r="K48" i="76"/>
  <c r="G48" i="76"/>
  <c r="M37" i="76"/>
  <c r="I37" i="76"/>
  <c r="H37" i="76"/>
  <c r="I25" i="76"/>
  <c r="L48" i="76"/>
  <c r="I48" i="76"/>
  <c r="O37" i="76"/>
  <c r="G37" i="76"/>
  <c r="Q37" i="76"/>
  <c r="M31" i="76"/>
  <c r="O48" i="76"/>
  <c r="P37" i="76"/>
  <c r="L37" i="76"/>
  <c r="P31" i="76"/>
  <c r="L31" i="76"/>
  <c r="Q25" i="76"/>
  <c r="O25" i="76"/>
  <c r="G25" i="76"/>
  <c r="P48" i="76"/>
  <c r="K31" i="76"/>
  <c r="Q18" i="76"/>
  <c r="M18" i="76"/>
  <c r="Q48" i="76"/>
  <c r="V37" i="76"/>
  <c r="R37" i="76"/>
  <c r="N37" i="76"/>
  <c r="J37" i="76"/>
  <c r="L25" i="76"/>
  <c r="M25" i="76"/>
  <c r="P25" i="76"/>
  <c r="O31" i="76"/>
  <c r="K37" i="76"/>
  <c r="K25" i="76"/>
  <c r="P18" i="76"/>
  <c r="O66" i="76"/>
  <c r="K66" i="76"/>
  <c r="O72" i="76"/>
  <c r="M48" i="76"/>
  <c r="Q72" i="76"/>
  <c r="M72" i="76"/>
  <c r="I72" i="76"/>
  <c r="Q66" i="76"/>
  <c r="M66" i="76"/>
  <c r="I66" i="76"/>
  <c r="P66" i="76"/>
  <c r="L66" i="76"/>
  <c r="H66" i="76"/>
  <c r="V25" i="76"/>
  <c r="R25" i="76"/>
  <c r="N25" i="76"/>
  <c r="J25" i="76"/>
  <c r="V18" i="76"/>
  <c r="R18" i="76"/>
  <c r="N18" i="76"/>
  <c r="J18" i="76"/>
  <c r="P72" i="76"/>
  <c r="L72" i="76"/>
  <c r="H72" i="76"/>
  <c r="R31" i="76"/>
  <c r="N31" i="76"/>
  <c r="J31" i="76"/>
  <c r="J73" i="76" l="1"/>
  <c r="J75" i="76" s="1"/>
  <c r="J82" i="76" s="1"/>
  <c r="V73" i="76"/>
  <c r="V75" i="76" s="1"/>
  <c r="V82" i="76" s="1"/>
  <c r="G73" i="76"/>
  <c r="G75" i="76" s="1"/>
  <c r="G82" i="76" s="1"/>
  <c r="N73" i="76"/>
  <c r="N75" i="76" s="1"/>
  <c r="N82" i="76" s="1"/>
  <c r="R73" i="76"/>
  <c r="R75" i="76" s="1"/>
  <c r="R82" i="76" s="1"/>
  <c r="K73" i="76"/>
  <c r="K75" i="76" s="1"/>
  <c r="K82" i="76" s="1"/>
  <c r="K49" i="76"/>
  <c r="K51" i="76" s="1"/>
  <c r="H49" i="76"/>
  <c r="H51" i="76" s="1"/>
  <c r="Q49" i="76"/>
  <c r="Q51" i="76" s="1"/>
  <c r="V49" i="76"/>
  <c r="V51" i="76" s="1"/>
  <c r="L49" i="76"/>
  <c r="L51" i="76" s="1"/>
  <c r="I49" i="76"/>
  <c r="I51" i="76" s="1"/>
  <c r="M49" i="76"/>
  <c r="M51" i="76" s="1"/>
  <c r="G49" i="76"/>
  <c r="G51" i="76" s="1"/>
  <c r="O49" i="76"/>
  <c r="O51" i="76" s="1"/>
  <c r="P49" i="76"/>
  <c r="P51" i="76" s="1"/>
  <c r="P73" i="76"/>
  <c r="P75" i="76" s="1"/>
  <c r="P82" i="76" s="1"/>
  <c r="O73" i="76"/>
  <c r="O75" i="76" s="1"/>
  <c r="O82" i="76" s="1"/>
  <c r="Q73" i="76"/>
  <c r="Q75" i="76" s="1"/>
  <c r="Q82" i="76" s="1"/>
  <c r="R49" i="76"/>
  <c r="R51" i="76" s="1"/>
  <c r="J49" i="76"/>
  <c r="J51" i="76" s="1"/>
  <c r="I73" i="76"/>
  <c r="I75" i="76" s="1"/>
  <c r="I82" i="76" s="1"/>
  <c r="M73" i="76"/>
  <c r="M75" i="76" s="1"/>
  <c r="M82" i="76" s="1"/>
  <c r="L73" i="76"/>
  <c r="L75" i="76" s="1"/>
  <c r="L82" i="76" s="1"/>
  <c r="H73" i="76"/>
  <c r="H75" i="76" s="1"/>
  <c r="H82" i="76" s="1"/>
  <c r="N49" i="76"/>
  <c r="N51" i="76" s="1"/>
  <c r="L47" i="69" l="1"/>
  <c r="F79" i="76"/>
  <c r="E41" i="3" l="1"/>
  <c r="F42" i="75" l="1"/>
  <c r="G42" i="75" s="1"/>
  <c r="J10" i="1"/>
  <c r="J11" i="76" l="1"/>
  <c r="K10" i="1"/>
  <c r="B19" i="69"/>
  <c r="B20" i="69"/>
  <c r="C13" i="3"/>
  <c r="B16" i="75" s="1"/>
  <c r="B13" i="3"/>
  <c r="K11" i="76" l="1"/>
  <c r="L10" i="1"/>
  <c r="J71" i="1"/>
  <c r="J65" i="1"/>
  <c r="J47" i="1"/>
  <c r="J36" i="1"/>
  <c r="J30" i="1"/>
  <c r="J24" i="1"/>
  <c r="J17" i="1"/>
  <c r="L11" i="76" l="1"/>
  <c r="M10" i="1"/>
  <c r="J72" i="1"/>
  <c r="J74" i="1" s="1"/>
  <c r="J81" i="1" s="1"/>
  <c r="I19" i="69" s="1"/>
  <c r="J48" i="1"/>
  <c r="J50" i="1" s="1"/>
  <c r="J53" i="1" s="1"/>
  <c r="M11" i="76" l="1"/>
  <c r="E13" i="3"/>
  <c r="J54" i="1"/>
  <c r="N10" i="1"/>
  <c r="J54" i="76"/>
  <c r="F16" i="75" l="1"/>
  <c r="G16" i="75" s="1"/>
  <c r="N11" i="76"/>
  <c r="O10" i="1"/>
  <c r="O11" i="76" l="1"/>
  <c r="P10" i="1"/>
  <c r="B55" i="69"/>
  <c r="P11" i="76" l="1"/>
  <c r="Q10" i="1"/>
  <c r="Q11" i="76" l="1"/>
  <c r="R10" i="1"/>
  <c r="C49" i="3"/>
  <c r="B50" i="75" s="1"/>
  <c r="B49" i="3"/>
  <c r="S10" i="1" l="1"/>
  <c r="R11" i="76"/>
  <c r="AR54" i="76"/>
  <c r="T10" i="1" l="1"/>
  <c r="AR55" i="76"/>
  <c r="AR59" i="76" s="1"/>
  <c r="L58" i="69"/>
  <c r="E52" i="3"/>
  <c r="A28" i="69"/>
  <c r="A22" i="3"/>
  <c r="A25" i="75" s="1"/>
  <c r="S11" i="76"/>
  <c r="L36" i="69"/>
  <c r="E49" i="3"/>
  <c r="F50" i="75" s="1"/>
  <c r="G50" i="75" l="1"/>
  <c r="U10" i="1"/>
  <c r="T11" i="76"/>
  <c r="F63" i="76"/>
  <c r="F8" i="76"/>
  <c r="F9" i="76"/>
  <c r="F10" i="76"/>
  <c r="F12" i="76"/>
  <c r="F15" i="76"/>
  <c r="F16" i="76"/>
  <c r="F17" i="76"/>
  <c r="F22" i="76"/>
  <c r="F23" i="76"/>
  <c r="F24" i="76"/>
  <c r="F28" i="76"/>
  <c r="F29" i="76"/>
  <c r="F30" i="76"/>
  <c r="F34" i="76"/>
  <c r="F35" i="76"/>
  <c r="F36" i="76"/>
  <c r="F39" i="76"/>
  <c r="F40" i="76"/>
  <c r="F41" i="76"/>
  <c r="F44" i="76"/>
  <c r="F45" i="76"/>
  <c r="F46" i="76"/>
  <c r="F47" i="76"/>
  <c r="F56" i="76"/>
  <c r="F57" i="76"/>
  <c r="F64" i="76"/>
  <c r="F65" i="76"/>
  <c r="F69" i="76"/>
  <c r="F70" i="76"/>
  <c r="F71" i="76"/>
  <c r="F74" i="76"/>
  <c r="F76" i="76"/>
  <c r="F77" i="76"/>
  <c r="F78" i="76"/>
  <c r="E12" i="76"/>
  <c r="E11" i="76"/>
  <c r="E10" i="76"/>
  <c r="E9" i="76"/>
  <c r="E8" i="76"/>
  <c r="V10" i="1" l="1"/>
  <c r="A30" i="69"/>
  <c r="A24" i="3"/>
  <c r="A27" i="75" s="1"/>
  <c r="U11" i="76"/>
  <c r="F72" i="76"/>
  <c r="F31" i="76"/>
  <c r="F18" i="76"/>
  <c r="F66" i="76"/>
  <c r="F25" i="76"/>
  <c r="F37" i="76"/>
  <c r="F48" i="76"/>
  <c r="V11" i="76" l="1"/>
  <c r="E67" i="75"/>
  <c r="W10" i="1"/>
  <c r="F73" i="76"/>
  <c r="F75" i="76" s="1"/>
  <c r="F49" i="76"/>
  <c r="F51" i="76" s="1"/>
  <c r="A33" i="69" l="1"/>
  <c r="X11" i="76"/>
  <c r="A27" i="3"/>
  <c r="A30" i="75" s="1"/>
  <c r="W11" i="76"/>
  <c r="A32" i="69"/>
  <c r="A26" i="3"/>
  <c r="A29" i="75" s="1"/>
  <c r="T36" i="1"/>
  <c r="T30" i="1"/>
  <c r="T24" i="1"/>
  <c r="T17" i="1"/>
  <c r="P36" i="1" l="1"/>
  <c r="O36" i="1"/>
  <c r="Q36" i="1"/>
  <c r="P30" i="1"/>
  <c r="O30" i="1"/>
  <c r="Q30" i="1"/>
  <c r="P24" i="1"/>
  <c r="O24" i="1"/>
  <c r="Q24" i="1"/>
  <c r="P17" i="1"/>
  <c r="O17" i="1"/>
  <c r="Q17" i="1"/>
  <c r="G61" i="75" l="1"/>
  <c r="E45" i="1" l="1"/>
  <c r="F82" i="76"/>
  <c r="E78" i="1"/>
  <c r="E54" i="1"/>
  <c r="V17" i="1"/>
  <c r="F17" i="1"/>
  <c r="G17" i="1"/>
  <c r="H17" i="1"/>
  <c r="R17" i="1"/>
  <c r="I17" i="1"/>
  <c r="K17" i="1"/>
  <c r="L17" i="1"/>
  <c r="N17" i="1"/>
  <c r="F55" i="79" l="1"/>
  <c r="F79" i="79"/>
  <c r="E46" i="76"/>
  <c r="F46" i="79"/>
  <c r="E76" i="1"/>
  <c r="E77" i="1"/>
  <c r="E79" i="76"/>
  <c r="Y45" i="1"/>
  <c r="E55" i="76"/>
  <c r="H46" i="79" l="1"/>
  <c r="G46" i="79" s="1"/>
  <c r="E77" i="76"/>
  <c r="F77" i="79"/>
  <c r="Y77" i="1"/>
  <c r="F78" i="79"/>
  <c r="E78" i="76"/>
  <c r="A4" i="75"/>
  <c r="B39" i="3"/>
  <c r="B38" i="3"/>
  <c r="B36" i="3"/>
  <c r="B25" i="3"/>
  <c r="B42" i="3"/>
  <c r="B23" i="3"/>
  <c r="B19" i="3"/>
  <c r="B18" i="3"/>
  <c r="B20" i="3"/>
  <c r="B17" i="3"/>
  <c r="B16" i="3"/>
  <c r="B15" i="3"/>
  <c r="B14" i="3"/>
  <c r="B12" i="3"/>
  <c r="B21" i="3"/>
  <c r="B11" i="3"/>
  <c r="B10" i="3"/>
  <c r="B9" i="3"/>
  <c r="B8" i="3"/>
  <c r="I10" i="75"/>
  <c r="H78" i="79" l="1"/>
  <c r="G78" i="79" s="1"/>
  <c r="F24" i="1" l="1"/>
  <c r="G24" i="1"/>
  <c r="H24" i="1"/>
  <c r="R24" i="1"/>
  <c r="I24" i="1"/>
  <c r="K24" i="1"/>
  <c r="L24" i="1"/>
  <c r="N24" i="1"/>
  <c r="V24" i="1"/>
  <c r="A4" i="1" l="1"/>
  <c r="A4" i="76" s="1"/>
  <c r="A5" i="1"/>
  <c r="A5" i="76" s="1"/>
  <c r="A2" i="1"/>
  <c r="F10" i="1"/>
  <c r="A1" i="3" l="1"/>
  <c r="A2" i="76"/>
  <c r="G10" i="1"/>
  <c r="F11" i="76"/>
  <c r="G11" i="76" l="1"/>
  <c r="H10" i="1"/>
  <c r="H11" i="76" l="1"/>
  <c r="A30" i="3"/>
  <c r="A31" i="75" s="1"/>
  <c r="Y11" i="76"/>
  <c r="A36" i="69"/>
  <c r="C42" i="3" l="1"/>
  <c r="B43" i="75" s="1"/>
  <c r="B48" i="69"/>
  <c r="Y76" i="1" l="1"/>
  <c r="H77" i="79" l="1"/>
  <c r="G77" i="79" s="1"/>
  <c r="Y78" i="1"/>
  <c r="H79" i="79" l="1"/>
  <c r="G79" i="79" s="1"/>
  <c r="L48" i="69"/>
  <c r="E42" i="3"/>
  <c r="E62" i="1"/>
  <c r="E68" i="1"/>
  <c r="E69" i="1"/>
  <c r="E73" i="1"/>
  <c r="E75" i="1"/>
  <c r="E14" i="1"/>
  <c r="E21" i="1"/>
  <c r="E22" i="1"/>
  <c r="E27" i="1"/>
  <c r="E29" i="1"/>
  <c r="E33" i="1"/>
  <c r="E34" i="1"/>
  <c r="E35" i="1"/>
  <c r="E38" i="1"/>
  <c r="E39" i="1"/>
  <c r="E40" i="1"/>
  <c r="E43" i="1"/>
  <c r="E46" i="1"/>
  <c r="E53" i="1"/>
  <c r="E55" i="1"/>
  <c r="E56" i="1"/>
  <c r="B45" i="69"/>
  <c r="B44" i="69"/>
  <c r="B42" i="69"/>
  <c r="B31" i="69"/>
  <c r="B29" i="69"/>
  <c r="B25" i="69"/>
  <c r="B24" i="69"/>
  <c r="B26" i="69"/>
  <c r="B23" i="69"/>
  <c r="B22" i="69"/>
  <c r="B21" i="69"/>
  <c r="B18" i="69"/>
  <c r="B27" i="69"/>
  <c r="B14" i="69"/>
  <c r="A14" i="69"/>
  <c r="B13" i="69"/>
  <c r="A13" i="69"/>
  <c r="B12" i="69"/>
  <c r="A12" i="69"/>
  <c r="B11" i="69"/>
  <c r="A11" i="69"/>
  <c r="C23" i="3"/>
  <c r="B26" i="75" s="1"/>
  <c r="C39" i="3"/>
  <c r="B40" i="75" s="1"/>
  <c r="C38" i="3"/>
  <c r="B39" i="75" s="1"/>
  <c r="E70" i="1"/>
  <c r="E63" i="1"/>
  <c r="E64" i="1"/>
  <c r="E44" i="1"/>
  <c r="E28" i="1"/>
  <c r="E23" i="1"/>
  <c r="E15" i="1"/>
  <c r="C36" i="3"/>
  <c r="B37" i="75" s="1"/>
  <c r="A10" i="3"/>
  <c r="A13" i="75" s="1"/>
  <c r="C10" i="3"/>
  <c r="B13" i="75" s="1"/>
  <c r="A11" i="3"/>
  <c r="A14" i="75" s="1"/>
  <c r="C11" i="3"/>
  <c r="B14" i="75" s="1"/>
  <c r="C21" i="3"/>
  <c r="B24" i="75" s="1"/>
  <c r="C12" i="3"/>
  <c r="B15" i="75" s="1"/>
  <c r="C14" i="3"/>
  <c r="B17" i="75" s="1"/>
  <c r="C15" i="3"/>
  <c r="B18" i="75" s="1"/>
  <c r="C16" i="3"/>
  <c r="B19" i="75" s="1"/>
  <c r="C17" i="3"/>
  <c r="B20" i="75" s="1"/>
  <c r="C20" i="3"/>
  <c r="B23" i="75" s="1"/>
  <c r="C18" i="3"/>
  <c r="B21" i="75" s="1"/>
  <c r="C19" i="3"/>
  <c r="B22" i="75" s="1"/>
  <c r="C25" i="3"/>
  <c r="B28" i="75" s="1"/>
  <c r="C8" i="3"/>
  <c r="A9" i="3"/>
  <c r="A12" i="75" s="1"/>
  <c r="C9" i="3"/>
  <c r="B12" i="75" s="1"/>
  <c r="A8" i="3"/>
  <c r="A11" i="75" s="1"/>
  <c r="B11" i="75" l="1"/>
  <c r="F43" i="75"/>
  <c r="G43" i="75" s="1"/>
  <c r="Y62" i="1"/>
  <c r="F54" i="79"/>
  <c r="F70" i="79"/>
  <c r="F57" i="79"/>
  <c r="F44" i="79"/>
  <c r="F36" i="79"/>
  <c r="F28" i="79"/>
  <c r="F63" i="79"/>
  <c r="F34" i="79"/>
  <c r="F71" i="79"/>
  <c r="F47" i="79"/>
  <c r="F56" i="79"/>
  <c r="F41" i="79"/>
  <c r="F74" i="79"/>
  <c r="E45" i="76"/>
  <c r="F45" i="79"/>
  <c r="E16" i="76"/>
  <c r="F16" i="79"/>
  <c r="E65" i="76"/>
  <c r="F65" i="79"/>
  <c r="E35" i="76"/>
  <c r="F35" i="79"/>
  <c r="E23" i="76"/>
  <c r="F23" i="79"/>
  <c r="E24" i="76"/>
  <c r="F24" i="79"/>
  <c r="E64" i="76"/>
  <c r="F64" i="79"/>
  <c r="E40" i="76"/>
  <c r="F40" i="79"/>
  <c r="E22" i="76"/>
  <c r="F22" i="79"/>
  <c r="E76" i="76"/>
  <c r="F76" i="79"/>
  <c r="E29" i="76"/>
  <c r="F29" i="79"/>
  <c r="E39" i="76"/>
  <c r="F39" i="79"/>
  <c r="E30" i="76"/>
  <c r="F30" i="79"/>
  <c r="Y14" i="1"/>
  <c r="F15" i="79"/>
  <c r="E69" i="76"/>
  <c r="F69" i="79"/>
  <c r="E54" i="76"/>
  <c r="E34" i="76"/>
  <c r="N10" i="69"/>
  <c r="E87" i="1"/>
  <c r="AG89" i="1" s="1"/>
  <c r="E63" i="76"/>
  <c r="E41" i="76"/>
  <c r="E15" i="76"/>
  <c r="Y70" i="1"/>
  <c r="E71" i="76"/>
  <c r="Y56" i="1"/>
  <c r="E57" i="76"/>
  <c r="E44" i="76"/>
  <c r="Y35" i="1"/>
  <c r="E36" i="76"/>
  <c r="E28" i="76"/>
  <c r="Y73" i="1"/>
  <c r="E74" i="76"/>
  <c r="Y46" i="1"/>
  <c r="E47" i="76"/>
  <c r="Y55" i="1"/>
  <c r="E56" i="76"/>
  <c r="Y69" i="1"/>
  <c r="E70" i="76"/>
  <c r="Y75" i="1"/>
  <c r="Y68" i="1"/>
  <c r="E71" i="1"/>
  <c r="E24" i="1"/>
  <c r="E47" i="1"/>
  <c r="E65" i="1"/>
  <c r="Y43" i="1"/>
  <c r="Y27" i="1"/>
  <c r="E30" i="1"/>
  <c r="Y28" i="1"/>
  <c r="Y38" i="1"/>
  <c r="Y29" i="1"/>
  <c r="Y23" i="1"/>
  <c r="Y63" i="1"/>
  <c r="Y39" i="1"/>
  <c r="Y33" i="1"/>
  <c r="Y21" i="1"/>
  <c r="Y64" i="1"/>
  <c r="Y40" i="1"/>
  <c r="Y34" i="1"/>
  <c r="Y22" i="1"/>
  <c r="Y15" i="1"/>
  <c r="Y44" i="1"/>
  <c r="V47" i="1"/>
  <c r="R71" i="1"/>
  <c r="K47" i="1"/>
  <c r="N47" i="1"/>
  <c r="N30" i="1"/>
  <c r="T47" i="1"/>
  <c r="T48" i="1" s="1"/>
  <c r="G36" i="1"/>
  <c r="L30" i="1"/>
  <c r="G30" i="1"/>
  <c r="L36" i="1"/>
  <c r="I36" i="1"/>
  <c r="F30" i="1"/>
  <c r="R36" i="1"/>
  <c r="K36" i="1"/>
  <c r="L47" i="1"/>
  <c r="Q47" i="1"/>
  <c r="O47" i="1"/>
  <c r="P47" i="1"/>
  <c r="T71" i="1"/>
  <c r="P65" i="1"/>
  <c r="L65" i="1"/>
  <c r="H65" i="1"/>
  <c r="R30" i="1"/>
  <c r="I30" i="1"/>
  <c r="L71" i="1"/>
  <c r="H71" i="1"/>
  <c r="E36" i="1"/>
  <c r="F47" i="1"/>
  <c r="F36" i="1"/>
  <c r="H47" i="1"/>
  <c r="H36" i="1"/>
  <c r="K30" i="1"/>
  <c r="N36" i="1"/>
  <c r="P71" i="1"/>
  <c r="O65" i="1"/>
  <c r="N71" i="1"/>
  <c r="V36" i="1"/>
  <c r="V71" i="1"/>
  <c r="Q71" i="1"/>
  <c r="K71" i="1"/>
  <c r="R65" i="1"/>
  <c r="F65" i="1"/>
  <c r="V30" i="1"/>
  <c r="H30" i="1"/>
  <c r="V65" i="1"/>
  <c r="Q65" i="1"/>
  <c r="F71" i="1"/>
  <c r="R47" i="1"/>
  <c r="T65" i="1"/>
  <c r="O71" i="1"/>
  <c r="N65" i="1"/>
  <c r="K65" i="1"/>
  <c r="I71" i="1"/>
  <c r="G71" i="1"/>
  <c r="G47" i="1"/>
  <c r="I47" i="1"/>
  <c r="I65" i="1"/>
  <c r="G65" i="1"/>
  <c r="E16" i="1"/>
  <c r="AG83" i="1" l="1"/>
  <c r="N43" i="69"/>
  <c r="O43" i="69"/>
  <c r="P43" i="69" s="1"/>
  <c r="BE89" i="1"/>
  <c r="BG89" i="1"/>
  <c r="BF89" i="1"/>
  <c r="BD89" i="1"/>
  <c r="N53" i="69"/>
  <c r="O52" i="69"/>
  <c r="O53" i="69"/>
  <c r="O51" i="69"/>
  <c r="N51" i="69"/>
  <c r="N52" i="69"/>
  <c r="AL89" i="1"/>
  <c r="AK89" i="1"/>
  <c r="AQ89" i="1"/>
  <c r="AM89" i="1"/>
  <c r="AS89" i="1"/>
  <c r="AO89" i="1"/>
  <c r="AJ89" i="1"/>
  <c r="AP89" i="1"/>
  <c r="AN89" i="1"/>
  <c r="X89" i="1"/>
  <c r="X83" i="1" s="1"/>
  <c r="AD89" i="1"/>
  <c r="AI89" i="1"/>
  <c r="AE89" i="1"/>
  <c r="AF89" i="1"/>
  <c r="AH89" i="1"/>
  <c r="O68" i="69"/>
  <c r="O73" i="69"/>
  <c r="O77" i="69"/>
  <c r="O75" i="69"/>
  <c r="O71" i="69"/>
  <c r="O74" i="69"/>
  <c r="O72" i="69"/>
  <c r="O76" i="69"/>
  <c r="O69" i="69"/>
  <c r="O70" i="69"/>
  <c r="N74" i="69"/>
  <c r="N77" i="69"/>
  <c r="N76" i="69"/>
  <c r="N68" i="69"/>
  <c r="N73" i="69"/>
  <c r="N71" i="69"/>
  <c r="N69" i="69"/>
  <c r="N75" i="69"/>
  <c r="N70" i="69"/>
  <c r="N72" i="69"/>
  <c r="N46" i="69"/>
  <c r="N50" i="69"/>
  <c r="N54" i="69"/>
  <c r="O50" i="69"/>
  <c r="O46" i="69"/>
  <c r="O54" i="69"/>
  <c r="N33" i="69"/>
  <c r="O33" i="69"/>
  <c r="AY89" i="1"/>
  <c r="AY83" i="1" s="1"/>
  <c r="AV89" i="1"/>
  <c r="AV83" i="1" s="1"/>
  <c r="R48" i="1"/>
  <c r="R50" i="1" s="1"/>
  <c r="AZ89" i="1"/>
  <c r="F66" i="79"/>
  <c r="F37" i="79"/>
  <c r="F48" i="79"/>
  <c r="F17" i="79"/>
  <c r="F18" i="79" s="1"/>
  <c r="H24" i="79"/>
  <c r="G24" i="79" s="1"/>
  <c r="H15" i="79"/>
  <c r="G15" i="79" s="1"/>
  <c r="H16" i="79"/>
  <c r="G16" i="79" s="1"/>
  <c r="H56" i="79"/>
  <c r="G56" i="79" s="1"/>
  <c r="H74" i="79"/>
  <c r="G74" i="79" s="1"/>
  <c r="H36" i="79"/>
  <c r="G36" i="79" s="1"/>
  <c r="H57" i="79"/>
  <c r="G57" i="79" s="1"/>
  <c r="F72" i="79"/>
  <c r="H23" i="79"/>
  <c r="G23" i="79" s="1"/>
  <c r="H69" i="79"/>
  <c r="H35" i="79"/>
  <c r="G35" i="79" s="1"/>
  <c r="H65" i="79"/>
  <c r="G65" i="79" s="1"/>
  <c r="H64" i="79"/>
  <c r="G64" i="79" s="1"/>
  <c r="H30" i="79"/>
  <c r="G30" i="79" s="1"/>
  <c r="H28" i="79"/>
  <c r="G28" i="79" s="1"/>
  <c r="H76" i="79"/>
  <c r="G76" i="79" s="1"/>
  <c r="H63" i="79"/>
  <c r="G63" i="79" s="1"/>
  <c r="H41" i="79"/>
  <c r="G41" i="79" s="1"/>
  <c r="H39" i="79"/>
  <c r="G39" i="79" s="1"/>
  <c r="H45" i="79"/>
  <c r="G45" i="79" s="1"/>
  <c r="H40" i="79"/>
  <c r="G40" i="79" s="1"/>
  <c r="H29" i="79"/>
  <c r="G29" i="79" s="1"/>
  <c r="H44" i="79"/>
  <c r="G44" i="79" s="1"/>
  <c r="H70" i="79"/>
  <c r="G70" i="79" s="1"/>
  <c r="H47" i="79"/>
  <c r="G47" i="79" s="1"/>
  <c r="H71" i="79"/>
  <c r="G71" i="79" s="1"/>
  <c r="BH89" i="1"/>
  <c r="BH83" i="1" s="1"/>
  <c r="BA89" i="1"/>
  <c r="BC89" i="1"/>
  <c r="BB89" i="1"/>
  <c r="AR89" i="1"/>
  <c r="E66" i="76"/>
  <c r="AW14" i="1"/>
  <c r="F31" i="79"/>
  <c r="E25" i="76"/>
  <c r="E37" i="76"/>
  <c r="F25" i="79"/>
  <c r="AW33" i="1"/>
  <c r="H34" i="79"/>
  <c r="G34" i="79" s="1"/>
  <c r="AW21" i="1"/>
  <c r="H22" i="79"/>
  <c r="O57" i="69"/>
  <c r="O56" i="69"/>
  <c r="O39" i="69"/>
  <c r="N56" i="69"/>
  <c r="N57" i="69"/>
  <c r="N39" i="69"/>
  <c r="N38" i="69"/>
  <c r="N37" i="69"/>
  <c r="O38" i="69"/>
  <c r="O37" i="69"/>
  <c r="AB89" i="1"/>
  <c r="AA89" i="1"/>
  <c r="AU89" i="1"/>
  <c r="AC89" i="1"/>
  <c r="AT89" i="1"/>
  <c r="V72" i="1"/>
  <c r="V74" i="1" s="1"/>
  <c r="V81" i="1" s="1"/>
  <c r="I31" i="69" s="1"/>
  <c r="I72" i="1"/>
  <c r="Q72" i="1"/>
  <c r="N72" i="1"/>
  <c r="N74" i="1" s="1"/>
  <c r="K72" i="1"/>
  <c r="K74" i="1" s="1"/>
  <c r="R72" i="1"/>
  <c r="R74" i="1" s="1"/>
  <c r="T72" i="1"/>
  <c r="T74" i="1" s="1"/>
  <c r="G72" i="1"/>
  <c r="G74" i="1" s="1"/>
  <c r="G81" i="1" s="1"/>
  <c r="E72" i="1"/>
  <c r="E74" i="1" s="1"/>
  <c r="E81" i="1" s="1"/>
  <c r="I11" i="69" s="1"/>
  <c r="O72" i="1"/>
  <c r="L72" i="1"/>
  <c r="H72" i="1"/>
  <c r="F72" i="1"/>
  <c r="P72" i="1"/>
  <c r="H48" i="1"/>
  <c r="H50" i="1" s="1"/>
  <c r="E72" i="76"/>
  <c r="E31" i="76"/>
  <c r="E48" i="76"/>
  <c r="E17" i="1"/>
  <c r="E17" i="76"/>
  <c r="Q48" i="1"/>
  <c r="Q50" i="1" s="1"/>
  <c r="K48" i="1"/>
  <c r="K50" i="1" s="1"/>
  <c r="K53" i="1" s="1"/>
  <c r="V48" i="1"/>
  <c r="V50" i="1" s="1"/>
  <c r="P48" i="1"/>
  <c r="P50" i="1" s="1"/>
  <c r="P53" i="1" s="1"/>
  <c r="O48" i="1"/>
  <c r="O50" i="1" s="1"/>
  <c r="I48" i="1"/>
  <c r="I50" i="1" s="1"/>
  <c r="F48" i="1"/>
  <c r="F50" i="1" s="1"/>
  <c r="L48" i="1"/>
  <c r="L50" i="1" s="1"/>
  <c r="N48" i="1"/>
  <c r="N50" i="1" s="1"/>
  <c r="G48" i="1"/>
  <c r="Y47" i="1"/>
  <c r="Y36" i="1"/>
  <c r="E48" i="1"/>
  <c r="Y24" i="1"/>
  <c r="Y16" i="1"/>
  <c r="T50" i="1"/>
  <c r="G54" i="1" l="1"/>
  <c r="I13" i="69"/>
  <c r="BG83" i="1"/>
  <c r="AS83" i="1"/>
  <c r="BD83" i="1"/>
  <c r="AR83" i="1"/>
  <c r="BE83" i="1"/>
  <c r="AM83" i="1"/>
  <c r="AL83" i="1"/>
  <c r="AK83" i="1"/>
  <c r="AI83" i="1"/>
  <c r="AH83" i="1"/>
  <c r="BB83" i="1"/>
  <c r="AE83" i="1"/>
  <c r="AD83" i="1"/>
  <c r="BA83" i="1"/>
  <c r="AZ83" i="1"/>
  <c r="AC83" i="1"/>
  <c r="AB83" i="1"/>
  <c r="AA83" i="1"/>
  <c r="BF83" i="1"/>
  <c r="AU83" i="1"/>
  <c r="AT83" i="1"/>
  <c r="AQ83" i="1"/>
  <c r="AP83" i="1"/>
  <c r="AO83" i="1"/>
  <c r="AN83" i="1"/>
  <c r="BC83" i="1"/>
  <c r="AJ83" i="1"/>
  <c r="O78" i="69"/>
  <c r="N78" i="69"/>
  <c r="P52" i="69"/>
  <c r="P68" i="69"/>
  <c r="P72" i="69"/>
  <c r="P77" i="69"/>
  <c r="P51" i="69"/>
  <c r="P53" i="69"/>
  <c r="P71" i="69"/>
  <c r="P70" i="69"/>
  <c r="P73" i="69"/>
  <c r="AF83" i="1"/>
  <c r="P74" i="69"/>
  <c r="V54" i="1"/>
  <c r="V55" i="76" s="1"/>
  <c r="P75" i="69"/>
  <c r="P69" i="69"/>
  <c r="P76" i="69"/>
  <c r="P50" i="69"/>
  <c r="P46" i="69"/>
  <c r="P54" i="69"/>
  <c r="P33" i="69"/>
  <c r="BI14" i="1"/>
  <c r="H15" i="82" s="1"/>
  <c r="BI21" i="1"/>
  <c r="BJ21" i="1" s="1"/>
  <c r="P57" i="69"/>
  <c r="BI33" i="1"/>
  <c r="BJ33" i="1" s="1"/>
  <c r="R53" i="1"/>
  <c r="R54" i="76" s="1"/>
  <c r="F73" i="79"/>
  <c r="F75" i="79" s="1"/>
  <c r="F81" i="79" s="1"/>
  <c r="H48" i="79"/>
  <c r="H72" i="79"/>
  <c r="G69" i="79"/>
  <c r="G72" i="79" s="1"/>
  <c r="H17" i="79"/>
  <c r="G17" i="79" s="1"/>
  <c r="G18" i="79" s="1"/>
  <c r="H66" i="79"/>
  <c r="J34" i="79"/>
  <c r="H31" i="79"/>
  <c r="J15" i="79"/>
  <c r="E73" i="76"/>
  <c r="E75" i="76" s="1"/>
  <c r="E82" i="76" s="1"/>
  <c r="G66" i="79"/>
  <c r="F49" i="79"/>
  <c r="F51" i="79" s="1"/>
  <c r="F59" i="79" s="1"/>
  <c r="H37" i="79"/>
  <c r="G22" i="79"/>
  <c r="H25" i="79"/>
  <c r="J22" i="79"/>
  <c r="F22" i="82" s="1"/>
  <c r="G31" i="79"/>
  <c r="G37" i="79"/>
  <c r="G48" i="79"/>
  <c r="P56" i="69"/>
  <c r="P39" i="69"/>
  <c r="P37" i="69"/>
  <c r="P38" i="69"/>
  <c r="F53" i="1"/>
  <c r="O53" i="1"/>
  <c r="O54" i="76" s="1"/>
  <c r="Q53" i="1"/>
  <c r="Q54" i="76" s="1"/>
  <c r="AG54" i="76"/>
  <c r="I53" i="1"/>
  <c r="I54" i="76" s="1"/>
  <c r="H53" i="1"/>
  <c r="H54" i="76" s="1"/>
  <c r="T53" i="1"/>
  <c r="T54" i="76" s="1"/>
  <c r="L53" i="1"/>
  <c r="L54" i="76" s="1"/>
  <c r="E25" i="3"/>
  <c r="E10" i="3"/>
  <c r="L13" i="69"/>
  <c r="Y17" i="1"/>
  <c r="E49" i="76"/>
  <c r="E18" i="76"/>
  <c r="T81" i="1"/>
  <c r="I29" i="69" s="1"/>
  <c r="R81" i="1"/>
  <c r="N81" i="1"/>
  <c r="I23" i="69" s="1"/>
  <c r="K81" i="1"/>
  <c r="I74" i="1"/>
  <c r="L74" i="1"/>
  <c r="O74" i="1"/>
  <c r="F74" i="1"/>
  <c r="Q74" i="1"/>
  <c r="P54" i="76"/>
  <c r="P74" i="1"/>
  <c r="P81" i="1" s="1"/>
  <c r="H74" i="1"/>
  <c r="H81" i="1" s="1"/>
  <c r="I14" i="69" s="1"/>
  <c r="K54" i="76"/>
  <c r="M54" i="76"/>
  <c r="L55" i="69"/>
  <c r="Y71" i="1"/>
  <c r="Y30" i="1"/>
  <c r="Y48" i="1" s="1"/>
  <c r="L31" i="69"/>
  <c r="Y65" i="1"/>
  <c r="G50" i="1"/>
  <c r="G53" i="1" s="1"/>
  <c r="E8" i="3"/>
  <c r="E50" i="1"/>
  <c r="K54" i="1" l="1"/>
  <c r="I20" i="69"/>
  <c r="R54" i="1"/>
  <c r="I27" i="69"/>
  <c r="L27" i="69" s="1"/>
  <c r="P54" i="1"/>
  <c r="I25" i="69"/>
  <c r="P78" i="69"/>
  <c r="L23" i="69"/>
  <c r="N54" i="1"/>
  <c r="N55" i="76" s="1"/>
  <c r="N59" i="76" s="1"/>
  <c r="O79" i="69"/>
  <c r="O81" i="69" s="1"/>
  <c r="O83" i="69" s="1"/>
  <c r="F13" i="75"/>
  <c r="G13" i="75" s="1"/>
  <c r="R58" i="1"/>
  <c r="H27" i="69" s="1"/>
  <c r="F28" i="75"/>
  <c r="G28" i="75" s="1"/>
  <c r="E11" i="75"/>
  <c r="E53" i="75" s="1"/>
  <c r="BJ14" i="1"/>
  <c r="H22" i="82"/>
  <c r="G22" i="82" s="1"/>
  <c r="F54" i="76"/>
  <c r="H34" i="82"/>
  <c r="K34" i="82" s="1"/>
  <c r="H73" i="79"/>
  <c r="H75" i="79" s="1"/>
  <c r="H81" i="79" s="1"/>
  <c r="I34" i="79"/>
  <c r="F34" i="82"/>
  <c r="F82" i="79"/>
  <c r="I15" i="79"/>
  <c r="F15" i="82"/>
  <c r="H18" i="79"/>
  <c r="L34" i="79"/>
  <c r="G73" i="79"/>
  <c r="G75" i="79" s="1"/>
  <c r="G81" i="79" s="1"/>
  <c r="H49" i="79"/>
  <c r="I22" i="79"/>
  <c r="L22" i="79"/>
  <c r="G25" i="79"/>
  <c r="G49" i="79" s="1"/>
  <c r="G51" i="79" s="1"/>
  <c r="E23" i="3"/>
  <c r="T54" i="1"/>
  <c r="E11" i="3"/>
  <c r="H54" i="1"/>
  <c r="L25" i="69"/>
  <c r="E17" i="3"/>
  <c r="E21" i="3"/>
  <c r="Y72" i="1"/>
  <c r="Y74" i="1" s="1"/>
  <c r="Y81" i="1" s="1"/>
  <c r="L20" i="69"/>
  <c r="E14" i="3"/>
  <c r="L22" i="69"/>
  <c r="E19" i="3"/>
  <c r="E51" i="76"/>
  <c r="E59" i="76" s="1"/>
  <c r="L29" i="69"/>
  <c r="E16" i="3"/>
  <c r="G54" i="76"/>
  <c r="O81" i="1"/>
  <c r="I24" i="69" s="1"/>
  <c r="AG55" i="76"/>
  <c r="AG59" i="76" s="1"/>
  <c r="I81" i="1"/>
  <c r="L81" i="1"/>
  <c r="Q81" i="1"/>
  <c r="F81" i="1"/>
  <c r="I12" i="69" s="1"/>
  <c r="E39" i="3"/>
  <c r="L45" i="69"/>
  <c r="Y50" i="1"/>
  <c r="E58" i="1"/>
  <c r="L19" i="69"/>
  <c r="L11" i="69"/>
  <c r="I54" i="1" l="1"/>
  <c r="I18" i="69"/>
  <c r="L54" i="1"/>
  <c r="I21" i="69"/>
  <c r="L21" i="69" s="1"/>
  <c r="E82" i="1"/>
  <c r="H11" i="69"/>
  <c r="Q54" i="1"/>
  <c r="I26" i="69"/>
  <c r="K22" i="82"/>
  <c r="G11" i="75"/>
  <c r="F17" i="75"/>
  <c r="G17" i="75" s="1"/>
  <c r="F20" i="75"/>
  <c r="G20" i="75" s="1"/>
  <c r="F40" i="75"/>
  <c r="G40" i="75" s="1"/>
  <c r="F19" i="75"/>
  <c r="G19" i="75" s="1"/>
  <c r="F22" i="75"/>
  <c r="G22" i="75" s="1"/>
  <c r="F26" i="75"/>
  <c r="G26" i="75" s="1"/>
  <c r="F24" i="75"/>
  <c r="G24" i="75" s="1"/>
  <c r="F14" i="75"/>
  <c r="G14" i="75" s="1"/>
  <c r="G34" i="82"/>
  <c r="H51" i="79"/>
  <c r="G15" i="82"/>
  <c r="F54" i="1"/>
  <c r="L14" i="69"/>
  <c r="E18" i="3"/>
  <c r="O54" i="1"/>
  <c r="L24" i="69"/>
  <c r="L18" i="69"/>
  <c r="E20" i="3"/>
  <c r="E36" i="3"/>
  <c r="E12" i="3"/>
  <c r="L26" i="69"/>
  <c r="N58" i="1"/>
  <c r="H23" i="69" s="1"/>
  <c r="E15" i="3"/>
  <c r="E38" i="3"/>
  <c r="F39" i="75" s="1"/>
  <c r="G39" i="75" s="1"/>
  <c r="L44" i="69"/>
  <c r="L42" i="69"/>
  <c r="I16" i="69"/>
  <c r="E9" i="3"/>
  <c r="D8" i="3"/>
  <c r="I34" i="69" l="1"/>
  <c r="I60" i="69" s="1"/>
  <c r="F15" i="75"/>
  <c r="G15" i="75" s="1"/>
  <c r="F21" i="75"/>
  <c r="G21" i="75" s="1"/>
  <c r="F18" i="75"/>
  <c r="G18" i="75" s="1"/>
  <c r="G8" i="3"/>
  <c r="F8" i="3"/>
  <c r="F37" i="75"/>
  <c r="G37" i="75" s="1"/>
  <c r="F23" i="75"/>
  <c r="G23" i="75" s="1"/>
  <c r="I78" i="69"/>
  <c r="F12" i="75"/>
  <c r="G12" i="75" s="1"/>
  <c r="E28" i="3"/>
  <c r="E53" i="3" s="1"/>
  <c r="E68" i="3" s="1"/>
  <c r="D17" i="3"/>
  <c r="F17" i="3" s="1"/>
  <c r="K23" i="69"/>
  <c r="N23" i="69" s="1"/>
  <c r="L12" i="69"/>
  <c r="L16" i="69" s="1"/>
  <c r="L34" i="69" s="1"/>
  <c r="L60" i="69" s="1"/>
  <c r="F78" i="69"/>
  <c r="K11" i="69"/>
  <c r="F53" i="75" l="1"/>
  <c r="G53" i="75"/>
  <c r="J53" i="75" s="1"/>
  <c r="E60" i="69"/>
  <c r="E78" i="69" s="1"/>
  <c r="N11" i="69"/>
  <c r="AW15" i="1" l="1"/>
  <c r="AW64" i="1"/>
  <c r="AW34" i="1"/>
  <c r="AW22" i="1"/>
  <c r="AW45" i="1"/>
  <c r="AW70" i="1"/>
  <c r="AW35" i="1"/>
  <c r="AW78" i="1"/>
  <c r="AW46" i="1"/>
  <c r="AW40" i="1"/>
  <c r="AW38" i="1"/>
  <c r="AW75" i="1"/>
  <c r="AW27" i="1"/>
  <c r="AW56" i="1"/>
  <c r="AW28" i="1"/>
  <c r="AW44" i="1"/>
  <c r="AW16" i="1"/>
  <c r="AW23" i="1"/>
  <c r="AW55" i="1"/>
  <c r="AW39" i="1"/>
  <c r="AW68" i="1"/>
  <c r="BI68" i="1" s="1"/>
  <c r="AW69" i="1"/>
  <c r="AW73" i="1"/>
  <c r="AW29" i="1"/>
  <c r="AW63" i="1"/>
  <c r="AW43" i="1"/>
  <c r="AW76" i="1"/>
  <c r="AW77" i="1"/>
  <c r="AW62" i="1"/>
  <c r="BI62" i="1" s="1"/>
  <c r="BI29" i="1" l="1"/>
  <c r="BI75" i="1"/>
  <c r="H76" i="82" s="1"/>
  <c r="BI76" i="1"/>
  <c r="BJ76" i="1" s="1"/>
  <c r="BI23" i="1"/>
  <c r="BJ23" i="1" s="1"/>
  <c r="BI56" i="1"/>
  <c r="H57" i="82" s="1"/>
  <c r="BI40" i="1"/>
  <c r="BJ40" i="1" s="1"/>
  <c r="BI78" i="1"/>
  <c r="BJ78" i="1" s="1"/>
  <c r="BI16" i="1"/>
  <c r="H17" i="82" s="1"/>
  <c r="BI46" i="1"/>
  <c r="H47" i="82" s="1"/>
  <c r="BI45" i="1"/>
  <c r="BJ45" i="1" s="1"/>
  <c r="BI15" i="1"/>
  <c r="BJ15" i="1" s="1"/>
  <c r="BI77" i="1"/>
  <c r="BJ77" i="1" s="1"/>
  <c r="BI43" i="1"/>
  <c r="H44" i="82" s="1"/>
  <c r="BI55" i="1"/>
  <c r="H56" i="82" s="1"/>
  <c r="BI39" i="1"/>
  <c r="BJ39" i="1" s="1"/>
  <c r="BI27" i="1"/>
  <c r="BJ27" i="1" s="1"/>
  <c r="BI22" i="1"/>
  <c r="H23" i="82" s="1"/>
  <c r="BI73" i="1"/>
  <c r="H74" i="82" s="1"/>
  <c r="BI70" i="1"/>
  <c r="BJ70" i="1" s="1"/>
  <c r="BI69" i="1"/>
  <c r="BJ69" i="1" s="1"/>
  <c r="BJ68" i="1"/>
  <c r="BI64" i="1"/>
  <c r="BJ64" i="1" s="1"/>
  <c r="BI63" i="1"/>
  <c r="BJ63" i="1" s="1"/>
  <c r="BI44" i="1"/>
  <c r="H45" i="82" s="1"/>
  <c r="BI34" i="1"/>
  <c r="BJ34" i="1" s="1"/>
  <c r="BJ62" i="1"/>
  <c r="BI28" i="1"/>
  <c r="H30" i="82"/>
  <c r="BJ29" i="1"/>
  <c r="H41" i="82"/>
  <c r="BI38" i="1"/>
  <c r="H39" i="82" s="1"/>
  <c r="BI35" i="1"/>
  <c r="H36" i="82" s="1"/>
  <c r="J77" i="79"/>
  <c r="F77" i="82" s="1"/>
  <c r="J76" i="79"/>
  <c r="F76" i="82" s="1"/>
  <c r="J57" i="79"/>
  <c r="F57" i="82" s="1"/>
  <c r="J41" i="79"/>
  <c r="F41" i="82" s="1"/>
  <c r="J28" i="79"/>
  <c r="F28" i="82" s="1"/>
  <c r="J47" i="79"/>
  <c r="F47" i="82" s="1"/>
  <c r="J69" i="79"/>
  <c r="F69" i="82" s="1"/>
  <c r="J63" i="79"/>
  <c r="F63" i="82" s="1"/>
  <c r="J45" i="79"/>
  <c r="F45" i="82" s="1"/>
  <c r="J29" i="79"/>
  <c r="F29" i="82" s="1"/>
  <c r="J46" i="79"/>
  <c r="F46" i="82" s="1"/>
  <c r="J40" i="79"/>
  <c r="F40" i="82" s="1"/>
  <c r="J24" i="79"/>
  <c r="F24" i="82" s="1"/>
  <c r="J23" i="79"/>
  <c r="F23" i="82" s="1"/>
  <c r="J17" i="79"/>
  <c r="F17" i="82" s="1"/>
  <c r="J35" i="79"/>
  <c r="F35" i="82" s="1"/>
  <c r="J56" i="79"/>
  <c r="F56" i="82" s="1"/>
  <c r="J30" i="79"/>
  <c r="F30" i="82" s="1"/>
  <c r="J16" i="79"/>
  <c r="J71" i="79"/>
  <c r="F71" i="82" s="1"/>
  <c r="J70" i="79"/>
  <c r="F70" i="82" s="1"/>
  <c r="J65" i="79"/>
  <c r="F65" i="82" s="1"/>
  <c r="J64" i="79"/>
  <c r="F64" i="82" s="1"/>
  <c r="J79" i="79"/>
  <c r="F79" i="82" s="1"/>
  <c r="J78" i="79"/>
  <c r="F78" i="82" s="1"/>
  <c r="J74" i="79"/>
  <c r="F74" i="82" s="1"/>
  <c r="J36" i="79"/>
  <c r="F36" i="82" s="1"/>
  <c r="J44" i="79"/>
  <c r="F44" i="82" s="1"/>
  <c r="J39" i="79"/>
  <c r="F39" i="82" s="1"/>
  <c r="AW36" i="1"/>
  <c r="AW47" i="1"/>
  <c r="AW71" i="1"/>
  <c r="AW24" i="1"/>
  <c r="AW65" i="1"/>
  <c r="AW30" i="1"/>
  <c r="AW17" i="1"/>
  <c r="H24" i="82" l="1"/>
  <c r="BJ16" i="1"/>
  <c r="H46" i="82"/>
  <c r="K46" i="82" s="1"/>
  <c r="BI30" i="1"/>
  <c r="BJ73" i="1"/>
  <c r="H78" i="82"/>
  <c r="K78" i="82" s="1"/>
  <c r="BI17" i="1"/>
  <c r="H79" i="82"/>
  <c r="K79" i="82" s="1"/>
  <c r="BJ46" i="1"/>
  <c r="H16" i="82"/>
  <c r="H18" i="82" s="1"/>
  <c r="F16" i="82"/>
  <c r="F18" i="82" s="1"/>
  <c r="F26" i="55"/>
  <c r="H28" i="82"/>
  <c r="K28" i="82" s="1"/>
  <c r="H77" i="82"/>
  <c r="G77" i="82" s="1"/>
  <c r="BJ56" i="1"/>
  <c r="BJ44" i="1"/>
  <c r="BJ75" i="1"/>
  <c r="H40" i="82"/>
  <c r="G40" i="82" s="1"/>
  <c r="H65" i="82"/>
  <c r="G65" i="82" s="1"/>
  <c r="H64" i="82"/>
  <c r="K64" i="82" s="1"/>
  <c r="BJ55" i="1"/>
  <c r="H70" i="82"/>
  <c r="K70" i="82" s="1"/>
  <c r="BI24" i="1"/>
  <c r="BJ22" i="1"/>
  <c r="BJ24" i="1" s="1"/>
  <c r="H69" i="82"/>
  <c r="K69" i="82" s="1"/>
  <c r="BI71" i="1"/>
  <c r="H71" i="82"/>
  <c r="G71" i="82" s="1"/>
  <c r="BI65" i="1"/>
  <c r="H35" i="82"/>
  <c r="G35" i="82" s="1"/>
  <c r="BJ28" i="1"/>
  <c r="BJ30" i="1" s="1"/>
  <c r="H29" i="82"/>
  <c r="H63" i="82"/>
  <c r="K63" i="82" s="1"/>
  <c r="F31" i="82"/>
  <c r="F66" i="82"/>
  <c r="BJ17" i="1"/>
  <c r="BJ65" i="1"/>
  <c r="K41" i="82"/>
  <c r="G41" i="82"/>
  <c r="G44" i="82"/>
  <c r="H48" i="82"/>
  <c r="K30" i="82"/>
  <c r="G30" i="82"/>
  <c r="F37" i="82"/>
  <c r="F72" i="82"/>
  <c r="K47" i="82"/>
  <c r="G47" i="82"/>
  <c r="BJ71" i="1"/>
  <c r="G78" i="82"/>
  <c r="K57" i="82"/>
  <c r="G57" i="82"/>
  <c r="K76" i="82"/>
  <c r="G76" i="82"/>
  <c r="K24" i="82"/>
  <c r="G24" i="82"/>
  <c r="K23" i="82"/>
  <c r="H25" i="82"/>
  <c r="G23" i="82"/>
  <c r="F48" i="82"/>
  <c r="K74" i="82"/>
  <c r="G74" i="82"/>
  <c r="F25" i="82"/>
  <c r="G39" i="82"/>
  <c r="K17" i="82"/>
  <c r="G17" i="82"/>
  <c r="K45" i="82"/>
  <c r="G45" i="82"/>
  <c r="K56" i="82"/>
  <c r="G56" i="82"/>
  <c r="G36" i="82"/>
  <c r="BJ35" i="1"/>
  <c r="BI36" i="1"/>
  <c r="BJ43" i="1"/>
  <c r="BJ38" i="1"/>
  <c r="L41" i="79"/>
  <c r="I41" i="79"/>
  <c r="L76" i="79"/>
  <c r="I76" i="79"/>
  <c r="I47" i="79"/>
  <c r="L47" i="79"/>
  <c r="I28" i="79"/>
  <c r="L28" i="79"/>
  <c r="I57" i="79"/>
  <c r="L57" i="79"/>
  <c r="L77" i="79"/>
  <c r="I77" i="79"/>
  <c r="I69" i="79"/>
  <c r="L69" i="79"/>
  <c r="L63" i="79"/>
  <c r="I63" i="79"/>
  <c r="L45" i="79"/>
  <c r="I45" i="79"/>
  <c r="I29" i="79"/>
  <c r="L29" i="79"/>
  <c r="I46" i="79"/>
  <c r="L46" i="79"/>
  <c r="I40" i="79"/>
  <c r="L40" i="79"/>
  <c r="I24" i="79"/>
  <c r="L24" i="79"/>
  <c r="L23" i="79"/>
  <c r="I23" i="79"/>
  <c r="J25" i="79"/>
  <c r="L17" i="79"/>
  <c r="I17" i="79"/>
  <c r="I35" i="79"/>
  <c r="L35" i="79"/>
  <c r="I56" i="79"/>
  <c r="L56" i="79"/>
  <c r="J31" i="79"/>
  <c r="L30" i="79"/>
  <c r="I30" i="79"/>
  <c r="L16" i="79"/>
  <c r="I16" i="79"/>
  <c r="J18" i="79"/>
  <c r="I71" i="79"/>
  <c r="L71" i="79"/>
  <c r="I70" i="79"/>
  <c r="L70" i="79"/>
  <c r="J72" i="79"/>
  <c r="L65" i="79"/>
  <c r="I65" i="79"/>
  <c r="L64" i="79"/>
  <c r="J66" i="79"/>
  <c r="I64" i="79"/>
  <c r="L79" i="79"/>
  <c r="I79" i="79"/>
  <c r="I78" i="79"/>
  <c r="L78" i="79"/>
  <c r="I74" i="79"/>
  <c r="L74" i="79"/>
  <c r="I36" i="79"/>
  <c r="J37" i="79"/>
  <c r="I44" i="79"/>
  <c r="J48" i="79"/>
  <c r="I39" i="79"/>
  <c r="AW72" i="1"/>
  <c r="AW74" i="1" s="1"/>
  <c r="AW81" i="1" s="1"/>
  <c r="F12" i="55" s="1"/>
  <c r="F16" i="55" s="1"/>
  <c r="AW48" i="1"/>
  <c r="AW50" i="1" s="1"/>
  <c r="G46" i="82" l="1"/>
  <c r="G79" i="82"/>
  <c r="K71" i="82"/>
  <c r="K65" i="82"/>
  <c r="K66" i="82" s="1"/>
  <c r="G28" i="82"/>
  <c r="K16" i="82"/>
  <c r="K77" i="82"/>
  <c r="G16" i="82"/>
  <c r="G18" i="82" s="1"/>
  <c r="H37" i="82"/>
  <c r="G64" i="82"/>
  <c r="K40" i="82"/>
  <c r="K35" i="82"/>
  <c r="H31" i="82"/>
  <c r="G70" i="82"/>
  <c r="H72" i="82"/>
  <c r="G69" i="82"/>
  <c r="G63" i="82"/>
  <c r="BI72" i="1"/>
  <c r="BI74" i="1" s="1"/>
  <c r="BI81" i="1" s="1"/>
  <c r="G12" i="55" s="1"/>
  <c r="G16" i="55" s="1"/>
  <c r="K29" i="82"/>
  <c r="K31" i="82" s="1"/>
  <c r="H66" i="82"/>
  <c r="BJ72" i="1"/>
  <c r="BJ74" i="1" s="1"/>
  <c r="BJ81" i="1" s="1"/>
  <c r="G29" i="82"/>
  <c r="K72" i="82"/>
  <c r="K25" i="82"/>
  <c r="F49" i="82"/>
  <c r="F51" i="82" s="1"/>
  <c r="G37" i="82"/>
  <c r="F73" i="82"/>
  <c r="F75" i="82" s="1"/>
  <c r="F81" i="82" s="1"/>
  <c r="G48" i="82"/>
  <c r="G25" i="82"/>
  <c r="BJ47" i="1"/>
  <c r="BJ36" i="1"/>
  <c r="L31" i="79"/>
  <c r="L25" i="79"/>
  <c r="J73" i="79"/>
  <c r="J75" i="79" s="1"/>
  <c r="J81" i="79" s="1"/>
  <c r="I25" i="79"/>
  <c r="J49" i="79"/>
  <c r="J51" i="79" s="1"/>
  <c r="I31" i="79"/>
  <c r="I18" i="79"/>
  <c r="L72" i="79"/>
  <c r="I72" i="79"/>
  <c r="L66" i="79"/>
  <c r="I66" i="79"/>
  <c r="I37" i="79"/>
  <c r="I48" i="79"/>
  <c r="G31" i="82" l="1"/>
  <c r="G49" i="82" s="1"/>
  <c r="G51" i="82" s="1"/>
  <c r="H49" i="82"/>
  <c r="H51" i="82" s="1"/>
  <c r="G66" i="82"/>
  <c r="H73" i="82"/>
  <c r="H75" i="82" s="1"/>
  <c r="H81" i="82" s="1"/>
  <c r="G72" i="82"/>
  <c r="K73" i="82"/>
  <c r="K75" i="82" s="1"/>
  <c r="K81" i="82" s="1"/>
  <c r="BJ48" i="1"/>
  <c r="BJ50" i="1" s="1"/>
  <c r="I49" i="79"/>
  <c r="L73" i="79"/>
  <c r="L75" i="79" s="1"/>
  <c r="L81" i="79" s="1"/>
  <c r="I73" i="79"/>
  <c r="G73" i="82" l="1"/>
  <c r="G75" i="82" s="1"/>
  <c r="G81" i="82" s="1"/>
  <c r="I51" i="79"/>
  <c r="I75" i="79"/>
  <c r="I81" i="79" l="1"/>
  <c r="A18" i="69" l="1"/>
  <c r="A12" i="3"/>
  <c r="A15" i="75" s="1"/>
  <c r="A13" i="3" l="1"/>
  <c r="A16" i="75" s="1"/>
  <c r="A19" i="69"/>
  <c r="A20" i="69" l="1"/>
  <c r="A14" i="3"/>
  <c r="A17" i="75" s="1"/>
  <c r="A21" i="69" l="1"/>
  <c r="A15" i="3"/>
  <c r="A18" i="75" s="1"/>
  <c r="A22" i="69" l="1"/>
  <c r="A16" i="3"/>
  <c r="A19" i="75" s="1"/>
  <c r="A23" i="69" l="1"/>
  <c r="A17" i="3"/>
  <c r="A20" i="75" s="1"/>
  <c r="A24" i="69" l="1"/>
  <c r="A18" i="3"/>
  <c r="A21" i="75" s="1"/>
  <c r="A25" i="69" l="1"/>
  <c r="A19" i="3"/>
  <c r="A22" i="75" s="1"/>
  <c r="A26" i="69" l="1"/>
  <c r="A20" i="3"/>
  <c r="A23" i="75" s="1"/>
  <c r="A21" i="3" l="1"/>
  <c r="A24" i="75" s="1"/>
  <c r="A27" i="69"/>
  <c r="A23" i="3" l="1"/>
  <c r="A26" i="75" s="1"/>
  <c r="A29" i="69"/>
  <c r="A31" i="69" l="1"/>
  <c r="E8" i="75"/>
  <c r="A25" i="3"/>
  <c r="A28" i="75" s="1"/>
  <c r="E57" i="75" l="1"/>
  <c r="R55" i="76"/>
  <c r="R59" i="76" s="1"/>
  <c r="E88" i="1"/>
  <c r="E89" i="1" s="1"/>
  <c r="E83" i="1" s="1"/>
  <c r="G55" i="76"/>
  <c r="G59" i="76" s="1"/>
  <c r="O58" i="1"/>
  <c r="H24" i="69" s="1"/>
  <c r="I55" i="76"/>
  <c r="I59" i="76" s="1"/>
  <c r="Q58" i="1"/>
  <c r="H26" i="69" s="1"/>
  <c r="L55" i="76"/>
  <c r="L59" i="76" s="1"/>
  <c r="J55" i="76"/>
  <c r="J59" i="76" s="1"/>
  <c r="K58" i="1"/>
  <c r="H20" i="69" s="1"/>
  <c r="M55" i="76"/>
  <c r="M59" i="76" s="1"/>
  <c r="H55" i="76"/>
  <c r="H59" i="76" s="1"/>
  <c r="S55" i="76"/>
  <c r="S59" i="76" s="1"/>
  <c r="Z58" i="1"/>
  <c r="H36" i="69" s="1"/>
  <c r="T55" i="76"/>
  <c r="T59" i="76" s="1"/>
  <c r="F58" i="1"/>
  <c r="H12" i="69" s="1"/>
  <c r="I38" i="75" l="1"/>
  <c r="I39" i="75"/>
  <c r="I48" i="75"/>
  <c r="I47" i="75"/>
  <c r="I46" i="75"/>
  <c r="I52" i="75"/>
  <c r="I51" i="75"/>
  <c r="I50" i="75"/>
  <c r="I49" i="75"/>
  <c r="I32" i="75"/>
  <c r="I36" i="75"/>
  <c r="I41" i="75"/>
  <c r="I40" i="75"/>
  <c r="I43" i="75"/>
  <c r="I42" i="75"/>
  <c r="I44" i="75"/>
  <c r="I33" i="75"/>
  <c r="I35" i="75"/>
  <c r="I30" i="75"/>
  <c r="I37" i="75"/>
  <c r="I34" i="75"/>
  <c r="I45" i="75"/>
  <c r="I13" i="75"/>
  <c r="I17" i="75"/>
  <c r="I21" i="75"/>
  <c r="I25" i="75"/>
  <c r="I29" i="75"/>
  <c r="I14" i="75"/>
  <c r="I18" i="75"/>
  <c r="I22" i="75"/>
  <c r="I26" i="75"/>
  <c r="I31" i="75"/>
  <c r="I15" i="75"/>
  <c r="I19" i="75"/>
  <c r="I23" i="75"/>
  <c r="I27" i="75"/>
  <c r="I16" i="75"/>
  <c r="I20" i="75"/>
  <c r="I24" i="75"/>
  <c r="I28" i="75"/>
  <c r="I12" i="75"/>
  <c r="D26" i="3"/>
  <c r="F26" i="3" s="1"/>
  <c r="K32" i="69"/>
  <c r="N32" i="69" s="1"/>
  <c r="O30" i="69"/>
  <c r="O32" i="69"/>
  <c r="W88" i="1"/>
  <c r="E59" i="75"/>
  <c r="U55" i="76"/>
  <c r="U59" i="76" s="1"/>
  <c r="U58" i="1"/>
  <c r="K49" i="69"/>
  <c r="N49" i="69" s="1"/>
  <c r="O41" i="69"/>
  <c r="D21" i="3"/>
  <c r="F21" i="3" s="1"/>
  <c r="N88" i="1"/>
  <c r="G58" i="1"/>
  <c r="O22" i="69"/>
  <c r="O23" i="69"/>
  <c r="P23" i="69" s="1"/>
  <c r="O44" i="69"/>
  <c r="O26" i="69"/>
  <c r="O45" i="69"/>
  <c r="O40" i="69"/>
  <c r="O25" i="69"/>
  <c r="O29" i="69"/>
  <c r="O36" i="69"/>
  <c r="O48" i="69"/>
  <c r="O28" i="69"/>
  <c r="O24" i="69"/>
  <c r="Q55" i="76"/>
  <c r="Q59" i="76" s="1"/>
  <c r="O58" i="69"/>
  <c r="I58" i="1"/>
  <c r="F57" i="75"/>
  <c r="F59" i="75" s="1"/>
  <c r="I11" i="75"/>
  <c r="L58" i="1"/>
  <c r="F55" i="76"/>
  <c r="F59" i="76" s="1"/>
  <c r="O55" i="76"/>
  <c r="O59" i="76" s="1"/>
  <c r="O14" i="69"/>
  <c r="O13" i="69"/>
  <c r="O20" i="69"/>
  <c r="O18" i="69"/>
  <c r="O47" i="69"/>
  <c r="O19" i="69"/>
  <c r="O12" i="69"/>
  <c r="M58" i="1"/>
  <c r="O55" i="69"/>
  <c r="O31" i="69"/>
  <c r="O42" i="69"/>
  <c r="O49" i="69"/>
  <c r="O11" i="69"/>
  <c r="O21" i="69"/>
  <c r="O27" i="69"/>
  <c r="J58" i="1"/>
  <c r="D34" i="3"/>
  <c r="F34" i="3" s="1"/>
  <c r="T58" i="1"/>
  <c r="S58" i="1"/>
  <c r="K55" i="76"/>
  <c r="K59" i="76" s="1"/>
  <c r="H58" i="1"/>
  <c r="Y54" i="1"/>
  <c r="D38" i="3"/>
  <c r="F38" i="3" s="1"/>
  <c r="P55" i="76"/>
  <c r="P59" i="76" s="1"/>
  <c r="P58" i="1"/>
  <c r="Y55" i="76"/>
  <c r="Y59" i="76" s="1"/>
  <c r="D9" i="3"/>
  <c r="F9" i="3" s="1"/>
  <c r="F88" i="1"/>
  <c r="D14" i="3"/>
  <c r="F14" i="3" s="1"/>
  <c r="K20" i="69"/>
  <c r="N20" i="69" s="1"/>
  <c r="K88" i="1"/>
  <c r="D36" i="3"/>
  <c r="F36" i="3" s="1"/>
  <c r="K42" i="69"/>
  <c r="N42" i="69" s="1"/>
  <c r="K45" i="69"/>
  <c r="N45" i="69" s="1"/>
  <c r="D39" i="3"/>
  <c r="F39" i="3" s="1"/>
  <c r="D18" i="3"/>
  <c r="F18" i="3" s="1"/>
  <c r="K24" i="69"/>
  <c r="N24" i="69" s="1"/>
  <c r="O88" i="1"/>
  <c r="D30" i="3"/>
  <c r="F30" i="3" s="1"/>
  <c r="K36" i="69"/>
  <c r="N36" i="69" s="1"/>
  <c r="Z88" i="1"/>
  <c r="D20" i="3"/>
  <c r="F20" i="3" s="1"/>
  <c r="K26" i="69"/>
  <c r="N26" i="69" s="1"/>
  <c r="Q88" i="1"/>
  <c r="D15" i="3" l="1"/>
  <c r="F15" i="3" s="1"/>
  <c r="H21" i="69"/>
  <c r="D11" i="3"/>
  <c r="F11" i="3" s="1"/>
  <c r="H14" i="69"/>
  <c r="K14" i="69" s="1"/>
  <c r="N14" i="69" s="1"/>
  <c r="P14" i="69" s="1"/>
  <c r="H13" i="69"/>
  <c r="K13" i="69" s="1"/>
  <c r="N13" i="69" s="1"/>
  <c r="P13" i="69" s="1"/>
  <c r="H18" i="69"/>
  <c r="K18" i="69" s="1"/>
  <c r="N18" i="69" s="1"/>
  <c r="P18" i="69" s="1"/>
  <c r="H25" i="69"/>
  <c r="K25" i="69" s="1"/>
  <c r="N25" i="69" s="1"/>
  <c r="P25" i="69" s="1"/>
  <c r="D13" i="3"/>
  <c r="F13" i="3" s="1"/>
  <c r="H19" i="69"/>
  <c r="D16" i="3"/>
  <c r="F16" i="3" s="1"/>
  <c r="H22" i="69"/>
  <c r="K22" i="69" s="1"/>
  <c r="N22" i="69" s="1"/>
  <c r="P22" i="69" s="1"/>
  <c r="U88" i="1"/>
  <c r="H30" i="69"/>
  <c r="D22" i="3"/>
  <c r="F22" i="3" s="1"/>
  <c r="H28" i="69"/>
  <c r="K28" i="69" s="1"/>
  <c r="N28" i="69" s="1"/>
  <c r="P28" i="69" s="1"/>
  <c r="D23" i="3"/>
  <c r="F23" i="3" s="1"/>
  <c r="H29" i="69"/>
  <c r="K29" i="69" s="1"/>
  <c r="N29" i="69" s="1"/>
  <c r="P29" i="69" s="1"/>
  <c r="D52" i="3"/>
  <c r="AW54" i="1"/>
  <c r="H55" i="79"/>
  <c r="G55" i="79" s="1"/>
  <c r="E63" i="75"/>
  <c r="G59" i="75"/>
  <c r="P11" i="69"/>
  <c r="O16" i="69"/>
  <c r="O34" i="69" s="1"/>
  <c r="O60" i="69" s="1"/>
  <c r="K55" i="69"/>
  <c r="N55" i="69" s="1"/>
  <c r="P55" i="69" s="1"/>
  <c r="D49" i="3"/>
  <c r="F49" i="3" s="1"/>
  <c r="P32" i="69"/>
  <c r="Q89" i="1"/>
  <c r="Z89" i="1"/>
  <c r="K89" i="1"/>
  <c r="N89" i="1"/>
  <c r="O89" i="1"/>
  <c r="F89" i="1"/>
  <c r="W89" i="1"/>
  <c r="D24" i="3"/>
  <c r="F24" i="3" s="1"/>
  <c r="K30" i="69"/>
  <c r="N30" i="69" s="1"/>
  <c r="P30" i="69" s="1"/>
  <c r="D42" i="3"/>
  <c r="F42" i="3" s="1"/>
  <c r="K48" i="69"/>
  <c r="N48" i="69" s="1"/>
  <c r="P48" i="69" s="1"/>
  <c r="D43" i="3"/>
  <c r="F43" i="3" s="1"/>
  <c r="K41" i="69"/>
  <c r="N41" i="69" s="1"/>
  <c r="P41" i="69" s="1"/>
  <c r="D35" i="3"/>
  <c r="F35" i="3" s="1"/>
  <c r="R88" i="1"/>
  <c r="K27" i="69"/>
  <c r="N27" i="69" s="1"/>
  <c r="P27" i="69" s="1"/>
  <c r="M88" i="1"/>
  <c r="J88" i="1"/>
  <c r="D10" i="3"/>
  <c r="F10" i="3" s="1"/>
  <c r="G88" i="1"/>
  <c r="K58" i="69"/>
  <c r="D41" i="3"/>
  <c r="F41" i="3" s="1"/>
  <c r="P26" i="69"/>
  <c r="P45" i="69"/>
  <c r="K47" i="69"/>
  <c r="N47" i="69" s="1"/>
  <c r="P47" i="69" s="1"/>
  <c r="P36" i="69"/>
  <c r="P24" i="69"/>
  <c r="I88" i="1"/>
  <c r="S88" i="1"/>
  <c r="P49" i="69"/>
  <c r="D12" i="3"/>
  <c r="F12" i="3" s="1"/>
  <c r="L88" i="1"/>
  <c r="K21" i="69"/>
  <c r="N21" i="69" s="1"/>
  <c r="P21" i="69" s="1"/>
  <c r="K19" i="69"/>
  <c r="N19" i="69" s="1"/>
  <c r="P19" i="69" s="1"/>
  <c r="K40" i="69"/>
  <c r="N40" i="69" s="1"/>
  <c r="P40" i="69" s="1"/>
  <c r="P42" i="69"/>
  <c r="P20" i="69"/>
  <c r="T88" i="1"/>
  <c r="P88" i="1"/>
  <c r="K44" i="69"/>
  <c r="N44" i="69" s="1"/>
  <c r="P44" i="69" s="1"/>
  <c r="H88" i="1"/>
  <c r="D19" i="3"/>
  <c r="F19" i="3" s="1"/>
  <c r="K12" i="69"/>
  <c r="Z83" i="1" l="1"/>
  <c r="W83" i="1"/>
  <c r="U89" i="1"/>
  <c r="Q83" i="1"/>
  <c r="O83" i="1"/>
  <c r="N83" i="1"/>
  <c r="K83" i="1"/>
  <c r="F83" i="1"/>
  <c r="N58" i="69"/>
  <c r="BI54" i="1"/>
  <c r="H55" i="82" s="1"/>
  <c r="K55" i="82" s="1"/>
  <c r="E66" i="75"/>
  <c r="J55" i="79"/>
  <c r="F55" i="82" s="1"/>
  <c r="K16" i="69"/>
  <c r="H16" i="69"/>
  <c r="J89" i="1"/>
  <c r="T89" i="1"/>
  <c r="I89" i="1"/>
  <c r="R89" i="1"/>
  <c r="P89" i="1"/>
  <c r="L89" i="1"/>
  <c r="S89" i="1"/>
  <c r="M89" i="1"/>
  <c r="H89" i="1"/>
  <c r="G89" i="1"/>
  <c r="F63" i="75"/>
  <c r="F66" i="75" s="1"/>
  <c r="N12" i="69"/>
  <c r="N16" i="69" s="1"/>
  <c r="U83" i="1" l="1"/>
  <c r="T83" i="1"/>
  <c r="S83" i="1"/>
  <c r="R83" i="1"/>
  <c r="P83" i="1"/>
  <c r="M83" i="1"/>
  <c r="L83" i="1"/>
  <c r="J83" i="1"/>
  <c r="I83" i="1"/>
  <c r="H83" i="1"/>
  <c r="G83" i="1"/>
  <c r="P58" i="69"/>
  <c r="G55" i="82"/>
  <c r="BJ54" i="1"/>
  <c r="G66" i="75"/>
  <c r="V53" i="1"/>
  <c r="Y53" i="1" s="1"/>
  <c r="I55" i="79"/>
  <c r="L55" i="79"/>
  <c r="G63" i="75"/>
  <c r="P12" i="69"/>
  <c r="AW53" i="1" l="1"/>
  <c r="BI53" i="1" s="1"/>
  <c r="BJ53" i="1" s="1"/>
  <c r="BJ58" i="1" s="1"/>
  <c r="BJ88" i="1" s="1"/>
  <c r="V58" i="1"/>
  <c r="V54" i="76"/>
  <c r="V59" i="76" s="1"/>
  <c r="H54" i="79"/>
  <c r="I59" i="75"/>
  <c r="I66" i="75" s="1"/>
  <c r="J67" i="75" s="1"/>
  <c r="I53" i="75"/>
  <c r="Y58" i="1"/>
  <c r="Y88" i="1" s="1"/>
  <c r="BJ89" i="1" l="1"/>
  <c r="V88" i="1"/>
  <c r="H31" i="69"/>
  <c r="H34" i="69" s="1"/>
  <c r="H60" i="69" s="1"/>
  <c r="H54" i="82"/>
  <c r="H59" i="82" s="1"/>
  <c r="H82" i="82" s="1"/>
  <c r="D25" i="3"/>
  <c r="F25" i="3" s="1"/>
  <c r="F28" i="3" s="1"/>
  <c r="G54" i="79"/>
  <c r="G59" i="79" s="1"/>
  <c r="H59" i="79"/>
  <c r="H82" i="79" s="1"/>
  <c r="J54" i="79"/>
  <c r="F54" i="82" s="1"/>
  <c r="Y89" i="1"/>
  <c r="V89" i="1"/>
  <c r="V83" i="1" s="1"/>
  <c r="AW58" i="1"/>
  <c r="Y83" i="1" l="1"/>
  <c r="BJ83" i="1"/>
  <c r="F53" i="3"/>
  <c r="F68" i="3" s="1"/>
  <c r="F69" i="3" s="1"/>
  <c r="K31" i="69"/>
  <c r="D28" i="3"/>
  <c r="G28" i="3" s="1"/>
  <c r="F59" i="82"/>
  <c r="F82" i="82" s="1"/>
  <c r="G54" i="82"/>
  <c r="G59" i="82" s="1"/>
  <c r="F18" i="55"/>
  <c r="AW88" i="1"/>
  <c r="I54" i="79"/>
  <c r="J59" i="79"/>
  <c r="J82" i="79" s="1"/>
  <c r="AW89" i="1" l="1"/>
  <c r="N31" i="69"/>
  <c r="N34" i="69" s="1"/>
  <c r="N60" i="69" s="1"/>
  <c r="O61" i="69" s="1"/>
  <c r="O63" i="69" s="1"/>
  <c r="K34" i="69"/>
  <c r="K60" i="69" s="1"/>
  <c r="D53" i="3"/>
  <c r="I59" i="79"/>
  <c r="H78" i="69"/>
  <c r="P31" i="69"/>
  <c r="AW83" i="1" l="1"/>
  <c r="D68" i="3"/>
  <c r="G68" i="3" s="1"/>
  <c r="G53" i="3"/>
  <c r="F20" i="55"/>
  <c r="F24" i="55" s="1"/>
  <c r="H30" i="55" l="1"/>
  <c r="H26" i="55"/>
  <c r="BI47" i="1"/>
  <c r="O66" i="69"/>
  <c r="I12" i="56"/>
  <c r="I15" i="82" s="1"/>
  <c r="F28" i="55"/>
  <c r="O65" i="69"/>
  <c r="F32" i="55"/>
  <c r="I18" i="82" l="1"/>
  <c r="BI48" i="1"/>
  <c r="BI50" i="1" s="1"/>
  <c r="BI58" i="1" s="1"/>
  <c r="I17" i="56"/>
  <c r="I44" i="82" s="1"/>
  <c r="K15" i="79"/>
  <c r="I15" i="56"/>
  <c r="I39" i="82" s="1"/>
  <c r="P66" i="69"/>
  <c r="I19" i="56"/>
  <c r="I36" i="82" s="1"/>
  <c r="I48" i="82" l="1"/>
  <c r="I37" i="82"/>
  <c r="BI88" i="1"/>
  <c r="G18" i="55"/>
  <c r="G20" i="55" s="1"/>
  <c r="G24" i="55" s="1"/>
  <c r="K39" i="79"/>
  <c r="L39" i="79" s="1"/>
  <c r="K36" i="79"/>
  <c r="K18" i="79"/>
  <c r="L15" i="79"/>
  <c r="L18" i="79" s="1"/>
  <c r="K44" i="79"/>
  <c r="I21" i="56"/>
  <c r="I23" i="56" s="1"/>
  <c r="I25" i="56" s="1"/>
  <c r="I54" i="82" s="1"/>
  <c r="BI89" i="1" l="1"/>
  <c r="I49" i="82"/>
  <c r="H20" i="55"/>
  <c r="H24" i="55" s="1"/>
  <c r="K48" i="79"/>
  <c r="L44" i="79"/>
  <c r="L48" i="79" s="1"/>
  <c r="K37" i="79"/>
  <c r="L36" i="79"/>
  <c r="L37" i="79" s="1"/>
  <c r="I27" i="56"/>
  <c r="I29" i="56" s="1"/>
  <c r="I30" i="56" s="1"/>
  <c r="K54" i="79"/>
  <c r="L54" i="79" s="1"/>
  <c r="BI83" i="1" l="1"/>
  <c r="O84" i="69"/>
  <c r="P84" i="69" s="1"/>
  <c r="J12" i="56"/>
  <c r="J15" i="82" s="1"/>
  <c r="I51" i="82"/>
  <c r="I59" i="82" s="1"/>
  <c r="H28" i="55"/>
  <c r="H32" i="55"/>
  <c r="L49" i="79"/>
  <c r="L51" i="79" s="1"/>
  <c r="L59" i="79" s="1"/>
  <c r="L82" i="79" s="1"/>
  <c r="K49" i="79"/>
  <c r="K51" i="79" s="1"/>
  <c r="K59" i="79" s="1"/>
  <c r="J15" i="56" l="1"/>
  <c r="J39" i="82" s="1"/>
  <c r="K39" i="82" s="1"/>
  <c r="J19" i="56"/>
  <c r="J36" i="82" s="1"/>
  <c r="K36" i="82" s="1"/>
  <c r="K37" i="82" s="1"/>
  <c r="J17" i="56"/>
  <c r="J44" i="82" s="1"/>
  <c r="K44" i="82" s="1"/>
  <c r="K48" i="82" s="1"/>
  <c r="K15" i="82"/>
  <c r="K18" i="82" s="1"/>
  <c r="J18" i="82"/>
  <c r="A36" i="3"/>
  <c r="A37" i="75" s="1"/>
  <c r="A42" i="69"/>
  <c r="J37" i="82" l="1"/>
  <c r="J48" i="82"/>
  <c r="J21" i="56"/>
  <c r="J23" i="56" s="1"/>
  <c r="J25" i="56" s="1"/>
  <c r="J54" i="82" s="1"/>
  <c r="K54" i="82" s="1"/>
  <c r="K49" i="82"/>
  <c r="K51" i="82" s="1"/>
  <c r="A38" i="3"/>
  <c r="A39" i="75" s="1"/>
  <c r="A44" i="69"/>
  <c r="AJ11" i="76"/>
  <c r="J49" i="82" l="1"/>
  <c r="J51" i="82" s="1"/>
  <c r="J59" i="82" s="1"/>
  <c r="K59" i="82"/>
  <c r="K82" i="82" s="1"/>
  <c r="J27" i="56"/>
  <c r="J29" i="56" s="1"/>
  <c r="J30" i="56" s="1"/>
  <c r="A39" i="3"/>
  <c r="A40" i="75" s="1"/>
  <c r="A45" i="69"/>
  <c r="AK11" i="76" l="1"/>
  <c r="A48" i="69" l="1"/>
  <c r="A42" i="3"/>
  <c r="A43" i="75" s="1"/>
  <c r="AL11" i="76" l="1"/>
  <c r="A49" i="69"/>
  <c r="A43" i="3"/>
  <c r="A44" i="75" s="1"/>
  <c r="A47" i="69"/>
  <c r="A41" i="3"/>
  <c r="A42" i="75" s="1"/>
  <c r="A44" i="3"/>
  <c r="A45" i="75" s="1"/>
  <c r="A50" i="69" l="1"/>
  <c r="AM11" i="76"/>
  <c r="A34" i="3"/>
  <c r="A35" i="75" s="1"/>
  <c r="A40" i="69"/>
  <c r="A54" i="69" l="1"/>
  <c r="AQ11" i="76"/>
  <c r="A48" i="3"/>
  <c r="A49" i="75" s="1"/>
  <c r="A49" i="3"/>
  <c r="A50" i="75" s="1"/>
  <c r="A55" i="69"/>
  <c r="A56" i="69" l="1"/>
  <c r="A50" i="3"/>
  <c r="A51" i="75" s="1"/>
  <c r="A57" i="69" l="1"/>
  <c r="A51" i="3"/>
  <c r="A52" i="75" s="1"/>
  <c r="A39" i="69" l="1"/>
  <c r="A33" i="3"/>
  <c r="A34" i="75" s="1"/>
  <c r="A41" i="69" l="1"/>
  <c r="A35" i="3"/>
  <c r="A36" i="75" s="1"/>
  <c r="A58" i="69" l="1"/>
  <c r="A5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F30" authorId="0" shapeId="0" xr:uid="{92CC692B-0405-498B-952C-2FD2129304BE}">
      <text>
        <r>
          <rPr>
            <sz val="9"/>
            <color indexed="81"/>
            <rFont val="Tahoma"/>
            <family val="2"/>
          </rPr>
          <t xml:space="preserve">Per J. Miller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D27" authorId="0" shapeId="0" xr:uid="{8BD55C63-3430-4626-BD38-9C028997C783}">
      <text>
        <r>
          <rPr>
            <sz val="9"/>
            <color indexed="81"/>
            <rFont val="Tahoma"/>
            <family val="2"/>
          </rPr>
          <t>Adjusted for rounding</t>
        </r>
      </text>
    </comment>
    <comment ref="AG39" authorId="0" shapeId="0" xr:uid="{FABD4E02-725A-4EED-8A65-0C964B7966A9}">
      <text>
        <r>
          <rPr>
            <sz val="9"/>
            <color indexed="81"/>
            <rFont val="Tahoma"/>
            <family val="2"/>
          </rPr>
          <t>adjusted for rounding</t>
        </r>
      </text>
    </comment>
    <comment ref="AE43" authorId="0" shapeId="0" xr:uid="{BE915849-1310-4416-8703-D57ED50872A7}">
      <text>
        <r>
          <rPr>
            <sz val="9"/>
            <color indexed="81"/>
            <rFont val="Tahoma"/>
            <family val="2"/>
          </rPr>
          <t>adjusted for rounding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Schultz, Kaylene</author>
    <author>Avista Corp Employee</author>
  </authors>
  <commentList>
    <comment ref="F23" authorId="0" shapeId="0" xr:uid="{256871CD-1B35-49F0-9A30-AE7381DE6058}">
      <text>
        <r>
          <rPr>
            <sz val="9"/>
            <color indexed="81"/>
            <rFont val="Tahoma"/>
            <family val="2"/>
          </rPr>
          <t>-$1 for rounding</t>
        </r>
      </text>
    </comment>
    <comment ref="F63" authorId="0" shapeId="0" xr:uid="{10B97A18-73BD-4903-8642-985AE90D739B}">
      <text>
        <r>
          <rPr>
            <sz val="9"/>
            <color indexed="81"/>
            <rFont val="Tahoma"/>
            <family val="2"/>
          </rPr>
          <t>Adjusted -$0.3 for rounding</t>
        </r>
      </text>
    </comment>
    <comment ref="F64" authorId="0" shapeId="0" xr:uid="{62249158-4407-46D1-B9E9-85D6F537CC56}">
      <text>
        <r>
          <rPr>
            <sz val="9"/>
            <color indexed="81"/>
            <rFont val="Tahoma"/>
            <family val="2"/>
          </rPr>
          <t>Adjusted -$0.3 for rounding</t>
        </r>
      </text>
    </comment>
    <comment ref="B101" authorId="1" shapeId="0" xr:uid="{00000000-0006-0000-0700-000001000000}">
      <text>
        <r>
          <rPr>
            <b/>
            <sz val="8"/>
            <color indexed="81"/>
            <rFont val="Tahoma"/>
            <family val="2"/>
          </rPr>
          <t>5/6/02 - This is revenue from JP Releases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L2" authorId="0" shapeId="0" xr:uid="{D8712C7F-6A55-41FC-A589-FE640F7D401C}">
      <text>
        <r>
          <rPr>
            <sz val="9"/>
            <color indexed="81"/>
            <rFont val="Tahoma"/>
            <family val="2"/>
          </rPr>
          <t>This is the 12/31/2021 balance per the tax return (including prior period adjustments). Ask Megan for balance.</t>
        </r>
      </text>
    </comment>
    <comment ref="AL3" authorId="0" shapeId="0" xr:uid="{76DB137D-7478-495B-A4AD-BA9DA0CFE03C}">
      <text>
        <r>
          <rPr>
            <sz val="9"/>
            <color indexed="81"/>
            <rFont val="Tahoma"/>
            <family val="2"/>
          </rPr>
          <t>This is the provisional 12/31/2022 balance (balance Tax Dept thinks YE 2022 will be) until the 2022 tax return is completed in the Fall 2023.</t>
        </r>
      </text>
    </comment>
    <comment ref="AL4" authorId="0" shapeId="0" xr:uid="{1DE81D6F-8F49-49E9-B34B-1E77FDAB52CB}">
      <text>
        <r>
          <rPr>
            <sz val="9"/>
            <color indexed="81"/>
            <rFont val="Tahoma"/>
            <family val="2"/>
          </rPr>
          <t>This is the 12/31/2022 balance per the tax return completed in Sep/Oct 2023. Ask Megan for balance.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Jaa0175</author>
    <author>Jen Buss</author>
    <author>Rff9457</author>
  </authors>
  <commentList>
    <comment ref="AP6" authorId="0" shapeId="0" xr:uid="{00000000-0006-0000-0100-000001000000}">
      <text>
        <r>
          <rPr>
            <b/>
            <sz val="9"/>
            <color indexed="81"/>
            <rFont val="Tahoma"/>
            <family val="2"/>
          </rPr>
          <t>Jaa0175:</t>
        </r>
        <r>
          <rPr>
            <sz val="9"/>
            <color indexed="81"/>
            <rFont val="Tahoma"/>
            <family val="2"/>
          </rPr>
          <t xml:space="preserve">
Amounts are from the "Month End Deposit by State Report" in the ROO folder by month.</t>
        </r>
      </text>
    </comment>
    <comment ref="AQ27" authorId="1" shapeId="0" xr:uid="{00000000-0006-0000-0100-000002000000}">
      <text>
        <r>
          <rPr>
            <sz val="8"/>
            <color indexed="81"/>
            <rFont val="Tahoma"/>
            <family val="2"/>
          </rPr>
          <t>http://www.utc.wa.gov/regulatedindustries/utilities/energy/pages/customerdepositinterestrates.aspx</t>
        </r>
      </text>
    </comment>
    <comment ref="Q69" authorId="2" shapeId="0" xr:uid="{777701B8-0116-41B7-9843-8866E957CA59}">
      <text>
        <r>
          <rPr>
            <b/>
            <sz val="9"/>
            <color indexed="81"/>
            <rFont val="Tahoma"/>
            <family val="2"/>
          </rPr>
          <t>Rff9457:</t>
        </r>
        <r>
          <rPr>
            <sz val="9"/>
            <color indexed="81"/>
            <rFont val="Tahoma"/>
            <family val="2"/>
          </rPr>
          <t xml:space="preserve">
From E-PLT-12A, G-PLT-12A, and OR-PLT-12A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AX44" authorId="0" shapeId="0" xr:uid="{105D00AC-D125-4500-AB38-18B59E843FD4}">
      <text>
        <r>
          <rPr>
            <sz val="9"/>
            <color indexed="81"/>
            <rFont val="Tahoma"/>
            <family val="2"/>
          </rPr>
          <t>Total 58/158/58A/158A from Weather Norm Sch_Class Rev 12ME Report and B&amp;O Tax Report Cognos reports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S50" authorId="0" shapeId="0" xr:uid="{15B65B2B-50F3-469D-BDE8-61E7EF6757A0}">
      <text>
        <r>
          <rPr>
            <b/>
            <sz val="9"/>
            <color indexed="81"/>
            <rFont val="Tahoma"/>
            <family val="2"/>
          </rPr>
          <t>Garbarino, Marcus:</t>
        </r>
        <r>
          <rPr>
            <sz val="9"/>
            <color indexed="81"/>
            <rFont val="Tahoma"/>
            <family val="2"/>
          </rPr>
          <t xml:space="preserve">
Per "2023_10_13 - Property Tax Forecast (sent 10.13)" received from Jenny H. in Tax</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C47" authorId="0" shapeId="0" xr:uid="{09AB4C75-B806-4342-9682-5074A21082C2}">
      <text>
        <r>
          <rPr>
            <b/>
            <sz val="9"/>
            <color indexed="81"/>
            <rFont val="Tahoma"/>
            <family val="2"/>
          </rPr>
          <t xml:space="preserve">Jen Buss:
</t>
        </r>
        <r>
          <rPr>
            <sz val="9"/>
            <color indexed="81"/>
            <rFont val="Tahoma"/>
            <family val="2"/>
          </rPr>
          <t>Total sales for ultimate customers + (489300)Transportation for others</t>
        </r>
      </text>
    </comment>
    <comment ref="C54" authorId="0" shapeId="0" xr:uid="{871EBDF0-3C0B-433C-845E-C716BF79397F}">
      <text>
        <r>
          <rPr>
            <b/>
            <sz val="9"/>
            <color indexed="81"/>
            <rFont val="Tahoma"/>
            <family val="2"/>
          </rPr>
          <t xml:space="preserve">Jen Buss:
</t>
        </r>
        <r>
          <rPr>
            <sz val="9"/>
            <color indexed="81"/>
            <rFont val="Tahoma"/>
            <family val="2"/>
          </rPr>
          <t>Total sales for ultimate customers + (489300)Transportation for others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P13" authorId="0" shapeId="0" xr:uid="{96F2584B-82E7-4B32-8EFD-E9617E200604}">
      <text>
        <r>
          <rPr>
            <b/>
            <sz val="8"/>
            <color indexed="81"/>
            <rFont val="Tahoma"/>
            <family val="2"/>
          </rPr>
          <t>jpluth: Costs updated using 2020 data</t>
        </r>
        <r>
          <rPr>
            <sz val="8"/>
            <color indexed="81"/>
            <rFont val="Tahoma"/>
            <family val="2"/>
          </rPr>
          <t xml:space="preserve">
</t>
        </r>
      </text>
    </comment>
    <comment ref="P25" authorId="0" shapeId="0" xr:uid="{6F28F1AE-15B3-4927-B4F7-7725154670B6}">
      <text>
        <r>
          <rPr>
            <b/>
            <sz val="8"/>
            <color indexed="81"/>
            <rFont val="Tahoma"/>
            <family val="2"/>
          </rPr>
          <t>jpluth: Costs updated using 2020 data</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Anderson, Joel</author>
  </authors>
  <commentList>
    <comment ref="AQ10" authorId="0" shapeId="0" xr:uid="{D701275D-1D7D-411C-836A-6C80210DE627}">
      <text>
        <r>
          <rPr>
            <b/>
            <sz val="9"/>
            <color indexed="81"/>
            <rFont val="Tahoma"/>
            <family val="2"/>
          </rPr>
          <t>Anderson, Joel:</t>
        </r>
        <r>
          <rPr>
            <sz val="9"/>
            <color indexed="81"/>
            <rFont val="Tahoma"/>
            <family val="2"/>
          </rPr>
          <t xml:space="preserve">
This property was adjacent to an Avista substation and never used for utility purposes. It was disposed of because it was determined to have no future use to the utility.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31" authorId="0" shapeId="0" xr:uid="{3043367F-434E-4908-A51C-BAB0609EDFEC}">
      <text>
        <r>
          <rPr>
            <sz val="9"/>
            <color indexed="81"/>
            <rFont val="Tahoma"/>
            <family val="2"/>
          </rPr>
          <t xml:space="preserve">
Cognos report that shows actual billed revenue billing determinants by month - /content/folder[@name='Finance Reporting']/folder[@name='Finance Custom']/folder[@name='Rates']/folder[@name='Decoupling and Misc']/report[@name='Weather Norm Sch/Class Rev 12 ME Report']
</t>
        </r>
      </text>
    </comment>
    <comment ref="N46" authorId="0" shapeId="0" xr:uid="{4340DDF6-669D-46B8-9E48-0DA096D4E699}">
      <text>
        <r>
          <rPr>
            <b/>
            <sz val="9"/>
            <color indexed="81"/>
            <rFont val="Tahoma"/>
            <family val="2"/>
          </rPr>
          <t>Author:</t>
        </r>
        <r>
          <rPr>
            <sz val="9"/>
            <color indexed="81"/>
            <rFont val="Tahoma"/>
            <family val="2"/>
          </rPr>
          <t xml:space="preserve">
Variance caused by Schedule 195 beginning in early 2022 but amortizing didn't begin until Q3-Q4 2023</t>
        </r>
      </text>
    </comment>
    <comment ref="J49" authorId="0" shapeId="0" xr:uid="{F7BEDFD0-63A1-4FBB-A0E0-34A069EA479E}">
      <text>
        <r>
          <rPr>
            <b/>
            <sz val="9"/>
            <color indexed="81"/>
            <rFont val="Tahoma"/>
            <family val="2"/>
          </rPr>
          <t>Author:</t>
        </r>
        <r>
          <rPr>
            <sz val="9"/>
            <color indexed="81"/>
            <rFont val="Tahoma"/>
            <family val="2"/>
          </rPr>
          <t xml:space="preserve">
Net monthly tariff revenue (gross Schedule 176 annual calendar revenue multiplied by 94% (through October 2022), which represents the amount of Schedule 176 related to the Tax Customer Credit while the remaining 6% relates to the Deferred AFUDC credit) less FIT @ 21% plus the net change of $1,518 caused by the difference in conversion factor used for entry compared to CBR conversion factor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Moon, Lindsey</author>
    <author>KZX5DR</author>
    <author>Garbarino, Marcus</author>
    <author>Joe Miller</author>
  </authors>
  <commentList>
    <comment ref="Q7" authorId="0" shapeId="0" xr:uid="{117E14CC-E792-4974-ADC0-9C2C18373658}">
      <text>
        <r>
          <rPr>
            <sz val="9"/>
            <color indexed="81"/>
            <rFont val="Tahoma"/>
            <family val="2"/>
          </rPr>
          <t>$1k rounding to agree to EAS</t>
        </r>
      </text>
    </comment>
    <comment ref="AL8" authorId="1" shapeId="0" xr:uid="{00000000-0006-0000-0000-000001000000}">
      <text>
        <r>
          <rPr>
            <sz val="9"/>
            <color indexed="81"/>
            <rFont val="Tahoma"/>
            <family val="2"/>
          </rPr>
          <t>WSU, 8 million annual minimum</t>
        </r>
      </text>
    </comment>
    <comment ref="R10" authorId="0" shapeId="0" xr:uid="{79B14448-B69F-400C-977B-8D386B329B28}">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E11</t>
        </r>
      </text>
    </comment>
    <comment ref="T15" authorId="2" shapeId="0" xr:uid="{D59CB788-5E99-4B30-93C5-53755420B92A}">
      <text>
        <r>
          <rPr>
            <sz val="9"/>
            <color indexed="81"/>
            <rFont val="Tahoma"/>
            <family val="2"/>
          </rPr>
          <t xml:space="preserve">
$1k rounding</t>
        </r>
      </text>
    </comment>
    <comment ref="T19" authorId="0" shapeId="0" xr:uid="{2647A5E8-81FB-466F-972D-D553458FF982}">
      <text>
        <r>
          <rPr>
            <b/>
            <sz val="9"/>
            <color indexed="81"/>
            <rFont val="Tahoma"/>
            <family val="2"/>
          </rPr>
          <t>Moon, Lindsey:</t>
        </r>
        <r>
          <rPr>
            <sz val="9"/>
            <color indexed="81"/>
            <rFont val="Tahoma"/>
            <family val="2"/>
          </rPr>
          <t xml:space="preserve">
Should be -$26,674</t>
        </r>
      </text>
    </comment>
    <comment ref="R22" authorId="0" shapeId="0" xr:uid="{A1EC09D2-E2C0-43D9-B217-675001985053}">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E16</t>
        </r>
      </text>
    </comment>
    <comment ref="T24" authorId="0" shapeId="0" xr:uid="{03B966C3-8E39-4A49-AA31-D54401CF2D06}">
      <text>
        <r>
          <rPr>
            <b/>
            <sz val="9"/>
            <color indexed="81"/>
            <rFont val="Tahoma"/>
            <family val="2"/>
          </rPr>
          <t>Moon, Lindsey:</t>
        </r>
        <r>
          <rPr>
            <sz val="9"/>
            <color indexed="81"/>
            <rFont val="Tahoma"/>
            <family val="2"/>
          </rPr>
          <t xml:space="preserve">
Should be -$33,904</t>
        </r>
      </text>
    </comment>
    <comment ref="T26" authorId="0" shapeId="0" xr:uid="{F3DBFC1E-4BE2-4538-82FB-A28D38E2D49F}">
      <text>
        <r>
          <rPr>
            <b/>
            <sz val="9"/>
            <color indexed="81"/>
            <rFont val="Tahoma"/>
            <family val="2"/>
          </rPr>
          <t>Moon, Lindsey:</t>
        </r>
        <r>
          <rPr>
            <sz val="9"/>
            <color indexed="81"/>
            <rFont val="Tahoma"/>
            <family val="2"/>
          </rPr>
          <t xml:space="preserve">
Should be -$60,578</t>
        </r>
      </text>
    </comment>
    <comment ref="T27" authorId="0" shapeId="0" xr:uid="{B51C2F6B-614C-4296-9CA7-93C5C1EDB67C}">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C20</t>
        </r>
      </text>
    </comment>
    <comment ref="T28" authorId="0" shapeId="0" xr:uid="{3D0A7B7D-69C3-4123-9448-63D2BEFE5C68}">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C21</t>
        </r>
      </text>
    </comment>
    <comment ref="T31" authorId="0" shapeId="0" xr:uid="{AAB5B117-E377-4708-8126-82FFEBFD63E6}">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C15+C16</t>
        </r>
      </text>
    </comment>
    <comment ref="T32" authorId="0" shapeId="0" xr:uid="{AAE2F3BB-93AE-4630-9E92-646F4502785E}">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C14</t>
        </r>
      </text>
    </comment>
    <comment ref="Q38" authorId="0" shapeId="0" xr:uid="{8966B19C-7A5C-4E2C-A8F4-90D0B556756C}">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F26</t>
        </r>
      </text>
    </comment>
    <comment ref="Q39" authorId="0" shapeId="0" xr:uid="{A757B586-3191-4B38-842F-FFD2279B2AEA}">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C24</t>
        </r>
      </text>
    </comment>
    <comment ref="T39" authorId="0" shapeId="0" xr:uid="{FCCC8989-BC7A-4AA8-8307-D001E04CC427}">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Q17</t>
        </r>
      </text>
    </comment>
    <comment ref="Q40" authorId="0" shapeId="0" xr:uid="{716E3DF2-9AD5-4959-A97D-C1900E7581F3}">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C25</t>
        </r>
      </text>
    </comment>
    <comment ref="Q42" authorId="0" shapeId="0" xr:uid="{3F33238F-CC3C-45F2-BE3B-13CD118CA9C5}">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C26</t>
        </r>
      </text>
    </comment>
    <comment ref="Q43" authorId="0" shapeId="0" xr:uid="{7DE150AE-9F1B-4FA1-AF1A-4AA251302D8D}">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C27</t>
        </r>
      </text>
    </comment>
    <comment ref="Q44" authorId="0" shapeId="0" xr:uid="{D54BD083-4F32-451B-88C6-6774A1F2917A}">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C12</t>
        </r>
      </text>
    </comment>
    <comment ref="Q45" authorId="0" shapeId="0" xr:uid="{EBB44868-FDB4-41A5-A673-6E3A00E944FB}">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C13</t>
        </r>
      </text>
    </comment>
    <comment ref="Q48" authorId="0" shapeId="0" xr:uid="{B0AF751B-17B1-4729-AAA5-43B6105D8D64}">
      <text>
        <r>
          <rPr>
            <b/>
            <sz val="9"/>
            <color indexed="81"/>
            <rFont val="Tahoma"/>
            <family val="2"/>
          </rPr>
          <t>Moon, Lindsey:</t>
        </r>
        <r>
          <rPr>
            <sz val="9"/>
            <color indexed="81"/>
            <rFont val="Tahoma"/>
            <family val="2"/>
          </rPr>
          <t xml:space="preserve">
Not located on G-EAS-2 in 2023. I believe this value is $0</t>
        </r>
      </text>
    </comment>
    <comment ref="T52" authorId="0" shapeId="0" xr:uid="{B7BA4A0D-4AED-4F56-856A-E63D461ECDD6}">
      <text>
        <r>
          <rPr>
            <b/>
            <sz val="9"/>
            <color indexed="81"/>
            <rFont val="Tahoma"/>
            <family val="2"/>
          </rPr>
          <t>Moon, Lindsey:</t>
        </r>
        <r>
          <rPr>
            <sz val="9"/>
            <color indexed="81"/>
            <rFont val="Tahoma"/>
            <family val="2"/>
          </rPr>
          <t xml:space="preserve">
Should be -$72,771</t>
        </r>
      </text>
    </comment>
    <comment ref="T54" authorId="0" shapeId="0" xr:uid="{ED77444F-280D-41DD-B7DF-DC5080D763F9}">
      <text>
        <r>
          <rPr>
            <b/>
            <sz val="9"/>
            <color indexed="81"/>
            <rFont val="Tahoma"/>
            <family val="2"/>
          </rPr>
          <t>Moon, Lindsey:</t>
        </r>
        <r>
          <rPr>
            <sz val="9"/>
            <color indexed="81"/>
            <rFont val="Tahoma"/>
            <family val="2"/>
          </rPr>
          <t xml:space="preserve">
Should be $12,193</t>
        </r>
      </text>
    </comment>
    <comment ref="AL56" authorId="1" shapeId="0" xr:uid="{00000000-0006-0000-0000-000002000000}">
      <text>
        <r>
          <rPr>
            <sz val="9"/>
            <color indexed="81"/>
            <rFont val="Tahoma"/>
            <family val="2"/>
          </rPr>
          <t>WSU
Fixed Charge - $200/mo.
Capital Charge - $26,132/mo.
Total - $26,332/mo.
Collected over 20 yrs; effective 8/1/2003</t>
        </r>
      </text>
    </comment>
    <comment ref="AL59" authorId="3" shapeId="0" xr:uid="{00000000-0006-0000-0000-000003000000}">
      <text>
        <r>
          <rPr>
            <b/>
            <sz val="8"/>
            <color indexed="81"/>
            <rFont val="Tahoma"/>
            <family val="2"/>
          </rPr>
          <t>Joe Miller:</t>
        </r>
        <r>
          <rPr>
            <sz val="8"/>
            <color indexed="81"/>
            <rFont val="Tahoma"/>
            <family val="2"/>
          </rPr>
          <t xml:space="preserve">
$.01 for first 10 million therms/year; $.005 for all therms over 10 million</t>
        </r>
      </text>
    </comment>
    <comment ref="AK61" authorId="0" shapeId="0" xr:uid="{E837BADB-9196-4CFD-83A9-93FE842381B2}">
      <text>
        <r>
          <rPr>
            <b/>
            <sz val="9"/>
            <color indexed="81"/>
            <rFont val="Tahoma"/>
            <family val="2"/>
          </rPr>
          <t>Moon, Lindsey:</t>
        </r>
        <r>
          <rPr>
            <sz val="9"/>
            <color indexed="81"/>
            <rFont val="Tahoma"/>
            <family val="2"/>
          </rPr>
          <t xml:space="preserve">
MM shifted to Sch 146</t>
        </r>
      </text>
    </comment>
    <comment ref="AK62" authorId="3" shapeId="0" xr:uid="{00000000-0006-0000-0000-000005000000}">
      <text>
        <r>
          <rPr>
            <b/>
            <sz val="9"/>
            <color indexed="81"/>
            <rFont val="Tahoma"/>
            <family val="2"/>
          </rPr>
          <t>Joe Miller:</t>
        </r>
        <r>
          <rPr>
            <sz val="9"/>
            <color indexed="81"/>
            <rFont val="Tahoma"/>
            <family val="2"/>
          </rPr>
          <t xml:space="preserve">
if usage in prior year greater than 4M therms, rate for next year is $0.025 per therm.
100K annual minimum</t>
        </r>
      </text>
    </comment>
    <comment ref="AK79" authorId="0" shapeId="0" xr:uid="{0736A071-C7D4-4FFB-8E9B-147C6432CB07}">
      <text>
        <r>
          <rPr>
            <b/>
            <sz val="9"/>
            <color indexed="81"/>
            <rFont val="Tahoma"/>
            <family val="2"/>
          </rPr>
          <t>Moon, Lindsey:</t>
        </r>
        <r>
          <rPr>
            <sz val="9"/>
            <color indexed="81"/>
            <rFont val="Tahoma"/>
            <family val="2"/>
          </rPr>
          <t xml:space="preserve">
MM shifted to Sch 146</t>
        </r>
      </text>
    </comment>
    <comment ref="AD90" authorId="3" shapeId="0" xr:uid="{00000000-0006-0000-0000-000006000000}">
      <text>
        <r>
          <rPr>
            <b/>
            <sz val="8"/>
            <color indexed="81"/>
            <rFont val="Tahoma"/>
            <family val="2"/>
          </rPr>
          <t>Joe Miller:</t>
        </r>
        <r>
          <rPr>
            <sz val="8"/>
            <color indexed="81"/>
            <rFont val="Tahoma"/>
            <family val="2"/>
          </rPr>
          <t xml:space="preserve">
Rate dependent upon prior year usage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F13" authorId="0" shapeId="0" xr:uid="{A11DFDCC-6790-4E70-B1F6-16B5630E2F39}">
      <text>
        <r>
          <rPr>
            <b/>
            <sz val="9"/>
            <color indexed="81"/>
            <rFont val="Tahoma"/>
            <family val="2"/>
          </rPr>
          <t>Brandkamp, Bob:</t>
        </r>
        <r>
          <rPr>
            <sz val="9"/>
            <color indexed="81"/>
            <rFont val="Tahoma"/>
            <family val="2"/>
          </rPr>
          <t xml:space="preserve">
F10 adjusted to remove premium associated with wildfire exposure.  Added back in Column K for WA and ID electric</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Knox, Tara</author>
  </authors>
  <commentList>
    <comment ref="G30" authorId="0" shapeId="0" xr:uid="{04D46D20-274C-482F-9CEA-8055B6F3D365}">
      <text>
        <r>
          <rPr>
            <b/>
            <sz val="9"/>
            <color indexed="81"/>
            <rFont val="Tahoma"/>
            <family val="2"/>
          </rPr>
          <t>Knox, Tara:</t>
        </r>
        <r>
          <rPr>
            <sz val="9"/>
            <color indexed="81"/>
            <rFont val="Tahoma"/>
            <family val="2"/>
          </rPr>
          <t xml:space="preserve">
GTI determined by customer load, do not escalate</t>
        </r>
      </text>
    </comment>
    <comment ref="H89" authorId="0" shapeId="0" xr:uid="{20C2C497-4DC0-4225-B579-A5643B7A74F4}">
      <text>
        <r>
          <rPr>
            <b/>
            <sz val="9"/>
            <color indexed="81"/>
            <rFont val="Tahoma"/>
            <family val="2"/>
          </rPr>
          <t>Knox, Tara:</t>
        </r>
        <r>
          <rPr>
            <sz val="9"/>
            <color indexed="81"/>
            <rFont val="Tahoma"/>
            <family val="2"/>
          </rPr>
          <t xml:space="preserve">
Revenue Related Expenses - Uncollectibles</t>
        </r>
      </text>
    </comment>
    <comment ref="I95" authorId="0" shapeId="0" xr:uid="{781625DA-72E2-4645-A141-0E3AB1A1EDA1}">
      <text>
        <r>
          <rPr>
            <b/>
            <sz val="9"/>
            <color indexed="81"/>
            <rFont val="Tahoma"/>
            <family val="2"/>
          </rPr>
          <t>Liz Andrews:</t>
        </r>
        <r>
          <rPr>
            <sz val="9"/>
            <color indexed="81"/>
            <rFont val="Tahoma"/>
            <family val="2"/>
          </rPr>
          <t xml:space="preserve">
Eliminate Adder Schedules Public Purpose Tariff Rider Amortization</t>
        </r>
      </text>
    </comment>
    <comment ref="H109" authorId="0" shapeId="0" xr:uid="{E5609744-C27F-44D4-B938-14320FACD91E}">
      <text>
        <r>
          <rPr>
            <b/>
            <sz val="9"/>
            <color indexed="81"/>
            <rFont val="Tahoma"/>
            <family val="2"/>
          </rPr>
          <t>Knox, Tara:</t>
        </r>
        <r>
          <rPr>
            <sz val="9"/>
            <color indexed="81"/>
            <rFont val="Tahoma"/>
            <family val="2"/>
          </rPr>
          <t xml:space="preserve">
Incentives normalized in adjustment 2.13</t>
        </r>
      </text>
    </comment>
    <comment ref="H110" authorId="0" shapeId="0" xr:uid="{2ED9083F-DFC1-4D5A-9B67-88C262A99ECF}">
      <text>
        <r>
          <rPr>
            <b/>
            <sz val="9"/>
            <color indexed="81"/>
            <rFont val="Tahoma"/>
            <family val="2"/>
          </rPr>
          <t>Knox, Tara:</t>
        </r>
        <r>
          <rPr>
            <sz val="9"/>
            <color indexed="81"/>
            <rFont val="Tahoma"/>
            <family val="2"/>
          </rPr>
          <t xml:space="preserve">
Non-Labor ISIT test year amount</t>
        </r>
      </text>
    </comment>
    <comment ref="H111" authorId="0" shapeId="0" xr:uid="{9855291C-D72E-4CFB-8E50-4993E4426E47}">
      <text>
        <r>
          <rPr>
            <b/>
            <sz val="9"/>
            <color indexed="81"/>
            <rFont val="Tahoma"/>
            <family val="2"/>
          </rPr>
          <t>Knox, Tara:</t>
        </r>
        <r>
          <rPr>
            <sz val="9"/>
            <color indexed="81"/>
            <rFont val="Tahoma"/>
            <family val="2"/>
          </rPr>
          <t xml:space="preserve">
Do not escalate this account, Office space charges adjustment normalizes</t>
        </r>
      </text>
    </comment>
    <comment ref="H112" authorId="0" shapeId="0" xr:uid="{DE8BCFE5-27C7-44C5-A404-5FB2305BDC0A}">
      <text>
        <r>
          <rPr>
            <b/>
            <sz val="9"/>
            <color indexed="81"/>
            <rFont val="Tahoma"/>
            <family val="2"/>
          </rPr>
          <t>Knox, Tara:</t>
        </r>
        <r>
          <rPr>
            <sz val="9"/>
            <color indexed="81"/>
            <rFont val="Tahoma"/>
            <family val="2"/>
          </rPr>
          <t xml:space="preserve">
Non-Labor ISIT test year amount, source data not account specific, applied to 921 and 923</t>
        </r>
      </text>
    </comment>
    <comment ref="H113" authorId="0" shapeId="0" xr:uid="{81099A90-628A-4622-BCD5-4636034CEEE6}">
      <text>
        <r>
          <rPr>
            <b/>
            <sz val="9"/>
            <color indexed="81"/>
            <rFont val="Tahoma"/>
            <family val="2"/>
          </rPr>
          <t>Knox, Tara:</t>
        </r>
        <r>
          <rPr>
            <sz val="9"/>
            <color indexed="81"/>
            <rFont val="Tahoma"/>
            <family val="2"/>
          </rPr>
          <t xml:space="preserve">
Property Insurance pro formed</t>
        </r>
      </text>
    </comment>
    <comment ref="H114" authorId="0" shapeId="0" xr:uid="{7BA9C86F-2A25-4067-A284-CF469CE9EC0D}">
      <text>
        <r>
          <rPr>
            <b/>
            <sz val="9"/>
            <color indexed="81"/>
            <rFont val="Tahoma"/>
            <family val="2"/>
          </rPr>
          <t>Knox, Tara:</t>
        </r>
        <r>
          <rPr>
            <sz val="9"/>
            <color indexed="81"/>
            <rFont val="Tahoma"/>
            <family val="2"/>
          </rPr>
          <t xml:space="preserve">
Liability Insurance and Injuries and Damages pro formed </t>
        </r>
      </text>
    </comment>
    <comment ref="H115" authorId="0" shapeId="0" xr:uid="{2FFBCF86-2BDD-4BC9-B808-3CB774ACDAD6}">
      <text>
        <r>
          <rPr>
            <b/>
            <sz val="9"/>
            <color indexed="81"/>
            <rFont val="Tahoma"/>
            <family val="2"/>
          </rPr>
          <t>Knox, Tara:</t>
        </r>
        <r>
          <rPr>
            <sz val="9"/>
            <color indexed="81"/>
            <rFont val="Tahoma"/>
            <family val="2"/>
          </rPr>
          <t xml:space="preserve">
Pension &amp; Medical</t>
        </r>
      </text>
    </comment>
    <comment ref="H117" authorId="0" shapeId="0" xr:uid="{19542B95-9F92-4B43-98C9-AB872C85DC2B}">
      <text>
        <r>
          <rPr>
            <b/>
            <sz val="9"/>
            <color indexed="81"/>
            <rFont val="Tahoma"/>
            <family val="2"/>
          </rPr>
          <t>Knox, Tara:</t>
        </r>
        <r>
          <rPr>
            <sz val="9"/>
            <color indexed="81"/>
            <rFont val="Tahoma"/>
            <family val="2"/>
          </rPr>
          <t xml:space="preserve">
Revenue Related Expenses - Regulatory Fees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Schultz, Kaylene</author>
    <author>Benjamin, Tia</author>
  </authors>
  <commentList>
    <comment ref="C9" authorId="0" shapeId="0" xr:uid="{AE3B6921-CA92-41E4-B895-423AEE2500AF}">
      <text>
        <r>
          <rPr>
            <sz val="9"/>
            <color indexed="81"/>
            <rFont val="Tahoma"/>
            <family val="2"/>
          </rPr>
          <t>FERC Accounts 186347,
186349, 253347</t>
        </r>
      </text>
    </comment>
    <comment ref="E10" authorId="0" shapeId="0" xr:uid="{C2C4BC15-304C-4A86-AD6F-86BE2E1D742A}">
      <text>
        <r>
          <rPr>
            <sz val="9"/>
            <color indexed="81"/>
            <rFont val="Tahoma"/>
            <family val="2"/>
          </rPr>
          <t>Per Order 01, Docket Nos. UE-220892 &amp; UG-220893, interest to be accrued at actual cost of debt. Current actual COD per A. Pan is 5.08% (June 2023)</t>
        </r>
      </text>
    </comment>
    <comment ref="AB11" authorId="0" shapeId="0" xr:uid="{308E659A-7714-409E-A8FD-4CFD48EE0400}">
      <text>
        <r>
          <rPr>
            <sz val="9"/>
            <color indexed="81"/>
            <rFont val="Tahoma"/>
            <family val="2"/>
          </rPr>
          <t>Per Order 01, Docket Nos. UE-220892 &amp; UG-220893, interest to be accrued at actual cost of debt. Current actual COD per A. Pan is 5.08% (June 2023)</t>
        </r>
      </text>
    </comment>
    <comment ref="AQ11" authorId="0" shapeId="0" xr:uid="{7DD68D1F-2621-433D-BE85-14FF65211CB3}">
      <text>
        <r>
          <rPr>
            <sz val="9"/>
            <color indexed="81"/>
            <rFont val="Tahoma"/>
            <family val="2"/>
          </rPr>
          <t>Current actual COD per K. Wilson is 5.08% (June 2023)</t>
        </r>
      </text>
    </comment>
    <comment ref="AE13" authorId="0" shapeId="0" xr:uid="{372F3B3A-5D57-43BB-9347-484A11CBAEF6}">
      <text>
        <r>
          <rPr>
            <sz val="9"/>
            <color indexed="81"/>
            <rFont val="Tahoma"/>
            <family val="2"/>
          </rPr>
          <t>If debiting, should be acct 410100 - DFIT Expense DR
If crediting, should be acct 411100 - DFIT Expense CR</t>
        </r>
      </text>
    </comment>
    <comment ref="AF13" authorId="0" shapeId="0" xr:uid="{2B729C96-83A0-4B6F-8C19-88EBDE1D1395}">
      <text>
        <r>
          <rPr>
            <sz val="9"/>
            <color indexed="81"/>
            <rFont val="Tahoma"/>
            <family val="2"/>
          </rPr>
          <t>If debiting, should be acct 410200 - DFIT Exp-NonOper (DR)
If crediting, should be acct 411200 - DFIT Exp-NonOper (CR)</t>
        </r>
      </text>
    </comment>
    <comment ref="AG13" authorId="0" shapeId="0" xr:uid="{F9C3B5D4-4140-4908-A785-D932EFA26480}">
      <text>
        <r>
          <rPr>
            <sz val="9"/>
            <color indexed="81"/>
            <rFont val="Tahoma"/>
            <family val="2"/>
          </rPr>
          <t>If 254 Reg Liability, monthly ADFIT entry should be to 190.
If 182/186 Reg Asset, monthly ADFIT should be to 238.</t>
        </r>
      </text>
    </comment>
    <comment ref="AT13" authorId="0" shapeId="0" xr:uid="{8E734737-1000-4432-B332-68D5A3C1C963}">
      <text>
        <r>
          <rPr>
            <sz val="9"/>
            <color indexed="81"/>
            <rFont val="Tahoma"/>
            <family val="2"/>
          </rPr>
          <t>If debiting, should be acct 410100 - DFIT Expense DR
If crediting, should be acct 411100 - DFIT Expense CR</t>
        </r>
      </text>
    </comment>
    <comment ref="AU13" authorId="0" shapeId="0" xr:uid="{13E6F13B-85EB-4183-9C7E-80B931303FED}">
      <text>
        <r>
          <rPr>
            <sz val="9"/>
            <color indexed="81"/>
            <rFont val="Tahoma"/>
            <family val="2"/>
          </rPr>
          <t>If debiting, should be acct 410200 - DFIT Exp-NonOper (DR)
If crediting, should be acct 411200 - DFIT Exp-NonOper (CR)</t>
        </r>
      </text>
    </comment>
    <comment ref="AV13" authorId="0" shapeId="0" xr:uid="{A9A4D966-343A-47FC-9707-C4BCC52BCF89}">
      <text>
        <r>
          <rPr>
            <sz val="9"/>
            <color indexed="81"/>
            <rFont val="Tahoma"/>
            <family val="2"/>
          </rPr>
          <t>If 254 Reg Liability, monthly ADFIT entry should be to 190.
If 182/186 Reg Asset, monthly ADFIT should be to 238.</t>
        </r>
      </text>
    </comment>
    <comment ref="AD14" authorId="0" shapeId="0" xr:uid="{5FD8D4CD-4C68-4893-BD60-D124ACA44F2D}">
      <text>
        <r>
          <rPr>
            <b/>
            <sz val="9"/>
            <color indexed="81"/>
            <rFont val="Tahoma"/>
            <family val="2"/>
          </rPr>
          <t>Schultz, Kaylene:</t>
        </r>
        <r>
          <rPr>
            <sz val="9"/>
            <color indexed="81"/>
            <rFont val="Tahoma"/>
            <family val="2"/>
          </rPr>
          <t xml:space="preserve">
Balance Est. as of 12/31/2024</t>
        </r>
      </text>
    </comment>
    <comment ref="AS14" authorId="0" shapeId="0" xr:uid="{50EEC6AB-101A-44BA-9B32-FA40D9D99B7C}">
      <text>
        <r>
          <rPr>
            <b/>
            <sz val="9"/>
            <color indexed="81"/>
            <rFont val="Tahoma"/>
            <family val="2"/>
          </rPr>
          <t>Schultz, Kaylene:</t>
        </r>
        <r>
          <rPr>
            <sz val="9"/>
            <color indexed="81"/>
            <rFont val="Tahoma"/>
            <family val="2"/>
          </rPr>
          <t xml:space="preserve">
Balance as of 12/31/2023</t>
        </r>
      </text>
    </comment>
    <comment ref="BS21" authorId="1" shapeId="0" xr:uid="{3637E26A-00EF-49C4-8BD0-3F65D4A0C652}">
      <text>
        <r>
          <rPr>
            <b/>
            <sz val="9"/>
            <color indexed="81"/>
            <rFont val="Tahoma"/>
            <family val="2"/>
          </rPr>
          <t>Benjamin, Tia:</t>
        </r>
        <r>
          <rPr>
            <sz val="9"/>
            <color indexed="81"/>
            <rFont val="Tahoma"/>
            <family val="2"/>
          </rPr>
          <t xml:space="preserve">
Insert actual cost of debt rate.</t>
        </r>
      </text>
    </comment>
    <comment ref="CF21" authorId="1" shapeId="0" xr:uid="{4F973FE9-423A-4EDA-95E4-E18DCC9A39F5}">
      <text>
        <r>
          <rPr>
            <b/>
            <sz val="9"/>
            <color indexed="81"/>
            <rFont val="Tahoma"/>
            <family val="2"/>
          </rPr>
          <t>Benjamin, Tia:</t>
        </r>
        <r>
          <rPr>
            <sz val="9"/>
            <color indexed="81"/>
            <rFont val="Tahoma"/>
            <family val="2"/>
          </rPr>
          <t xml:space="preserve">
Insert actual cost of debt rate.</t>
        </r>
      </text>
    </comment>
    <comment ref="BO23" authorId="1" shapeId="0" xr:uid="{7D673996-78AE-4C93-9EFD-14220817ECA1}">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CB23" authorId="1" shapeId="0" xr:uid="{56D13142-1EA1-49A5-9F2E-A820E3BDF1AB}">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S38" authorId="0" shapeId="0" xr:uid="{B5D00392-DBD8-4CB2-9CA4-FFD53A1A88AD}">
      <text>
        <r>
          <rPr>
            <b/>
            <sz val="9"/>
            <color indexed="81"/>
            <rFont val="Tahoma"/>
            <family val="2"/>
          </rPr>
          <t>Schultz, Kaylene:</t>
        </r>
        <r>
          <rPr>
            <sz val="9"/>
            <color indexed="81"/>
            <rFont val="Tahoma"/>
            <family val="2"/>
          </rPr>
          <t xml:space="preserve">
Adjusted for rounding</t>
        </r>
      </text>
    </comment>
    <comment ref="Y38" authorId="0" shapeId="0" xr:uid="{E3166438-B3D3-4F9F-A575-386817CB8CC5}">
      <text>
        <r>
          <rPr>
            <b/>
            <sz val="9"/>
            <color indexed="81"/>
            <rFont val="Tahoma"/>
            <family val="2"/>
          </rPr>
          <t>Schultz, Kaylene:</t>
        </r>
        <r>
          <rPr>
            <sz val="9"/>
            <color indexed="81"/>
            <rFont val="Tahoma"/>
            <family val="2"/>
          </rPr>
          <t xml:space="preserve">
Adjusted for rounding</t>
        </r>
      </text>
    </comment>
    <comment ref="AN50" authorId="0" shapeId="0" xr:uid="{F6B2487C-B6E1-412F-BE7A-08E6C59AF66D}">
      <text>
        <r>
          <rPr>
            <b/>
            <sz val="9"/>
            <color indexed="81"/>
            <rFont val="Tahoma"/>
            <family val="2"/>
          </rPr>
          <t>Schultz, Kaylene:</t>
        </r>
        <r>
          <rPr>
            <sz val="9"/>
            <color indexed="81"/>
            <rFont val="Tahoma"/>
            <family val="2"/>
          </rPr>
          <t xml:space="preserve">
Adjusted for rounding</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Dengel, Kelly</author>
    <author>tc={6E17B788-6EF2-4DCA-B071-159EF0226B04}</author>
    <author>tc={7EA723FB-C753-4BF1-A2EC-3CDA2DB38928}</author>
  </authors>
  <commentList>
    <comment ref="D4" authorId="0" shapeId="0" xr:uid="{8BD2903B-3195-4113-B718-E70E8417ACC9}">
      <text>
        <r>
          <rPr>
            <b/>
            <sz val="9"/>
            <color indexed="81"/>
            <rFont val="Tahoma"/>
            <family val="2"/>
          </rPr>
          <t>Dengel, Kelly:</t>
        </r>
        <r>
          <rPr>
            <sz val="9"/>
            <color indexed="81"/>
            <rFont val="Tahoma"/>
            <family val="2"/>
          </rPr>
          <t xml:space="preserve">
From the Utilicast assessment, this is incremental labor - primarily ET folks involved in the RFP to Contract phase. The business folks are already expense</t>
        </r>
      </text>
    </comment>
    <comment ref="C15" authorId="1" shapeId="0" xr:uid="{6E17B788-6EF2-4DCA-B071-159EF0226B04}">
      <text>
        <t>[Threaded comment]
Your version of Excel allows you to read this threaded comment; however, any edits to it will get removed if the file is opened in a newer version of Excel. Learn more: https://go.microsoft.com/fwlink/?linkid=870924
Comment:
    Assumes enhacements to NUC after signing the new software agreements become EXPENSE and we'll need to support and use NUC through the ETRM implementation</t>
      </text>
    </comment>
    <comment ref="D16" authorId="0" shapeId="0" xr:uid="{25B0AA7D-6D73-4616-8607-E8CA27F7945A}">
      <text>
        <r>
          <rPr>
            <b/>
            <sz val="9"/>
            <color indexed="81"/>
            <rFont val="Tahoma"/>
            <family val="2"/>
          </rPr>
          <t>Dengel, Kelly:</t>
        </r>
        <r>
          <rPr>
            <sz val="9"/>
            <color indexed="81"/>
            <rFont val="Tahoma"/>
            <family val="2"/>
          </rPr>
          <t xml:space="preserve">
This $90k for NUC specific RFP support is inside the $370k in line G7.</t>
        </r>
      </text>
    </comment>
    <comment ref="C17" authorId="2" shapeId="0" xr:uid="{7EA723FB-C753-4BF1-A2EC-3CDA2DB38928}">
      <text>
        <t>[Threaded comment]
Your version of Excel allows you to read this threaded comment; however, any edits to it will get removed if the file is opened in a newer version of Excel. Learn more: https://go.microsoft.com/fwlink/?linkid=870924
Comment:
    4 NUC Devs 50% on NUC support at Expense and 50% on ETRM as capital 2026-2028</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Lee, Lisa</author>
    <author>Andrews, Liz</author>
  </authors>
  <commentList>
    <comment ref="V3" authorId="0" shapeId="0" xr:uid="{71AAD544-BDA8-4411-BFA2-951C3FCF13F9}">
      <text>
        <r>
          <rPr>
            <b/>
            <sz val="9"/>
            <color indexed="81"/>
            <rFont val="Tahoma"/>
            <family val="2"/>
          </rPr>
          <t>Lee, Lisa:</t>
        </r>
        <r>
          <rPr>
            <sz val="9"/>
            <color indexed="81"/>
            <rFont val="Tahoma"/>
            <family val="2"/>
          </rPr>
          <t xml:space="preserve">
Director Comp stock increase as of Sept 1 - prorated</t>
        </r>
      </text>
    </comment>
    <comment ref="B11" authorId="1" shapeId="0" xr:uid="{27591655-EC4E-490F-A410-5BE0CD35C23B}">
      <text>
        <r>
          <rPr>
            <b/>
            <sz val="9"/>
            <color indexed="81"/>
            <rFont val="Tahoma"/>
            <family val="2"/>
          </rPr>
          <t>Andrews, Liz:</t>
        </r>
        <r>
          <rPr>
            <sz val="9"/>
            <color indexed="81"/>
            <rFont val="Tahoma"/>
            <family val="2"/>
          </rPr>
          <t xml:space="preserve">
Updated 06.2023 allocation %s for electric and nat gas - 11.14.2023 - LMA</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Moon, Lindsey</author>
    <author>Andrews, Liz</author>
  </authors>
  <commentList>
    <comment ref="T27" authorId="0" shapeId="0" xr:uid="{0F3B4B32-055D-48D6-81F2-FE59EE069549}">
      <text>
        <r>
          <rPr>
            <b/>
            <sz val="9"/>
            <color indexed="81"/>
            <rFont val="Tahoma"/>
            <family val="2"/>
          </rPr>
          <t>Moon, Lindsey:</t>
        </r>
        <r>
          <rPr>
            <sz val="9"/>
            <color indexed="81"/>
            <rFont val="Tahoma"/>
            <family val="2"/>
          </rPr>
          <t xml:space="preserve">
Awaiting signed business case</t>
        </r>
      </text>
    </comment>
    <comment ref="AM44" authorId="1" shapeId="0" xr:uid="{58D90AFE-E5D7-450F-8861-37242F992D62}">
      <text>
        <r>
          <rPr>
            <b/>
            <sz val="9"/>
            <color indexed="81"/>
            <rFont val="Tahoma"/>
            <family val="2"/>
          </rPr>
          <t>Andrews, Liz:</t>
        </r>
        <r>
          <rPr>
            <sz val="9"/>
            <color indexed="81"/>
            <rFont val="Tahoma"/>
            <family val="2"/>
          </rPr>
          <t xml:space="preserve">
removed formulas in direct O&amp;M (previous "REQUIRED"), so indriect would calculate
</t>
        </r>
      </text>
    </comment>
    <comment ref="AM46" authorId="1" shapeId="0" xr:uid="{649120CB-084F-4B76-9FCC-4420BE2ED9EC}">
      <text>
        <r>
          <rPr>
            <b/>
            <sz val="9"/>
            <color indexed="81"/>
            <rFont val="Tahoma"/>
            <family val="2"/>
          </rPr>
          <t>Andrews, Liz:</t>
        </r>
        <r>
          <rPr>
            <sz val="9"/>
            <color indexed="81"/>
            <rFont val="Tahoma"/>
            <family val="2"/>
          </rPr>
          <t xml:space="preserve">
removed formulas in direct O&amp;M (previous "REQUIRED"), so indriect would calculate
</t>
        </r>
      </text>
    </comment>
    <comment ref="AM89" authorId="1" shapeId="0" xr:uid="{4A20AB76-2C70-42F2-BC4B-F196395A0094}">
      <text>
        <r>
          <rPr>
            <b/>
            <sz val="9"/>
            <color indexed="81"/>
            <rFont val="Tahoma"/>
            <family val="2"/>
          </rPr>
          <t xml:space="preserve">Andrews, Liz:
</t>
        </r>
        <r>
          <rPr>
            <sz val="9"/>
            <color indexed="81"/>
            <rFont val="Tahoma"/>
            <family val="2"/>
          </rPr>
          <t>removed formulas in direct O&amp;M (previous "REQUIRED"), added WA E indirect.</t>
        </r>
      </text>
    </comment>
    <comment ref="AD101" authorId="0" shapeId="0" xr:uid="{F64B5D52-86EA-403C-AD02-6DF2F3081039}">
      <text>
        <r>
          <rPr>
            <b/>
            <sz val="9"/>
            <color indexed="81"/>
            <rFont val="Tahoma"/>
            <family val="2"/>
          </rPr>
          <t>Moon, Lindsey:</t>
        </r>
        <r>
          <rPr>
            <sz val="9"/>
            <color indexed="81"/>
            <rFont val="Tahoma"/>
            <family val="2"/>
          </rPr>
          <t xml:space="preserve">
If rented</t>
        </r>
      </text>
    </comment>
    <comment ref="AE101" authorId="0" shapeId="0" xr:uid="{133EDB76-689A-4B72-8661-A5C725D35965}">
      <text>
        <r>
          <rPr>
            <b/>
            <sz val="9"/>
            <color indexed="81"/>
            <rFont val="Tahoma"/>
            <family val="2"/>
          </rPr>
          <t>Moon, Lindsey:</t>
        </r>
        <r>
          <rPr>
            <sz val="9"/>
            <color indexed="81"/>
            <rFont val="Tahoma"/>
            <family val="2"/>
          </rPr>
          <t xml:space="preserve">
If rented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<sst xmlns="http://schemas.openxmlformats.org/spreadsheetml/2006/main" count="8202" uniqueCount="3440">
  <si>
    <t xml:space="preserve">Deferred </t>
  </si>
  <si>
    <t xml:space="preserve">Eliminate </t>
  </si>
  <si>
    <t>Regulatory</t>
  </si>
  <si>
    <t>Injuries</t>
  </si>
  <si>
    <t>Restate</t>
  </si>
  <si>
    <t>Office Space</t>
  </si>
  <si>
    <t>Line</t>
  </si>
  <si>
    <t xml:space="preserve">Results </t>
  </si>
  <si>
    <t>FIT</t>
  </si>
  <si>
    <t xml:space="preserve">B &amp; O </t>
  </si>
  <si>
    <t>Property</t>
  </si>
  <si>
    <t>Expense</t>
  </si>
  <si>
    <t>Debt</t>
  </si>
  <si>
    <t>Charges to</t>
  </si>
  <si>
    <t>Pro Forma</t>
  </si>
  <si>
    <t>No.</t>
  </si>
  <si>
    <t>DESCRIPTION</t>
  </si>
  <si>
    <t>Report</t>
  </si>
  <si>
    <t>Rate Base</t>
  </si>
  <si>
    <t>Adjustment</t>
  </si>
  <si>
    <t>Taxes</t>
  </si>
  <si>
    <t>Tax</t>
  </si>
  <si>
    <t>Damages</t>
  </si>
  <si>
    <t>Interest</t>
  </si>
  <si>
    <t>Total</t>
  </si>
  <si>
    <t>a</t>
  </si>
  <si>
    <t>b</t>
  </si>
  <si>
    <t>c</t>
  </si>
  <si>
    <t>d</t>
  </si>
  <si>
    <t>e</t>
  </si>
  <si>
    <t>f</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</si>
  <si>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</si>
  <si>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</si>
  <si>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</si>
  <si>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</si>
  <si>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</si>
  <si>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</si>
  <si>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</si>
  <si>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</si>
  <si>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</si>
  <si>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</si>
  <si>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</si>
  <si>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</si>
  <si>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</si>
  <si>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</si>
  <si>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</si>
  <si>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</si>
  <si>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</si>
  <si>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</si>
  <si>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</si>
  <si>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</si>
  <si>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</si>
  <si>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</si>
  <si>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</si>
  <si>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</si>
  <si>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</si>
  <si>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</si>
  <si>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</si>
  <si>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</si>
  <si>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RATE BASE: PLANT IN SERVICE</t>
  </si>
  <si>
    <t>Distribution Plant</t>
  </si>
  <si>
    <t>General Plant</t>
  </si>
  <si>
    <t>Total Plant in Service</t>
  </si>
  <si>
    <t>ACCUMULATED DEPRECIATION</t>
  </si>
  <si>
    <t>DEFERRED FIT</t>
  </si>
  <si>
    <t>GAS INVENTORY</t>
  </si>
  <si>
    <t>GAIN ON SALE OF BUILDING</t>
  </si>
  <si>
    <t>TOTAL RATE BASE</t>
  </si>
  <si>
    <t>Washington Gas</t>
  </si>
  <si>
    <t>Column</t>
  </si>
  <si>
    <t>Description</t>
  </si>
  <si>
    <t xml:space="preserve">NOI   </t>
  </si>
  <si>
    <t>ROR</t>
  </si>
  <si>
    <t xml:space="preserve">     Actual </t>
  </si>
  <si>
    <t xml:space="preserve">     Restated Total</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</si>
  <si>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</si>
  <si>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</si>
  <si>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</si>
  <si>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</si>
  <si>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</si>
  <si>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</si>
  <si>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</si>
  <si>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</si>
  <si>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</si>
  <si>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</si>
  <si>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</si>
  <si>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</si>
  <si>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</si>
  <si>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</si>
  <si>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</si>
  <si>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</si>
  <si>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</si>
  <si>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</si>
  <si>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</si>
  <si>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</si>
  <si>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</si>
  <si>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</si>
  <si>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</si>
  <si>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</si>
  <si>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</si>
  <si>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</si>
  <si>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</si>
  <si>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</si>
  <si>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</si>
  <si>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</si>
  <si>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</si>
  <si>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</si>
  <si>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</si>
  <si>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</si>
  <si>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</si>
  <si>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</si>
  <si>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</si>
  <si>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</si>
  <si>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</si>
  <si>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</si>
  <si>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</si>
  <si>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</si>
  <si>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</si>
  <si>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</si>
  <si>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</si>
  <si>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</si>
  <si>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Weighted Average Cost of Debt</t>
  </si>
  <si>
    <t>Restate Debt Interest</t>
  </si>
  <si>
    <t>Labor</t>
  </si>
  <si>
    <t>Exec</t>
  </si>
  <si>
    <t>Net</t>
  </si>
  <si>
    <t>Excise</t>
  </si>
  <si>
    <t xml:space="preserve">Line </t>
  </si>
  <si>
    <t>Capital</t>
  </si>
  <si>
    <t>Weighted</t>
  </si>
  <si>
    <t>Component</t>
  </si>
  <si>
    <t>Structure</t>
  </si>
  <si>
    <t>Cost</t>
  </si>
  <si>
    <t>Proposed Rate of Return</t>
  </si>
  <si>
    <t>Net Operating Income Requirement</t>
  </si>
  <si>
    <t>Pro Forma Net Operating Income</t>
  </si>
  <si>
    <t>Net Operating Income Deficiency</t>
  </si>
  <si>
    <t>Conversion Factor</t>
  </si>
  <si>
    <t>Actual Per</t>
  </si>
  <si>
    <t>Proposed</t>
  </si>
  <si>
    <t>Revenues &amp;</t>
  </si>
  <si>
    <t>Related Exp</t>
  </si>
  <si>
    <t>(000's OF DOLLARS)</t>
  </si>
  <si>
    <t xml:space="preserve">Pro Forma Rate Base </t>
  </si>
  <si>
    <t>Factor</t>
  </si>
  <si>
    <t>Revenues</t>
  </si>
  <si>
    <t>Expense:</t>
  </si>
  <si>
    <t xml:space="preserve">  Uncollectibles  </t>
  </si>
  <si>
    <t xml:space="preserve">  Commission Fees </t>
  </si>
  <si>
    <t xml:space="preserve">  Washington Excise Tax  </t>
  </si>
  <si>
    <t xml:space="preserve">    Total Expense</t>
  </si>
  <si>
    <t>Net Operating Income Before FIT</t>
  </si>
  <si>
    <t>REVENUE CONVERSION FACTOR</t>
  </si>
  <si>
    <t>NOI Requirement</t>
  </si>
  <si>
    <t>Benefits</t>
  </si>
  <si>
    <t>Restating</t>
  </si>
  <si>
    <t>IMPACT ON</t>
  </si>
  <si>
    <t>DIFFERENCE</t>
  </si>
  <si>
    <t>REVENUE REQUIREMENT</t>
  </si>
  <si>
    <t>NOI</t>
  </si>
  <si>
    <t>Item</t>
  </si>
  <si>
    <t>Total Revenue Requirement Difference</t>
  </si>
  <si>
    <t>Comparison of Revenue Requirement Revised Adjustments</t>
  </si>
  <si>
    <t xml:space="preserve">Adjusted Revenue Requirement </t>
  </si>
  <si>
    <t>NET PLANT</t>
  </si>
  <si>
    <t xml:space="preserve">WORKING CAPITAL </t>
  </si>
  <si>
    <t>WORKING CAPITAL</t>
  </si>
  <si>
    <t>flow through</t>
  </si>
  <si>
    <t>Done</t>
  </si>
  <si>
    <t>Not Done</t>
  </si>
  <si>
    <t>Debt Interest</t>
  </si>
  <si>
    <t>Adjsutment Number</t>
  </si>
  <si>
    <t>Workpaper Reference</t>
  </si>
  <si>
    <t>G-ROO</t>
  </si>
  <si>
    <t>G-DFIT</t>
  </si>
  <si>
    <t>G-DDC</t>
  </si>
  <si>
    <t>G-EBO</t>
  </si>
  <si>
    <t>G-UE</t>
  </si>
  <si>
    <t>G-RE</t>
  </si>
  <si>
    <t>G-ID</t>
  </si>
  <si>
    <t>G-FIT</t>
  </si>
  <si>
    <t>G-NGL</t>
  </si>
  <si>
    <t>G-OSC</t>
  </si>
  <si>
    <t>G-MR</t>
  </si>
  <si>
    <t>G-RI</t>
  </si>
  <si>
    <t>G-PLN</t>
  </si>
  <si>
    <t>G-PLE</t>
  </si>
  <si>
    <t>G-PEB</t>
  </si>
  <si>
    <t>Depreciation/Amortization</t>
  </si>
  <si>
    <t xml:space="preserve">WASHINGTON NATURAL GAS RESULTS </t>
  </si>
  <si>
    <t>ACCUMULATED DEPRECIATION/AMORT</t>
  </si>
  <si>
    <t>Net Plant After DFIT</t>
  </si>
  <si>
    <t>Production Expenses</t>
  </si>
  <si>
    <t>DEFREED TAXES</t>
  </si>
  <si>
    <t>Reconciliation</t>
  </si>
  <si>
    <t>FIT Expense</t>
  </si>
  <si>
    <t>Line No. 27</t>
  </si>
  <si>
    <t>ROO</t>
  </si>
  <si>
    <t>TOTAL</t>
  </si>
  <si>
    <t>WP Ref</t>
  </si>
  <si>
    <t>Washington - GAS</t>
  </si>
  <si>
    <t>Interest Per Results (G-FIT-12A)</t>
  </si>
  <si>
    <t>Credits</t>
  </si>
  <si>
    <t xml:space="preserve">Production Expenses </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</si>
  <si>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</si>
  <si>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</si>
  <si>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</si>
  <si>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</si>
  <si>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</si>
  <si>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</si>
  <si>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</si>
  <si>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</si>
  <si>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</si>
  <si>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</si>
  <si>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</si>
  <si>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</si>
  <si>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</si>
  <si>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</si>
  <si>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</si>
  <si>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</si>
  <si>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</si>
  <si>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</si>
  <si>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</si>
  <si>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</si>
  <si>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</si>
  <si>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</si>
  <si>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</si>
  <si>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</si>
  <si>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</si>
  <si>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</si>
  <si>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</si>
  <si>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</si>
  <si>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</si>
  <si>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</si>
  <si>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</si>
  <si>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</si>
  <si>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</si>
  <si>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</si>
  <si>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</si>
  <si>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</si>
  <si>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</si>
  <si>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</si>
  <si>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</si>
  <si>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</si>
  <si>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</si>
  <si>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</si>
  <si>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</si>
  <si>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</si>
  <si>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</si>
  <si>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</si>
  <si>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</si>
  <si>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</si>
  <si>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</si>
  <si>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</si>
  <si>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</si>
  <si>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</si>
  <si>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</si>
  <si>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</si>
  <si>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</si>
  <si>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</si>
  <si>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</si>
  <si>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</si>
  <si>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</si>
  <si>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</si>
  <si>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</si>
  <si>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</si>
  <si>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</si>
  <si>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</si>
  <si>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</si>
  <si>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</si>
  <si>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</si>
  <si>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</si>
  <si>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</si>
  <si>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</si>
  <si>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</si>
  <si>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</si>
  <si>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</si>
  <si>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</si>
  <si>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</si>
  <si>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</si>
  <si>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</si>
  <si>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</si>
  <si>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</si>
  <si>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</si>
  <si>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</si>
  <si>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</si>
  <si>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</si>
  <si>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</si>
  <si>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</si>
  <si>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</si>
  <si>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</si>
  <si>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</si>
  <si>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</si>
  <si>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</si>
  <si>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</si>
  <si>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</si>
  <si>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</si>
  <si>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</si>
  <si>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</si>
  <si>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</si>
  <si>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</si>
  <si>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</si>
  <si>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</si>
  <si>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</si>
  <si>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</si>
  <si>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</si>
  <si>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</si>
  <si>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</si>
  <si>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</si>
  <si>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</si>
  <si>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</si>
  <si>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</si>
  <si>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</si>
  <si>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</si>
  <si>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</si>
  <si>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</si>
  <si>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</si>
  <si>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</si>
  <si>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</si>
  <si>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</si>
  <si>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</si>
  <si>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</si>
  <si>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</si>
  <si>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</si>
  <si>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</si>
  <si>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</si>
  <si>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</si>
  <si>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</si>
  <si>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</si>
  <si>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</si>
  <si>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</si>
  <si>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</si>
  <si>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</si>
  <si>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</si>
  <si>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</si>
  <si>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</si>
  <si>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</si>
  <si>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</si>
  <si>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</si>
  <si>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</si>
  <si>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</si>
  <si>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</si>
  <si>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</si>
  <si>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</si>
  <si>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</si>
  <si>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</si>
  <si>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</si>
  <si>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</si>
  <si>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</si>
  <si>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</si>
  <si>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</si>
  <si>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</si>
  <si>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</si>
  <si>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</si>
  <si>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</si>
  <si>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</si>
  <si>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</si>
  <si>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</si>
  <si>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</si>
  <si>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</si>
  <si>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</si>
  <si>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</si>
  <si>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</si>
  <si>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</si>
  <si>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</si>
  <si>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</si>
  <si>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</si>
  <si>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</si>
  <si>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</si>
  <si>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</si>
  <si>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</si>
  <si>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</si>
  <si>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</si>
  <si>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</si>
  <si>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</si>
  <si>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ACCUMULATED DEPREC/AMORT</t>
  </si>
  <si>
    <t>Total Accum. Depreciation/Amort.</t>
  </si>
  <si>
    <t>OTHER</t>
  </si>
  <si>
    <t>Reviewed</t>
  </si>
  <si>
    <t>(Pro Forma Restate Debt)</t>
  </si>
  <si>
    <t>All other</t>
  </si>
  <si>
    <t>Summary</t>
  </si>
  <si>
    <t>Pro Forma Rate of Return</t>
  </si>
  <si>
    <t>G-RET</t>
  </si>
  <si>
    <t>R-Ttl</t>
  </si>
  <si>
    <t>PF-STtl</t>
  </si>
  <si>
    <t xml:space="preserve">FIT / </t>
  </si>
  <si>
    <t xml:space="preserve">DFIT </t>
  </si>
  <si>
    <t>Revenue requirement</t>
  </si>
  <si>
    <t>G-RPT</t>
  </si>
  <si>
    <t>G-PPT</t>
  </si>
  <si>
    <t>Working</t>
  </si>
  <si>
    <t>G-WC</t>
  </si>
  <si>
    <t>ADFIT - Common Plant (283750 from C-DTX)</t>
  </si>
  <si>
    <t xml:space="preserve">Pro Forma </t>
  </si>
  <si>
    <t>Restated</t>
  </si>
  <si>
    <t>(1)</t>
  </si>
  <si>
    <t xml:space="preserve">Normalization </t>
  </si>
  <si>
    <t>* Line 8 "Total General Business Revenues" includes special contract transportation revenues.</t>
  </si>
  <si>
    <t>Adjusted</t>
  </si>
  <si>
    <t>WASHINGTON NATURAL GAS</t>
  </si>
  <si>
    <t>PROPOSED COST OF CAPITAL</t>
  </si>
  <si>
    <t xml:space="preserve"> Revenue</t>
  </si>
  <si>
    <t xml:space="preserve">Weather </t>
  </si>
  <si>
    <t>Normalization /</t>
  </si>
  <si>
    <t>Eliminate</t>
  </si>
  <si>
    <t>Adder</t>
  </si>
  <si>
    <t>Schedules</t>
  </si>
  <si>
    <t>G-EAS</t>
  </si>
  <si>
    <t>RATE OF RETURN</t>
  </si>
  <si>
    <t>G-PREV</t>
  </si>
  <si>
    <t>Amortization</t>
  </si>
  <si>
    <t>Provision for Rate Refund</t>
  </si>
  <si>
    <t xml:space="preserve">RATE OF RETURN </t>
  </si>
  <si>
    <t>RESTATEMENT ADJUSTMENTS</t>
  </si>
  <si>
    <t>Restating Adjustments</t>
  </si>
  <si>
    <t>G-WNGC</t>
  </si>
  <si>
    <t>Total Base Distribution Revenues*</t>
  </si>
  <si>
    <t>Total Present Billed Revenue</t>
  </si>
  <si>
    <t>Percentage Billed Revenue Increase</t>
  </si>
  <si>
    <t>Percentage Base Distribution Revenue Increase</t>
  </si>
  <si>
    <t>Joel</t>
  </si>
  <si>
    <t>WA Excess Nat Gas Line Extension</t>
  </si>
  <si>
    <t>Incentives</t>
  </si>
  <si>
    <t>Deferred</t>
  </si>
  <si>
    <t xml:space="preserve">Debits and </t>
  </si>
  <si>
    <t>Gains</t>
  </si>
  <si>
    <t xml:space="preserve"> &amp; Losses</t>
  </si>
  <si>
    <t>&amp;</t>
  </si>
  <si>
    <t>Misc. Restating</t>
  </si>
  <si>
    <t>Non-Util / Non-</t>
  </si>
  <si>
    <t>IS/IT</t>
  </si>
  <si>
    <t>Employee</t>
  </si>
  <si>
    <t>ACTUAL</t>
  </si>
  <si>
    <t>Natural Gas</t>
  </si>
  <si>
    <t>RESULTS</t>
  </si>
  <si>
    <t xml:space="preserve">  Federal Income Tax @ 21%</t>
  </si>
  <si>
    <t>Requested</t>
  </si>
  <si>
    <t>(000's of</t>
  </si>
  <si>
    <t>Dollars)</t>
  </si>
  <si>
    <t>CALCULATION OF REQUESTED GENERAL REVENUE REQUIREMENT</t>
  </si>
  <si>
    <t>Common</t>
  </si>
  <si>
    <t>Proposed Capital Structure</t>
  </si>
  <si>
    <t>AMI</t>
  </si>
  <si>
    <t>Non-Utility</t>
  </si>
  <si>
    <t>Recurring Expense</t>
  </si>
  <si>
    <t xml:space="preserve">Insurance </t>
  </si>
  <si>
    <t>G-PIT</t>
  </si>
  <si>
    <t>G-PINS</t>
  </si>
  <si>
    <t>WA weighted cost of debt</t>
  </si>
  <si>
    <t>Tax Reform Amortization</t>
  </si>
  <si>
    <t>Amortization WA Excess Natural Gas Line Extension</t>
  </si>
  <si>
    <t>Regulatory Debit - AFUDC Amortization</t>
  </si>
  <si>
    <t>AFUDC Equity DFIT Deferral</t>
  </si>
  <si>
    <t>Existing Meters/ERTs Excess Depreciation Deferral</t>
  </si>
  <si>
    <t>407436</t>
  </si>
  <si>
    <t>Provision for Rate Refund-Tax Reform</t>
  </si>
  <si>
    <t>ADFIT - Common Plant (282919 from C-DTX)</t>
  </si>
  <si>
    <t>Regulatory Asset - AFUDC</t>
  </si>
  <si>
    <t xml:space="preserve">Accumulated Amortization - AFUDC </t>
  </si>
  <si>
    <t>Rate Base-Regulatory Liability-Nonplant Excess</t>
  </si>
  <si>
    <t>ADFIT - WA Excess Nat Gas Line Extension</t>
  </si>
  <si>
    <t>Liz</t>
  </si>
  <si>
    <t>Natural Gas Depreciation Study Deferral</t>
  </si>
  <si>
    <t>Regulatory Deferral - AMI</t>
  </si>
  <si>
    <t>AMI Existing Meters/ERTs Deferral A/D</t>
  </si>
  <si>
    <t>G-PAMI</t>
  </si>
  <si>
    <t>Def. Debits, Credits &amp;</t>
  </si>
  <si>
    <t>Regulatory Amorts</t>
  </si>
  <si>
    <t>G-PRA</t>
  </si>
  <si>
    <t xml:space="preserve">Revenue Requirement </t>
  </si>
  <si>
    <t>Other</t>
  </si>
  <si>
    <t xml:space="preserve">Restate </t>
  </si>
  <si>
    <t>Results</t>
  </si>
  <si>
    <t>Total (1)</t>
  </si>
  <si>
    <t>Total (2)</t>
  </si>
  <si>
    <t>CALCULATION OF CONVERSION FACTOR: WASHINGTON GAS</t>
  </si>
  <si>
    <t xml:space="preserve">  Uncollectibles  (1)</t>
  </si>
  <si>
    <t xml:space="preserve">  Commission Fees (2)</t>
  </si>
  <si>
    <t xml:space="preserve">  Washington Excise Tax  (3)</t>
  </si>
  <si>
    <t xml:space="preserve">  Federal Income Tax @</t>
  </si>
  <si>
    <t>Shared Inputs</t>
  </si>
  <si>
    <t>NOTES:</t>
  </si>
  <si>
    <t>(1)  Calculation of Effective Uncollectible Rate:</t>
  </si>
  <si>
    <t xml:space="preserve">       Net Write-Offs *</t>
  </si>
  <si>
    <t>C-UE-1</t>
  </si>
  <si>
    <t xml:space="preserve">         Divided by:</t>
  </si>
  <si>
    <t xml:space="preserve">       Sales to Ultimate Customers + Transport **</t>
  </si>
  <si>
    <t xml:space="preserve">       EFFECTIVE RATE</t>
  </si>
  <si>
    <t xml:space="preserve">     *  From Uncollectible Adjustment Workpapers.</t>
  </si>
  <si>
    <t xml:space="preserve">     ** From Results of Operations Report G-OPS-12A.</t>
  </si>
  <si>
    <t>(3)  Calculation of Effective Washington Excise Tax :</t>
  </si>
  <si>
    <t xml:space="preserve">     Nominal Rate *</t>
  </si>
  <si>
    <t xml:space="preserve">       Multiplied by</t>
  </si>
  <si>
    <t xml:space="preserve">       Uncollectibles Factor:</t>
  </si>
  <si>
    <t xml:space="preserve">         Revenue</t>
  </si>
  <si>
    <t xml:space="preserve">         Less: Effective Uncoll Rate</t>
  </si>
  <si>
    <t xml:space="preserve">     EFFECTIVE RATE</t>
  </si>
  <si>
    <t xml:space="preserve">     *  From Combined Excise Tax Return.</t>
  </si>
  <si>
    <t>Marcus</t>
  </si>
  <si>
    <t>Tia</t>
  </si>
  <si>
    <t>Regulatory Debit - FISERVE Amortization</t>
  </si>
  <si>
    <t>407347</t>
  </si>
  <si>
    <t>COVID-19 Deferred Costs</t>
  </si>
  <si>
    <t>407407</t>
  </si>
  <si>
    <t>Reg. Credits-Amortization Depreciation Benefit</t>
  </si>
  <si>
    <t>407419</t>
  </si>
  <si>
    <t>Amortization AFUDC Equity Tax Credit</t>
  </si>
  <si>
    <t>407447</t>
  </si>
  <si>
    <t>Regulatory Deferral - COVID-19</t>
  </si>
  <si>
    <t>407493</t>
  </si>
  <si>
    <t>Taxes Other Than FIT--A&amp;G</t>
  </si>
  <si>
    <t>Gas Inventory--Clay Basin</t>
  </si>
  <si>
    <t>Regulatory Liability-Customer Tax Credit</t>
  </si>
  <si>
    <t>ADFIT-Customer Tax Credit</t>
  </si>
  <si>
    <t>Misc</t>
  </si>
  <si>
    <t>O&amp;M Exp</t>
  </si>
  <si>
    <t>RY1</t>
  </si>
  <si>
    <t>FINAL</t>
  </si>
  <si>
    <t>RY2</t>
  </si>
  <si>
    <t>PF-SubTtl</t>
  </si>
  <si>
    <t>INCREMENTAL</t>
  </si>
  <si>
    <t>F-Ttl</t>
  </si>
  <si>
    <t xml:space="preserve">Tia  </t>
  </si>
  <si>
    <t>Per ROO</t>
  </si>
  <si>
    <t>Rate Year 1</t>
  </si>
  <si>
    <t>Rate Year 2</t>
  </si>
  <si>
    <t>Incremental Rate Year 2</t>
  </si>
  <si>
    <t>Rev and</t>
  </si>
  <si>
    <t>g</t>
  </si>
  <si>
    <t>G-PMisc</t>
  </si>
  <si>
    <t xml:space="preserve">LIRAP </t>
  </si>
  <si>
    <t>G-LIRAP</t>
  </si>
  <si>
    <t>Revenue Conversion Factor</t>
  </si>
  <si>
    <t>Revenue Requirement</t>
  </si>
  <si>
    <t>RY 1</t>
  </si>
  <si>
    <t>RY 2</t>
  </si>
  <si>
    <t>Total WA</t>
  </si>
  <si>
    <t>WA Electric</t>
  </si>
  <si>
    <t>WA Natural Gas</t>
  </si>
  <si>
    <t>Totals</t>
  </si>
  <si>
    <t>As Filed</t>
  </si>
  <si>
    <t xml:space="preserve">Impact of ROE reduced to </t>
  </si>
  <si>
    <t>Impact of ROE reduced to x%</t>
  </si>
  <si>
    <t>Filed Revenue Requirement</t>
  </si>
  <si>
    <t>h</t>
  </si>
  <si>
    <t>December 2024 RY1</t>
  </si>
  <si>
    <t>WITH 12.2024 PROPOSED RATES</t>
  </si>
  <si>
    <t>Pro Forma 12.2024</t>
  </si>
  <si>
    <t>12.2024</t>
  </si>
  <si>
    <t>December 2025 RY2</t>
  </si>
  <si>
    <t>12.2025</t>
  </si>
  <si>
    <t>12.2024 Proposed</t>
  </si>
  <si>
    <t>12.2025 Proposed</t>
  </si>
  <si>
    <t>12.2025 Pro Forma</t>
  </si>
  <si>
    <t>WITH 12.2025 PROPOSED RATES</t>
  </si>
  <si>
    <t>(RSGM)</t>
  </si>
  <si>
    <t>G-EDIT</t>
  </si>
  <si>
    <t>Non-Exec</t>
  </si>
  <si>
    <t>2024-2025</t>
  </si>
  <si>
    <t>G-Offsets25</t>
  </si>
  <si>
    <t>G-PAMI26</t>
  </si>
  <si>
    <t>G-PLN26</t>
  </si>
  <si>
    <t>G-PEB26</t>
  </si>
  <si>
    <t>G-PPT26</t>
  </si>
  <si>
    <t>G-PMisc26</t>
  </si>
  <si>
    <t>G-Offsets26</t>
  </si>
  <si>
    <t>Results of</t>
  </si>
  <si>
    <t>Operations</t>
  </si>
  <si>
    <t>EDIT</t>
  </si>
  <si>
    <t>Capital Adds O&amp;M</t>
  </si>
  <si>
    <t>&amp; Revenue Offsets</t>
  </si>
  <si>
    <t>CF WA Gas</t>
  </si>
  <si>
    <t>Kaylene</t>
  </si>
  <si>
    <t xml:space="preserve">Tia </t>
  </si>
  <si>
    <t>Pro Forma Adjustments - 07.2023 - 12.2025</t>
  </si>
  <si>
    <t xml:space="preserve">     Pro Forma Study Ending 12.2025</t>
  </si>
  <si>
    <t>Pro Forma Adjustments - 12.2025 - 12.2026</t>
  </si>
  <si>
    <t xml:space="preserve">     Pro Forma Study Ending 12.2026</t>
  </si>
  <si>
    <t>Incremental 12.2026</t>
  </si>
  <si>
    <t>TWELVE MONTHS ENDED JUNE 30, 2023</t>
  </si>
  <si>
    <t>483XXX</t>
  </si>
  <si>
    <t>4893XX</t>
  </si>
  <si>
    <t>495XXX</t>
  </si>
  <si>
    <t>CCA Emission Expense</t>
  </si>
  <si>
    <t>Regulatory Credits-CCA</t>
  </si>
  <si>
    <t>Regulatory Debit - AMI Amortization</t>
  </si>
  <si>
    <t>Regulatory Debit - Existing Meters Deferral Amortization</t>
  </si>
  <si>
    <t>407381</t>
  </si>
  <si>
    <t>Voluntary RNG Revenue Offset</t>
  </si>
  <si>
    <t>407443</t>
  </si>
  <si>
    <t>Regulatory Deferral - Reg. Fees</t>
  </si>
  <si>
    <t>407452</t>
  </si>
  <si>
    <t>Regulatory Deferral - Intervenor Funding</t>
  </si>
  <si>
    <t>407454</t>
  </si>
  <si>
    <t>Regulatory Deferral - Pension Settlement Deferral</t>
  </si>
  <si>
    <t>407459</t>
  </si>
  <si>
    <t>Insurance Balancing</t>
  </si>
  <si>
    <t>Amortization Remand Residual</t>
  </si>
  <si>
    <t>381XXX</t>
  </si>
  <si>
    <t>395XXX</t>
  </si>
  <si>
    <t>Regulatory Asset-Deferred Pre-AMI Meters/ERTs</t>
  </si>
  <si>
    <t>Regulatory Asset-Deferred AMI Costs</t>
  </si>
  <si>
    <t>ADFIT-Deferred AMI Costs</t>
  </si>
  <si>
    <t>Capital Additions</t>
  </si>
  <si>
    <t>New Regulatory</t>
  </si>
  <si>
    <t>Amortizations</t>
  </si>
  <si>
    <t>G-DEP</t>
  </si>
  <si>
    <t>G-NRA</t>
  </si>
  <si>
    <t>Provisional</t>
  </si>
  <si>
    <t>to 12.31.2025 AMA</t>
  </si>
  <si>
    <t>G-CAP25A</t>
  </si>
  <si>
    <t>CCA</t>
  </si>
  <si>
    <t>G-CCA</t>
  </si>
  <si>
    <t>Capital Adds</t>
  </si>
  <si>
    <t>to 12.31.2026 AMA</t>
  </si>
  <si>
    <t>G-CAP26A</t>
  </si>
  <si>
    <t>06.2023 EOP</t>
  </si>
  <si>
    <t>Tia/Annette</t>
  </si>
  <si>
    <t>Kaylene/Liz</t>
  </si>
  <si>
    <t>(2) WUTC fees rate per Regulatory Fee Calculation Schedule 1, Annual Report Year 2022 (Docket No. A 220963, Order 01)</t>
  </si>
  <si>
    <t>Marcus/Liz</t>
  </si>
  <si>
    <t>G-ETRM</t>
  </si>
  <si>
    <t>Nucleus/ETRM</t>
  </si>
  <si>
    <t>G-ETRM26</t>
  </si>
  <si>
    <t>G-RDI</t>
  </si>
  <si>
    <t>Lindsey/Joe</t>
  </si>
  <si>
    <t>Marcus/Kaylene</t>
  </si>
  <si>
    <t>G-RCAP</t>
  </si>
  <si>
    <t>to 12.31.2023 EOP</t>
  </si>
  <si>
    <t>G-CAP23E</t>
  </si>
  <si>
    <t>to 12.31.2024 EOP</t>
  </si>
  <si>
    <t>G-CAP24E</t>
  </si>
  <si>
    <t>Kaylene/Marcus</t>
  </si>
  <si>
    <t>Lindsey/Marcus/Liz</t>
  </si>
  <si>
    <t>error?</t>
  </si>
  <si>
    <t>BOD Fees</t>
  </si>
  <si>
    <t>G-PBOD</t>
  </si>
  <si>
    <t>G-PI</t>
  </si>
  <si>
    <t>12.2025-I</t>
  </si>
  <si>
    <t>.08% Flotation Costs included in ROE, Impact on Revenue Requirement</t>
  </si>
  <si>
    <t>Expected Effective Date December 21, 2024</t>
  </si>
  <si>
    <t>Effective 12.21.2024</t>
  </si>
  <si>
    <t>Effective 12.21.2025</t>
  </si>
  <si>
    <t>Expected Effective Date December 21, 2025</t>
  </si>
  <si>
    <t>Rate Year 2 (December 2025 - December 2026)</t>
  </si>
  <si>
    <t>Rate Year 1 (December 2024 - December 2025)</t>
  </si>
  <si>
    <t>WITH PRESENT RATES</t>
  </si>
  <si>
    <t>Plant</t>
  </si>
  <si>
    <t xml:space="preserve">      Total Deferred FIT</t>
  </si>
  <si>
    <t>Intangible-Common</t>
  </si>
  <si>
    <t xml:space="preserve">   Total Other Deferred FIT</t>
  </si>
  <si>
    <t>Allocate by Plant</t>
  </si>
  <si>
    <t>FMB/MTN Elec</t>
  </si>
  <si>
    <t>General</t>
  </si>
  <si>
    <t>I</t>
  </si>
  <si>
    <t>AFUDC CWIP Intangibles</t>
  </si>
  <si>
    <t>O</t>
  </si>
  <si>
    <t>TOTAL DISTRIBUTION</t>
  </si>
  <si>
    <t>Colstrip PCB</t>
  </si>
  <si>
    <t>EOP</t>
  </si>
  <si>
    <t>CDA Settlement Costs</t>
  </si>
  <si>
    <t>A</t>
  </si>
  <si>
    <t>AMA</t>
  </si>
  <si>
    <t>Transmission</t>
  </si>
  <si>
    <t>CDA Lake CDR Fund</t>
  </si>
  <si>
    <t xml:space="preserve">   Total Accelerated Tax Depr</t>
  </si>
  <si>
    <t>ADFIT-COMMON ALL WWP</t>
  </si>
  <si>
    <t>ADFIT-COMMON ALL</t>
  </si>
  <si>
    <t>General Utility</t>
  </si>
  <si>
    <t>D</t>
  </si>
  <si>
    <t>Production</t>
  </si>
  <si>
    <t>Intangible</t>
  </si>
  <si>
    <t>Intangible - common</t>
  </si>
  <si>
    <t>Accumulated Deferred FIT Assignment to functions</t>
  </si>
  <si>
    <t>ZZ</t>
  </si>
  <si>
    <t>OR</t>
  </si>
  <si>
    <t>AN</t>
  </si>
  <si>
    <t>AA</t>
  </si>
  <si>
    <t>Accounting Period</t>
  </si>
  <si>
    <t>GD</t>
  </si>
  <si>
    <t>ED</t>
  </si>
  <si>
    <t>CD</t>
  </si>
  <si>
    <t>ID</t>
  </si>
  <si>
    <t>Revised per Power Tax:</t>
  </si>
  <si>
    <t>Source of Allocation Factors: Results of Operations Report E-ALL-12A</t>
  </si>
  <si>
    <t>Direct</t>
  </si>
  <si>
    <t>Jurisdictional four-factor</t>
  </si>
  <si>
    <t>Allocation Notes:</t>
  </si>
  <si>
    <t>Amount per ROO at 6/30/2023  AMA</t>
  </si>
  <si>
    <t>Changes once a year on January 1</t>
  </si>
  <si>
    <t>CD AN - 9</t>
  </si>
  <si>
    <t>CD AA - 7</t>
  </si>
  <si>
    <t>J</t>
  </si>
  <si>
    <t>K</t>
  </si>
  <si>
    <t>AFUDC - CWIP  Intangibles</t>
  </si>
  <si>
    <t>E</t>
  </si>
  <si>
    <t>C</t>
  </si>
  <si>
    <t>B</t>
  </si>
  <si>
    <t>G</t>
  </si>
  <si>
    <t>H</t>
  </si>
  <si>
    <t>F</t>
  </si>
  <si>
    <t>Average of monthly averages</t>
  </si>
  <si>
    <t>Adjustments:</t>
  </si>
  <si>
    <t>282919 CD AA</t>
  </si>
  <si>
    <t>ADFIT-Plant - AFUDC Equity</t>
  </si>
  <si>
    <t xml:space="preserve">   Total</t>
  </si>
  <si>
    <t>283850 CD AA</t>
  </si>
  <si>
    <t>FMB &amp; MTN Redeemed</t>
  </si>
  <si>
    <t>Total Plant</t>
  </si>
  <si>
    <t>283750 CD AA</t>
  </si>
  <si>
    <t>283200 ED AN</t>
  </si>
  <si>
    <t>283333 ED AN</t>
  </si>
  <si>
    <t>CDA Lake Settlement - Costs</t>
  </si>
  <si>
    <t>283382 ED AN</t>
  </si>
  <si>
    <t>CDA Lake Settlement</t>
  </si>
  <si>
    <t>283325 ED AN</t>
  </si>
  <si>
    <t>CDA Lake IPA Fund</t>
  </si>
  <si>
    <t>283324 ED AN</t>
  </si>
  <si>
    <t>Average of Monthly Averages</t>
  </si>
  <si>
    <t>Intangible-Allocated (CDAA,CDAN)</t>
  </si>
  <si>
    <t>CD AN</t>
  </si>
  <si>
    <t>General-Allocated (CDAA,CDAN)</t>
  </si>
  <si>
    <t>CD AA</t>
  </si>
  <si>
    <t>Average</t>
  </si>
  <si>
    <t xml:space="preserve">General Utility </t>
  </si>
  <si>
    <t>General-Direct</t>
  </si>
  <si>
    <t>GAS Oregon</t>
  </si>
  <si>
    <t>GAS North</t>
  </si>
  <si>
    <t>Electric</t>
  </si>
  <si>
    <t>Results - AMA Plant</t>
  </si>
  <si>
    <t>CD.AA</t>
  </si>
  <si>
    <t xml:space="preserve">ED.AN </t>
  </si>
  <si>
    <t>SYSTEM</t>
  </si>
  <si>
    <t>ACCELERATED TAX DEPRECIATION</t>
  </si>
  <si>
    <t>Gas - South</t>
  </si>
  <si>
    <t>Gas - North</t>
  </si>
  <si>
    <t>Basis</t>
  </si>
  <si>
    <t xml:space="preserve"> Elec</t>
  </si>
  <si>
    <t>Alloc</t>
  </si>
  <si>
    <t>Ending Balance Per ROO</t>
  </si>
  <si>
    <t xml:space="preserve">Adjustment in Results of Operations </t>
  </si>
  <si>
    <t>Balance Per GL</t>
  </si>
  <si>
    <t>Monthly Activity</t>
  </si>
  <si>
    <t>Beginning Balance</t>
  </si>
  <si>
    <t>Ending Balance</t>
  </si>
  <si>
    <t>Adjustment for Finalizing Tax Return</t>
  </si>
  <si>
    <t>Adjustment in Results of Operations</t>
  </si>
  <si>
    <t>Bond Redemption</t>
  </si>
  <si>
    <t>Per GL:</t>
  </si>
  <si>
    <t>PTD</t>
  </si>
  <si>
    <t>YTD</t>
  </si>
  <si>
    <t>12/31/2022 Balance Per Tax Return (known Sep 2023)</t>
  </si>
  <si>
    <t>Associated with Accelerated Tax Depreciation</t>
  </si>
  <si>
    <t>Average - Twelve Months Ended June 30, 2023</t>
  </si>
  <si>
    <t>DFIT-AFUDC Equity</t>
  </si>
  <si>
    <t>DFIT-AFUDC CWIP Intangibles</t>
  </si>
  <si>
    <t>ADFIT FMB &amp; MTN REDEEMED</t>
  </si>
  <si>
    <t>Provisional 12/31/2022 Balance</t>
  </si>
  <si>
    <t>Accumulated Deferred Taxes</t>
  </si>
  <si>
    <t>FERC Account Number</t>
  </si>
  <si>
    <t xml:space="preserve"> Accumulated Deferred Taxes</t>
  </si>
  <si>
    <t>12/31/2021 Balance</t>
  </si>
  <si>
    <t>WA</t>
  </si>
  <si>
    <t>Monthly Accrual</t>
  </si>
  <si>
    <t>Annual Variance</t>
  </si>
  <si>
    <t>Per M. Kennedy:</t>
  </si>
  <si>
    <t xml:space="preserve">(1) Source: Results of Operations (G-PLT-12A) </t>
  </si>
  <si>
    <t>Source of Allocation Factors: Results of Operations Report G-PLT-12A</t>
  </si>
  <si>
    <t>Changes each month</t>
  </si>
  <si>
    <t>Only changes once, every December 31</t>
  </si>
  <si>
    <t>NDP</t>
  </si>
  <si>
    <t>Percent</t>
  </si>
  <si>
    <t>Net Distribution Plant</t>
  </si>
  <si>
    <t>A/D (1)</t>
  </si>
  <si>
    <t>Gross (1)</t>
  </si>
  <si>
    <t>Net distribution plant - AMA</t>
  </si>
  <si>
    <t>Net gas general plant - AMA</t>
  </si>
  <si>
    <t>Net gas plant - AMA</t>
  </si>
  <si>
    <t>System Contract Demand</t>
  </si>
  <si>
    <t>G-PLT line 79</t>
  </si>
  <si>
    <t>M</t>
  </si>
  <si>
    <t xml:space="preserve">       Total Plant DFIT</t>
  </si>
  <si>
    <t>General/Intangible</t>
  </si>
  <si>
    <t>General (Direct)</t>
  </si>
  <si>
    <t>UG Storage</t>
  </si>
  <si>
    <t>Gas North</t>
  </si>
  <si>
    <t>Gas</t>
  </si>
  <si>
    <t>Gas Accumulated Deferred Taxes</t>
  </si>
  <si>
    <t>U</t>
  </si>
  <si>
    <t>Intangib;e</t>
  </si>
  <si>
    <t>Idaho Gas Cost Study</t>
  </si>
  <si>
    <t>Washington Gas Cost Study</t>
  </si>
  <si>
    <t>303100-30313X</t>
  </si>
  <si>
    <t>Allocation Factors</t>
  </si>
  <si>
    <t>30313X</t>
  </si>
  <si>
    <t>30310X</t>
  </si>
  <si>
    <t>(From IPL - Electric Data)</t>
  </si>
  <si>
    <t>TOTAL Plant</t>
  </si>
  <si>
    <t>Misc Intangible Plant-Term SAAS Software (C-IPL)</t>
  </si>
  <si>
    <t xml:space="preserve">Misc Intangible Plant-AMI Software </t>
  </si>
  <si>
    <t>Misc Intangible Plant-Software 12.5 YR (C-IPL)</t>
  </si>
  <si>
    <t>Misc Intangible Plant-PC Software (C-IPL)</t>
  </si>
  <si>
    <t>Misc Intangible Plant-Term On-Premise Software (C-IPL)</t>
  </si>
  <si>
    <t>Misc Intangible Plant-Mainframe Software (C-IPL)</t>
  </si>
  <si>
    <t>Misc Intangible Plant- (C-IPL)</t>
  </si>
  <si>
    <t>Franchises &amp; Consents</t>
  </si>
  <si>
    <t>CDA Settlement Past Storage</t>
  </si>
  <si>
    <t>CDA Lake CDR Fund - Allocated</t>
  </si>
  <si>
    <t>Allocated</t>
  </si>
  <si>
    <t>(From PLT)</t>
  </si>
  <si>
    <t>Four Factor 303000-30313X</t>
  </si>
  <si>
    <t>(From IPL - Gas North Data)</t>
  </si>
  <si>
    <t>TOTALS</t>
  </si>
  <si>
    <t>252000 GD</t>
  </si>
  <si>
    <t>252000 ED</t>
  </si>
  <si>
    <t>252000 CDAA</t>
  </si>
  <si>
    <t>Number</t>
  </si>
  <si>
    <t>Account</t>
  </si>
  <si>
    <t>ELECTRIC</t>
  </si>
  <si>
    <t>RECAP</t>
  </si>
  <si>
    <t>WPNG Gas</t>
  </si>
  <si>
    <t>WWP Gas</t>
  </si>
  <si>
    <t>Account 252000</t>
  </si>
  <si>
    <t>Percentage</t>
  </si>
  <si>
    <t>WWP Elec</t>
  </si>
  <si>
    <t>Unassigned Advances</t>
  </si>
  <si>
    <t>ALLOCATION OF UNASSIGNED CUSTOMER ADVANCES:</t>
  </si>
  <si>
    <t>Ave Monthly Average</t>
  </si>
  <si>
    <t>See allocation of unassigned customer advances worksheet.</t>
  </si>
  <si>
    <t>÷12</t>
  </si>
  <si>
    <t xml:space="preserve">    Divide by 12</t>
  </si>
  <si>
    <t>Beg/End Mo Avg</t>
  </si>
  <si>
    <t>÷2</t>
  </si>
  <si>
    <t xml:space="preserve">     Divide by 2</t>
  </si>
  <si>
    <t>Ferc Acct Desc:CUSTOMER ADVANCE ASSIGNED TO P</t>
  </si>
  <si>
    <t>Jurisdiction:AA</t>
  </si>
  <si>
    <t>Service:CD</t>
  </si>
  <si>
    <t>Ferc Acct:252000</t>
  </si>
  <si>
    <t>CDAA</t>
  </si>
  <si>
    <t>PERIOD</t>
  </si>
  <si>
    <t>Wash</t>
  </si>
  <si>
    <t>Advance Bal</t>
  </si>
  <si>
    <t>Customer</t>
  </si>
  <si>
    <t>June</t>
  </si>
  <si>
    <t xml:space="preserve">used in prior cases, without the necessity of developing a separate allocator.  </t>
  </si>
  <si>
    <t>May</t>
  </si>
  <si>
    <t>This allocation factor provides similar electric/gas assignment as the Sales Revenue analysis</t>
  </si>
  <si>
    <t>April</t>
  </si>
  <si>
    <t>(1) Allocation based on Allocation Factor 9 from Results of Operations Report E-ALL-12A.</t>
  </si>
  <si>
    <t>March</t>
  </si>
  <si>
    <t>February</t>
  </si>
  <si>
    <t>January</t>
  </si>
  <si>
    <t>December</t>
  </si>
  <si>
    <t>November</t>
  </si>
  <si>
    <t>October</t>
  </si>
  <si>
    <t xml:space="preserve">   WA Gas</t>
  </si>
  <si>
    <t>September</t>
  </si>
  <si>
    <t xml:space="preserve">Allocate to Service: </t>
  </si>
  <si>
    <t>Int. Rate Per WAC for 2023</t>
  </si>
  <si>
    <t xml:space="preserve">   WA Electric</t>
  </si>
  <si>
    <t>August</t>
  </si>
  <si>
    <t>Allocate WA Deposits to Service (1):</t>
  </si>
  <si>
    <t>July</t>
  </si>
  <si>
    <t>Jurisdiction:WA</t>
  </si>
  <si>
    <t>Service:GD</t>
  </si>
  <si>
    <t>Jurisdiction:ID</t>
  </si>
  <si>
    <t>AMA Deposits</t>
  </si>
  <si>
    <t>(June 2022 + June 2023) / 2</t>
  </si>
  <si>
    <t>Customer Tax Credit</t>
  </si>
  <si>
    <t>AFUDC</t>
  </si>
  <si>
    <t>Sub-Total Deferred Debits and Credits</t>
  </si>
  <si>
    <r>
      <t xml:space="preserve">Per: http://www.utc.wa.gov/regulatedindustries/utilities/energy/pages/customerdepositinterestrates.aspx                                    </t>
    </r>
    <r>
      <rPr>
        <b/>
        <u/>
        <sz val="10"/>
        <rFont val="Arial"/>
        <family val="2"/>
      </rPr>
      <t xml:space="preserve">Gas, Electric and Solid Waste Companies
</t>
    </r>
    <r>
      <rPr>
        <sz val="10"/>
        <rFont val="Arial"/>
        <family val="2"/>
      </rPr>
      <t xml:space="preserve">As of January 15, 2023, the interest rate that gas, electric, and solid waste companies must pay on the deposits they hold for their </t>
    </r>
    <r>
      <rPr>
        <b/>
        <u/>
        <sz val="10"/>
        <rFont val="Arial"/>
        <family val="2"/>
      </rPr>
      <t xml:space="preserve">customers is 4.67 percent. </t>
    </r>
    <r>
      <rPr>
        <sz val="10"/>
        <rFont val="Arial"/>
        <family val="2"/>
      </rPr>
      <t xml:space="preserve">
Gas, electric, and solid waste company rules use the rate as of January 15.  The rates were determined as of January 17, 2023.
</t>
    </r>
  </si>
  <si>
    <t xml:space="preserve">ID </t>
  </si>
  <si>
    <t xml:space="preserve">WA </t>
  </si>
  <si>
    <t>Cust Acctg</t>
  </si>
  <si>
    <t>Test Year</t>
  </si>
  <si>
    <t>GDID</t>
  </si>
  <si>
    <t>GDWA</t>
  </si>
  <si>
    <t>EDID</t>
  </si>
  <si>
    <t>EDWA</t>
  </si>
  <si>
    <t>CALCULATION OF AVERAGE OF MONTHLY AVERAGES:</t>
  </si>
  <si>
    <t>Work paper Ref</t>
  </si>
  <si>
    <t>Exp Acct</t>
  </si>
  <si>
    <t>Expense Per Results</t>
  </si>
  <si>
    <t>Normalized Expense</t>
  </si>
  <si>
    <t>Balance Per Results</t>
  </si>
  <si>
    <t>Normalized Balance</t>
  </si>
  <si>
    <t>Deposits Held</t>
  </si>
  <si>
    <t>No. of Accounts</t>
  </si>
  <si>
    <t>Date</t>
  </si>
  <si>
    <t>WASHINGTON</t>
  </si>
  <si>
    <t>Service:ED</t>
  </si>
  <si>
    <t>Washington Customer Deposits</t>
  </si>
  <si>
    <t>RATE BASE ADJUSTMENT - CUSTOMER ADVANCES</t>
  </si>
  <si>
    <t>DEFERRED DEBITS AND CREDITS ADJUSTMENT</t>
  </si>
  <si>
    <t>Rate Base Balances per Results are shown on 12A-2023.06 G-APL Tab</t>
  </si>
  <si>
    <t>G-APL-12A Check total</t>
  </si>
  <si>
    <t>AMI Deferral A/D</t>
  </si>
  <si>
    <t>Gas Inventory</t>
  </si>
  <si>
    <t xml:space="preserve">Gas Stored </t>
  </si>
  <si>
    <t>Excess Nat Gas Line Ext</t>
  </si>
  <si>
    <t>G-DDC-4</t>
  </si>
  <si>
    <t>G-DDC- 2 - 3</t>
  </si>
  <si>
    <t>UG-110877 Treatment</t>
  </si>
  <si>
    <t>*Adjustment is immaterial (less than $1,000), no impact to Revenue Requirement.</t>
  </si>
  <si>
    <t>Avista Corp</t>
  </si>
  <si>
    <t>MIZUHO-134122</t>
  </si>
  <si>
    <t>WELLS FARGO-134123</t>
  </si>
  <si>
    <t>Working Capital - Proposed Allocation</t>
  </si>
  <si>
    <t>Monthly Avg Balance</t>
  </si>
  <si>
    <t>Interest Income/(Expense)</t>
  </si>
  <si>
    <t>Effective Interest Rate</t>
  </si>
  <si>
    <t>Calculated Interest-Bearing Balance</t>
  </si>
  <si>
    <t>Monthly Avg Bal</t>
  </si>
  <si>
    <t>For the Twelve Month Period Ending June 30, 2023</t>
  </si>
  <si>
    <t>Average of Monthly Averages Basis</t>
  </si>
  <si>
    <t>Avista Corp. - Wholesale Contracts and Credit</t>
  </si>
  <si>
    <t>Monthly  Interest Earned (+) or Paid (-) and Additional Fees</t>
  </si>
  <si>
    <t xml:space="preserve">Total Non-Operating Working Capital (from ISWC) = </t>
  </si>
  <si>
    <t>WELLS FARGO</t>
  </si>
  <si>
    <t>MIZUHO</t>
  </si>
  <si>
    <t>(a)</t>
  </si>
  <si>
    <t>(b)</t>
  </si>
  <si>
    <t>(c)</t>
  </si>
  <si>
    <t>(a) -(b) - (c)</t>
  </si>
  <si>
    <t>UIP Ref</t>
  </si>
  <si>
    <t>Allocation Factor</t>
  </si>
  <si>
    <t>Interest Earned (+) or Paid (-)</t>
  </si>
  <si>
    <t>Minimum Commission Fee (Paid)</t>
  </si>
  <si>
    <t>Portfolio Utilization Fee (Paid)</t>
  </si>
  <si>
    <t>Total Interest/Fees</t>
  </si>
  <si>
    <t>Non-Oper</t>
  </si>
  <si>
    <t>Operating</t>
  </si>
  <si>
    <t>Rollup %</t>
  </si>
  <si>
    <t>Jur %</t>
  </si>
  <si>
    <t>Note</t>
  </si>
  <si>
    <t>Svc.Jur</t>
  </si>
  <si>
    <t>Non-Operating</t>
  </si>
  <si>
    <t>Gas-North</t>
  </si>
  <si>
    <t>Gas-South</t>
  </si>
  <si>
    <t>ED-WA</t>
  </si>
  <si>
    <t>ED-ID</t>
  </si>
  <si>
    <t>GD-WA</t>
  </si>
  <si>
    <t>GD-ID</t>
  </si>
  <si>
    <t>GD-OR</t>
  </si>
  <si>
    <t>ED.AN</t>
  </si>
  <si>
    <t>ED.ID</t>
  </si>
  <si>
    <t>ED.WA</t>
  </si>
  <si>
    <t>GD.AN</t>
  </si>
  <si>
    <t>GD.ID</t>
  </si>
  <si>
    <t>GD.OR</t>
  </si>
  <si>
    <t>GD.WA</t>
  </si>
  <si>
    <t>1 Total</t>
  </si>
  <si>
    <t>Adjustment - Reduction to Working Capital Rate Base:</t>
  </si>
  <si>
    <t>Note: To compute the calculated interest-bearing balance, interest expense was changed to an absolute value.</t>
  </si>
  <si>
    <t>Mizuho</t>
  </si>
  <si>
    <t>CD.ID</t>
  </si>
  <si>
    <t>CD.WA</t>
  </si>
  <si>
    <t xml:space="preserve">   Total ADJ</t>
  </si>
  <si>
    <t>WA Electric Share</t>
  </si>
  <si>
    <t>GD.AA</t>
  </si>
  <si>
    <t>WA Gas Share</t>
  </si>
  <si>
    <t>CD.AA from 12A Working Capital</t>
  </si>
  <si>
    <t>2 Total</t>
  </si>
  <si>
    <t>Gas South</t>
  </si>
  <si>
    <t>Source:  Resource Accounting</t>
  </si>
  <si>
    <t>CD.AN</t>
  </si>
  <si>
    <t>ED WA</t>
  </si>
  <si>
    <t>Negative interest means Avista owes FCM</t>
  </si>
  <si>
    <t>ED ID</t>
  </si>
  <si>
    <t>GD WA</t>
  </si>
  <si>
    <t>GD ID</t>
  </si>
  <si>
    <t>GD OR</t>
  </si>
  <si>
    <t>ED.MT</t>
  </si>
  <si>
    <t>4 Total</t>
  </si>
  <si>
    <t>ED.OR</t>
  </si>
  <si>
    <t>20 Total</t>
  </si>
  <si>
    <t>Grand Total</t>
  </si>
  <si>
    <t>Less: Interest Bearing Special Deposits</t>
  </si>
  <si>
    <t>Working Capital - Revised</t>
  </si>
  <si>
    <t>Working Capital - Per ROO</t>
  </si>
  <si>
    <t>GRC Adjustment</t>
  </si>
  <si>
    <t xml:space="preserve">For WA this adjustment eliminates the impact of Schedule 58 and WA Sch 58A from both revenues &amp; expense.  </t>
  </si>
  <si>
    <t>(before ID SIT)</t>
  </si>
  <si>
    <t>Net Impact on NOI Before FIT</t>
  </si>
  <si>
    <t xml:space="preserve">   Net B&amp;O Taxes Expensed</t>
  </si>
  <si>
    <t>G-EBO-2</t>
  </si>
  <si>
    <t>on Tribal land per WAC 458-20-192</t>
  </si>
  <si>
    <t>Excise Tax exemption for Tribal members</t>
  </si>
  <si>
    <t>Expense per Account 408.12</t>
  </si>
  <si>
    <t xml:space="preserve">Adjustments to 408120 </t>
  </si>
  <si>
    <t>G-EBO-5</t>
  </si>
  <si>
    <t>Total B&amp;O Taxes Collected</t>
  </si>
  <si>
    <t xml:space="preserve">   Net B&amp;O Taxes Collected through Schedule 58 and 58A</t>
  </si>
  <si>
    <t>B&amp;O Taxes Collected through Schedule 58A</t>
  </si>
  <si>
    <t>B&amp;O Taxes Collected through Schedule 58</t>
  </si>
  <si>
    <t>Other Revenue</t>
  </si>
  <si>
    <t>General Business Revenue</t>
  </si>
  <si>
    <t>WashingtonNatural Gas Monthly Adjustment for Earnings Test</t>
  </si>
  <si>
    <t>NATURAL GAS</t>
  </si>
  <si>
    <t>ELIMINATE  B &amp; O TAXES</t>
  </si>
  <si>
    <t>source: Revenue Runs</t>
  </si>
  <si>
    <t xml:space="preserve">      included in the expense accrual.</t>
  </si>
  <si>
    <t xml:space="preserve">      are due to errors in the revenue system and the amounts should be reversed.  They are not </t>
  </si>
  <si>
    <t>G-EBO-3</t>
  </si>
  <si>
    <t xml:space="preserve">     Total Other Revenues</t>
  </si>
  <si>
    <t xml:space="preserve">  -Gas Transportation - Commercial</t>
  </si>
  <si>
    <t>OTHER REVENUES</t>
  </si>
  <si>
    <t xml:space="preserve">     Total General Business</t>
  </si>
  <si>
    <t>Interruptible - Misc Industrial</t>
  </si>
  <si>
    <t>Firm - Misc Industrial</t>
  </si>
  <si>
    <t>Large Customer - PGA Industrial</t>
  </si>
  <si>
    <t>Interruptible - Commercial</t>
  </si>
  <si>
    <t>G-EBO-4</t>
  </si>
  <si>
    <t>Firm - Commercial</t>
  </si>
  <si>
    <t>PGA Adj Commercial Lg Cust</t>
  </si>
  <si>
    <t>GENERAL BUSINESS</t>
  </si>
  <si>
    <t>(2)  Interdepartmental revenues are not subject to B&amp;O taxes and any entries in the revenue runs</t>
  </si>
  <si>
    <t xml:space="preserve">       This amount needs to be added back to the excise tax expense to offset the elimination of the refund.</t>
  </si>
  <si>
    <t>(1)  Schedule 158A reflects refunded WA excise tax embedded in rates to tribal members on tribal land per WAC 458-20-192.</t>
  </si>
  <si>
    <t>(2) Reverse Interdepartmental</t>
  </si>
  <si>
    <t xml:space="preserve">  -Gas Transportation - Industrial</t>
  </si>
  <si>
    <t>Schedule 158A</t>
  </si>
  <si>
    <t>Schedule 158</t>
  </si>
  <si>
    <t>CLASS</t>
  </si>
  <si>
    <t>B &amp; O TAX COLLECTED</t>
  </si>
  <si>
    <t>92 INDUSTIAL-TRANS OF GAS FOR OTHERS</t>
  </si>
  <si>
    <t>489300</t>
  </si>
  <si>
    <t>91 COMMERCIAL-TRANS OF GAS FOR OTHERS</t>
  </si>
  <si>
    <t>80 INTERDEPARTMENT REVENUE</t>
  </si>
  <si>
    <t>484000</t>
  </si>
  <si>
    <t>31 FIRM- INDUSTRIAL</t>
  </si>
  <si>
    <t>481300</t>
  </si>
  <si>
    <t>17 LARGE CUSTOMER PGA-INDUSTRIAL</t>
  </si>
  <si>
    <t>22 INTERRUPTIBLE COMMERCIAL</t>
  </si>
  <si>
    <t>481250</t>
  </si>
  <si>
    <t>21 FIRM COMMERCIAL</t>
  </si>
  <si>
    <t>481200</t>
  </si>
  <si>
    <t>16 LARGE CUSTOMER PGA-COMMERCIAL</t>
  </si>
  <si>
    <t>01 RESIDENTIAL</t>
  </si>
  <si>
    <t>480000</t>
  </si>
  <si>
    <t>Revenue Class</t>
  </si>
  <si>
    <t>Ferc Acct</t>
  </si>
  <si>
    <t>Jur</t>
  </si>
  <si>
    <t>12 Month Total</t>
  </si>
  <si>
    <t>Period</t>
  </si>
  <si>
    <t>Rate Schedule Num:158</t>
  </si>
  <si>
    <t>Weather Norm Sch/Class Rev 12 ME Report</t>
  </si>
  <si>
    <t>Rate Schedule Num:158A</t>
  </si>
  <si>
    <t>Revenue Amt</t>
  </si>
  <si>
    <t>21</t>
  </si>
  <si>
    <t>91</t>
  </si>
  <si>
    <t>202301</t>
  </si>
  <si>
    <t>Expense per Account 408.12 in General Ledger</t>
  </si>
  <si>
    <t>G-EBO-1</t>
  </si>
  <si>
    <t>408120</t>
  </si>
  <si>
    <t>Jurisdiction</t>
  </si>
  <si>
    <t>Service</t>
  </si>
  <si>
    <t>Transaction Amount</t>
  </si>
  <si>
    <t>Twelve Months Ended June 30, 2023</t>
  </si>
  <si>
    <t>ALLOCATION</t>
  </si>
  <si>
    <t>Sum of Transaction Amount - 12ME 202306 Actual in GL</t>
  </si>
  <si>
    <t>Montana</t>
  </si>
  <si>
    <t>Oregon</t>
  </si>
  <si>
    <t>FERC Account</t>
  </si>
  <si>
    <t>FERC Account Description</t>
  </si>
  <si>
    <t>MT</t>
  </si>
  <si>
    <t>Actual Per Results</t>
  </si>
  <si>
    <t>408150</t>
  </si>
  <si>
    <t>TAXES OTHER THAN INC-PROD PROP</t>
  </si>
  <si>
    <t>408170</t>
  </si>
  <si>
    <t>TAXES OTHER THAN INC-DIST PROP</t>
  </si>
  <si>
    <t>408180</t>
  </si>
  <si>
    <t>TAXES OTHER THAN INC-TRANS PRO</t>
  </si>
  <si>
    <t>408190</t>
  </si>
  <si>
    <t>TAXES OTHER THAN INC - STORAGE</t>
  </si>
  <si>
    <t>Dist:</t>
  </si>
  <si>
    <t>Costs for 2021 recorded in 12ME 202306-need to remove</t>
  </si>
  <si>
    <t>Current Period Expense</t>
  </si>
  <si>
    <t>2022 True-Ups recorded in 12ME 202306-need to remove (adjusted to reflect 6 months)</t>
  </si>
  <si>
    <t>2023 true-ups recorded in post 202306-need to add (adjusted to reflect 6 months)</t>
  </si>
  <si>
    <t>Restating Adjustment</t>
  </si>
  <si>
    <t>Revised 12ME 202306</t>
  </si>
  <si>
    <t>Pro Forma Period Expense - 2025</t>
  </si>
  <si>
    <t>Annual Total</t>
  </si>
  <si>
    <t>6 Months</t>
  </si>
  <si>
    <t>Actual 2022 accrual per tax:</t>
  </si>
  <si>
    <t>Estimated 2023 accrual per tax:</t>
  </si>
  <si>
    <t>Total Test Year Accrual</t>
  </si>
  <si>
    <t>PF Adjustment</t>
  </si>
  <si>
    <t>Calculated Above from GL Activity</t>
  </si>
  <si>
    <t>Immaterial Variance</t>
  </si>
  <si>
    <t>Pro Forma Period Expense - 2026</t>
  </si>
  <si>
    <t>U/G Storage:</t>
  </si>
  <si>
    <t>U/G Storage Allocation</t>
  </si>
  <si>
    <t>U/G Storage (1):</t>
  </si>
  <si>
    <t>PAYMENTS MADE TO JURISDICTIONS FOR NATURAL GAS</t>
  </si>
  <si>
    <t>Note:</t>
  </si>
  <si>
    <t>Data pulled in 'Uncollectables.Cognos, explanations and notations are for information only and not printed.</t>
  </si>
  <si>
    <t>Per 'Covid Deferral Summary - with Amortization - Updated.pdf' from Project Accounting</t>
  </si>
  <si>
    <t>UNCOLLECTIBLES ADJUSTMENT</t>
  </si>
  <si>
    <t>COVID-19 Deferred Bad Debt Expense</t>
  </si>
  <si>
    <t>Month</t>
  </si>
  <si>
    <t>WA Gas</t>
  </si>
  <si>
    <t>Bad debt (186347/407447)</t>
  </si>
  <si>
    <t>Direct Forgiveness (186349/407447)</t>
  </si>
  <si>
    <t>External Admin (186349/186200)</t>
  </si>
  <si>
    <t>Internal Admin (186347/186200)</t>
  </si>
  <si>
    <t>Total Forgiveness Program Costs</t>
  </si>
  <si>
    <t>Total Bad Debt &amp; Forgiveness</t>
  </si>
  <si>
    <t>Washington Electric Revenue</t>
  </si>
  <si>
    <t>Idaho Electric Revenue</t>
  </si>
  <si>
    <t>Per '144200 Pivot' within "Uncollectables.Cognos.xlsx"</t>
  </si>
  <si>
    <t>ACCRUAL</t>
  </si>
  <si>
    <t>CALCULATION OF ADJUSTMENT:</t>
  </si>
  <si>
    <t>WRITE-OFFS</t>
  </si>
  <si>
    <t>REINSTATEMENTS AND RECOVERIES</t>
  </si>
  <si>
    <t>NET WRITEOFFS FOR CD AA</t>
  </si>
  <si>
    <t>UNCOLLECTIBLE EXPENSE</t>
  </si>
  <si>
    <t>499%0</t>
  </si>
  <si>
    <t>Allocation</t>
  </si>
  <si>
    <t>* Only WA and OR, no ID Charges</t>
  </si>
  <si>
    <t xml:space="preserve">  SYSTEM  </t>
  </si>
  <si>
    <t xml:space="preserve"> WASHINGTON </t>
  </si>
  <si>
    <t xml:space="preserve">  IDAHO  </t>
  </si>
  <si>
    <t>202207</t>
  </si>
  <si>
    <t>Actual Net Write-offs (1)</t>
  </si>
  <si>
    <t>Purge</t>
  </si>
  <si>
    <t xml:space="preserve">Less: </t>
  </si>
  <si>
    <t>Transferrd to 144990, where expense is accumulated</t>
  </si>
  <si>
    <t>2020 Total</t>
  </si>
  <si>
    <t>Accrual for Write-offs  (2)</t>
  </si>
  <si>
    <t>C-UE-2</t>
  </si>
  <si>
    <t xml:space="preserve">  (Less) Covid Deferral</t>
  </si>
  <si>
    <t>C-UE-5</t>
  </si>
  <si>
    <t>Adjusted Write-off Accrual</t>
  </si>
  <si>
    <t>Net Under (Over) Accrued</t>
  </si>
  <si>
    <t>Allocation Note 2: Customers</t>
  </si>
  <si>
    <t>Annual Exp.</t>
  </si>
  <si>
    <t>Reinstatement/Recovery</t>
  </si>
  <si>
    <t>Payments Received of previous written off totals</t>
  </si>
  <si>
    <t>2021 Total</t>
  </si>
  <si>
    <t xml:space="preserve"> ID total</t>
  </si>
  <si>
    <t xml:space="preserve"> WA total</t>
  </si>
  <si>
    <t>Allocation Note 2:  Customers</t>
  </si>
  <si>
    <t>The below is used to determine Monthly Earnings Test</t>
  </si>
  <si>
    <t>WA Running W-O Balances</t>
  </si>
  <si>
    <t>Subtotal</t>
  </si>
  <si>
    <t>WA Running Reinst/Recov Balances</t>
  </si>
  <si>
    <t>Notes:</t>
  </si>
  <si>
    <t xml:space="preserve">(1)  Actual Net Write-offs from calculation below, "Allocation of Write-offs to Services." </t>
  </si>
  <si>
    <t>(2)  Accrual for Write-offs from E-OPS and G-OPS Results of Operations reports, Account 904 totals.</t>
  </si>
  <si>
    <t>Write-off</t>
  </si>
  <si>
    <t>Write off of specific accounts</t>
  </si>
  <si>
    <t>ALLOCATION OF WRITE-OFFS TO SERVICES:</t>
  </si>
  <si>
    <t>Sales to Ultimate</t>
  </si>
  <si>
    <t>Allocated Net</t>
  </si>
  <si>
    <t>Customers (3)</t>
  </si>
  <si>
    <t>Write-offs (4)</t>
  </si>
  <si>
    <t>2022 Total</t>
  </si>
  <si>
    <t>WASHINGTON TOTALS</t>
  </si>
  <si>
    <t xml:space="preserve">     Electric</t>
  </si>
  <si>
    <t>C-UE-3</t>
  </si>
  <si>
    <t xml:space="preserve">     Gas</t>
  </si>
  <si>
    <t>2023 Total</t>
  </si>
  <si>
    <t>IDAHO TOTALS</t>
  </si>
  <si>
    <t>2020 Adjusted</t>
  </si>
  <si>
    <t>2021 Adjusted</t>
  </si>
  <si>
    <t>Total Company</t>
  </si>
  <si>
    <t>Row Labels</t>
  </si>
  <si>
    <t>Other side of Purge entry above</t>
  </si>
  <si>
    <t>(3)    Sales to Ultimate Customers plus Transportation Revenue from E-OPS and G-OPS Results of Operations reports.</t>
  </si>
  <si>
    <t>Bad Debt Expense that was deferred</t>
  </si>
  <si>
    <t>WA   E</t>
  </si>
  <si>
    <t>WA   G</t>
  </si>
  <si>
    <t>OR   G</t>
  </si>
  <si>
    <t>during the Test Year</t>
  </si>
  <si>
    <t>(4)    Allocated Net Write-offs from Account 144200.</t>
  </si>
  <si>
    <t>(Less) Forgiveness Program Costs-Fees recorded to 186200</t>
  </si>
  <si>
    <t>Internal/External Admin Costs</t>
  </si>
  <si>
    <t>No admin costs recroded during test year</t>
  </si>
  <si>
    <t>Acct 144200</t>
  </si>
  <si>
    <t>Amount</t>
  </si>
  <si>
    <t>Write-Offs WA</t>
  </si>
  <si>
    <t>Reinstatements &amp; Recoveries WA</t>
  </si>
  <si>
    <t>Write-Offs ID</t>
  </si>
  <si>
    <t>Reinstatements &amp; Recoveries ID</t>
  </si>
  <si>
    <t>For balances predating CC&amp;B conversion</t>
  </si>
  <si>
    <t>check</t>
  </si>
  <si>
    <t>Per '144990 Pivot' within "Uncollectables.Cognos.xlsx"</t>
  </si>
  <si>
    <t>*Impact of adjustment reverses Regulatory Fee Deferral recorded in 407443</t>
  </si>
  <si>
    <t>(2)  Regulatory Fee Expense is shown on workpaper reference page Reg Fees in this workbook.</t>
  </si>
  <si>
    <t xml:space="preserve">        on workpaper reference page G-RE-2</t>
  </si>
  <si>
    <t>(1)  Source of calculated fees (using revenues and assessment rates) are shown</t>
  </si>
  <si>
    <t>TOTAL EXPENSE IN ROO</t>
  </si>
  <si>
    <t>IPUC</t>
  </si>
  <si>
    <t>WUTC</t>
  </si>
  <si>
    <t>Less Expense in Results of Operations: (2)</t>
  </si>
  <si>
    <t>TOTAL CALCULATED EXP</t>
  </si>
  <si>
    <t xml:space="preserve">IPUC  </t>
  </si>
  <si>
    <t xml:space="preserve">WUTC  </t>
  </si>
  <si>
    <t>Calculated Expense: (1)</t>
  </si>
  <si>
    <t>Calculation of Regulatory Expense Adjustment - Gas</t>
  </si>
  <si>
    <t>Avista Utilities</t>
  </si>
  <si>
    <t>Revenues are detailed in workpaper Revenue-G in this workbook.</t>
  </si>
  <si>
    <t>Interdepartmental Revenues.</t>
  </si>
  <si>
    <t>Gas includes:  Acct 489, Gas Transportation and Acct 484,</t>
  </si>
  <si>
    <t>-</t>
  </si>
  <si>
    <t xml:space="preserve">level.  </t>
  </si>
  <si>
    <t>Resale on the basis that those services are resold and taxed at the retail</t>
  </si>
  <si>
    <t>Gas excludes:  Acct 495 , Other Gas Revenues and Acct 483, Sales for</t>
  </si>
  <si>
    <t>REGULATORY FEES</t>
  </si>
  <si>
    <t>Fee Rate</t>
  </si>
  <si>
    <t>First $50,000 @ .001 (Washington)</t>
  </si>
  <si>
    <t>Fee Calculation</t>
  </si>
  <si>
    <t>Total Gas Subject to Fees</t>
  </si>
  <si>
    <t xml:space="preserve">     Total Other Operating Revenues</t>
  </si>
  <si>
    <t>(493) Rent From Gas Property</t>
  </si>
  <si>
    <t>(489) Revenue From Gas Transport</t>
  </si>
  <si>
    <t>(488) Misc Service Revenues</t>
  </si>
  <si>
    <t>Other Operating Revenues:</t>
  </si>
  <si>
    <t xml:space="preserve">    Total Sales to Ultimate Consumers</t>
  </si>
  <si>
    <t>(499) Unbilled</t>
  </si>
  <si>
    <t>(484) Interdepartmental</t>
  </si>
  <si>
    <t>(481) Commercial / Industrial</t>
  </si>
  <si>
    <t>(480) Residential</t>
  </si>
  <si>
    <t>Sales to Ultimate Consumers:</t>
  </si>
  <si>
    <t>Gas Revenues:  (1)</t>
  </si>
  <si>
    <t>IPUC FEES</t>
  </si>
  <si>
    <t>WUTC  FEES</t>
  </si>
  <si>
    <t>WUTC Filing Fees Adjustment</t>
  </si>
  <si>
    <t>Company:001</t>
  </si>
  <si>
    <t>Ava Jet:&lt;All&gt;</t>
  </si>
  <si>
    <t>Expenditure Type:928 Regulatory Fees</t>
  </si>
  <si>
    <t>Ferc Acct:928000</t>
  </si>
  <si>
    <t>Statind:DL</t>
  </si>
  <si>
    <t>Journal Name:&lt;All&gt;</t>
  </si>
  <si>
    <t>Sum</t>
  </si>
  <si>
    <t>02805036</t>
  </si>
  <si>
    <t>03805013</t>
  </si>
  <si>
    <t>09800545</t>
  </si>
  <si>
    <t>02805035</t>
  </si>
  <si>
    <t>03805014</t>
  </si>
  <si>
    <t>06805000</t>
  </si>
  <si>
    <t>Transaction Description</t>
  </si>
  <si>
    <t>FERC Electric</t>
  </si>
  <si>
    <t>499000</t>
  </si>
  <si>
    <t>*Organization</t>
  </si>
  <si>
    <t>B56</t>
  </si>
  <si>
    <t>499200</t>
  </si>
  <si>
    <t>Sum of Transaction Amount</t>
  </si>
  <si>
    <t>Column Labels</t>
  </si>
  <si>
    <t>202208</t>
  </si>
  <si>
    <t>202209</t>
  </si>
  <si>
    <t>202210</t>
  </si>
  <si>
    <t>202211</t>
  </si>
  <si>
    <t>202212</t>
  </si>
  <si>
    <t>202302</t>
  </si>
  <si>
    <t>202303</t>
  </si>
  <si>
    <t>202304</t>
  </si>
  <si>
    <t>202305</t>
  </si>
  <si>
    <t>202306</t>
  </si>
  <si>
    <t>928000</t>
  </si>
  <si>
    <t>FERC Hydro</t>
  </si>
  <si>
    <t>H04</t>
  </si>
  <si>
    <t>Test Period FERC Fees</t>
  </si>
  <si>
    <t>FERC Fees B56</t>
  </si>
  <si>
    <t>FERC Fees H04</t>
  </si>
  <si>
    <t>Updated 2025 B56 FERC Fees</t>
  </si>
  <si>
    <t>Incremental FERC Fees (2025) RY1</t>
  </si>
  <si>
    <t>2023 $  704,440</t>
  </si>
  <si>
    <r>
      <t xml:space="preserve">For our calendar year 2023, we received the invoice on 6/21/2023 for the period of </t>
    </r>
    <r>
      <rPr>
        <b/>
        <sz val="11"/>
        <rFont val="Calibri"/>
        <family val="2"/>
      </rPr>
      <t>10/1/2022 through 9/30/2023</t>
    </r>
    <r>
      <rPr>
        <sz val="11"/>
        <rFont val="Calibri"/>
        <family val="2"/>
      </rPr>
      <t xml:space="preserve"> with a due date of 8/5/2023.  For January 2023 through May 2023, we accrued </t>
    </r>
    <r>
      <rPr>
        <b/>
        <sz val="11"/>
        <rFont val="Calibri"/>
        <family val="2"/>
      </rPr>
      <t>$41,610 per month (based on an annual forecast of $499k)</t>
    </r>
    <r>
      <rPr>
        <sz val="11"/>
        <rFont val="Calibri"/>
        <family val="2"/>
      </rPr>
      <t xml:space="preserve">.  Starting in July 2023, and presumably through September 2023, we accrued </t>
    </r>
    <r>
      <rPr>
        <b/>
        <sz val="11"/>
        <rFont val="Calibri"/>
        <family val="2"/>
      </rPr>
      <t>$92,890 per month</t>
    </r>
    <r>
      <rPr>
        <sz val="11"/>
        <rFont val="Calibri"/>
        <family val="2"/>
      </rPr>
      <t>.  On average, we should have been accruing $58,703 per month, meaning October, November and December amounts should most likely be much lower than the current $92,890 per month. </t>
    </r>
  </si>
  <si>
    <t xml:space="preserve">2024 $805,224  -  the rate is $67,102 per month, or annual total of $805,224.  </t>
  </si>
  <si>
    <t xml:space="preserve">2025 $921,981 </t>
  </si>
  <si>
    <t>2026: $1,055,669. </t>
  </si>
  <si>
    <t>488000</t>
  </si>
  <si>
    <t>499900</t>
  </si>
  <si>
    <t>481400</t>
  </si>
  <si>
    <t>493000</t>
  </si>
  <si>
    <t>499250</t>
  </si>
  <si>
    <t>489310</t>
  </si>
  <si>
    <t xml:space="preserve">Avista Utilities </t>
  </si>
  <si>
    <t>Injuries and Damages Adjustment</t>
  </si>
  <si>
    <t>ACCUM PROV FOR INJURY &amp; DAMAGE</t>
  </si>
  <si>
    <t>PAYMENT/REFUND INJURY &amp; DAMAGE</t>
  </si>
  <si>
    <t>Six Year Average of Actual Injuries and Damages Payments</t>
  </si>
  <si>
    <t>ORGANIZATION_DESC</t>
  </si>
  <si>
    <t>AVA Jet</t>
  </si>
  <si>
    <t>L52 - Claims Accrual</t>
  </si>
  <si>
    <t>208-DC PAY</t>
  </si>
  <si>
    <t>Year</t>
  </si>
  <si>
    <t>6M DEC 31,2017</t>
  </si>
  <si>
    <t>FY DEC 31,2018</t>
  </si>
  <si>
    <t>FY DEC 31,2019</t>
  </si>
  <si>
    <t>FY DEC 31,2020</t>
  </si>
  <si>
    <t>FY DEC 31,2021</t>
  </si>
  <si>
    <t>FY DEC 31,2022</t>
  </si>
  <si>
    <t>FY JUN 30,2023</t>
  </si>
  <si>
    <t>6 yr Avg</t>
  </si>
  <si>
    <t xml:space="preserve">2023 Total </t>
  </si>
  <si>
    <t>YE 6.30.23</t>
  </si>
  <si>
    <t>L52 - Claims Accrual Total</t>
  </si>
  <si>
    <t>Payments from Account 228210 by Service and State</t>
  </si>
  <si>
    <t>Source:  General Ledger</t>
  </si>
  <si>
    <t>Allocation Note 4:  Jurisdictional Four Factor</t>
  </si>
  <si>
    <t>Increase (Decrease) in Expense</t>
  </si>
  <si>
    <t>Revised Annual Expense-Actual Direct 6 yr avg</t>
  </si>
  <si>
    <t xml:space="preserve">     Total</t>
  </si>
  <si>
    <t xml:space="preserve">Allocated (Note 4) </t>
  </si>
  <si>
    <t>Directly Assigned</t>
  </si>
  <si>
    <t>Accrual per Results</t>
  </si>
  <si>
    <t xml:space="preserve">System </t>
  </si>
  <si>
    <t>Account 925</t>
  </si>
  <si>
    <t>Natural Gas System</t>
  </si>
  <si>
    <t>Net FIT/DFIT Adj</t>
  </si>
  <si>
    <t>Total Deferred FIT Adjustment</t>
  </si>
  <si>
    <t>Deferred FIT Adjustment</t>
  </si>
  <si>
    <t>Current FIT Adjustment</t>
  </si>
  <si>
    <t>Adjusted FIT Accrual</t>
  </si>
  <si>
    <t>(Per G-FIT-12A)</t>
  </si>
  <si>
    <t>FIT Accrual per Results</t>
  </si>
  <si>
    <t>Reallocated Taxable NOI</t>
  </si>
  <si>
    <t xml:space="preserve">Adjust Orig Sch M </t>
  </si>
  <si>
    <t>No Schedule M adjustments</t>
  </si>
  <si>
    <t>Schedule M Reallocations and Adjustments</t>
  </si>
  <si>
    <t>Taxable NOI per Results</t>
  </si>
  <si>
    <t>For the Twelve Months Ended June 30, 2023</t>
  </si>
  <si>
    <t>Gas FIT Adjustment</t>
  </si>
  <si>
    <t>DFIT</t>
  </si>
  <si>
    <t xml:space="preserve">Sch M </t>
  </si>
  <si>
    <t>DFIT Adjustment</t>
  </si>
  <si>
    <t>DFIT Per ROO</t>
  </si>
  <si>
    <t>Sch M</t>
  </si>
  <si>
    <t>Open</t>
  </si>
  <si>
    <t>AMOUNT</t>
  </si>
  <si>
    <t>Additional DFIT Adjustments</t>
  </si>
  <si>
    <t>Flow Through DFIT</t>
  </si>
  <si>
    <t>DFIT @ 21%</t>
  </si>
  <si>
    <t>Temp and Plant Sch M</t>
  </si>
  <si>
    <t>Total Schedule M and Deferred FIT do not agree due to year end true ups specific to past year totals.</t>
  </si>
  <si>
    <t>Split-year DFIT Adjustment</t>
  </si>
  <si>
    <t>Gas System</t>
  </si>
  <si>
    <t>G-All-12A</t>
  </si>
  <si>
    <t>FIT Adjustments and Reallocations</t>
  </si>
  <si>
    <t>OFFICE SPACE CHARGES TO NON UTILITY</t>
  </si>
  <si>
    <t>Officers (EO1 Org)</t>
  </si>
  <si>
    <t>Non-Officers</t>
  </si>
  <si>
    <t>Subs</t>
  </si>
  <si>
    <t>Non-utility</t>
  </si>
  <si>
    <t>GAS-North</t>
  </si>
  <si>
    <t>Total hours charged</t>
  </si>
  <si>
    <t>OSC-3</t>
  </si>
  <si>
    <t>Total Company Allocation</t>
  </si>
  <si>
    <t>(Excluding Executive Officers)</t>
  </si>
  <si>
    <t xml:space="preserve">     to Non-Utility --  </t>
  </si>
  <si>
    <t>OSC-2</t>
  </si>
  <si>
    <t>Hours charged</t>
  </si>
  <si>
    <t>2023 YTD 8.30.2023</t>
  </si>
  <si>
    <t>Per utility 4 factor note 7 *</t>
  </si>
  <si>
    <t>FTEs</t>
  </si>
  <si>
    <t>Standard office space</t>
  </si>
  <si>
    <t>square feet</t>
  </si>
  <si>
    <t>Per jurisdictional 4 factor note 4 *  (WA portion only).</t>
  </si>
  <si>
    <t>Office Space Cost / per sq ft.</t>
  </si>
  <si>
    <t>Annual Cost/Workstation</t>
  </si>
  <si>
    <t>Allocation to WA by service</t>
  </si>
  <si>
    <t>a*b*c+ a*d</t>
  </si>
  <si>
    <t xml:space="preserve">Adjustment to remove portion of office space for Non-Utility </t>
  </si>
  <si>
    <t>12ME 6.30.2023</t>
  </si>
  <si>
    <t>*  See Results of Operations Report E-ALL-12A and G-ALL-12A</t>
  </si>
  <si>
    <t>(Executive Officers)</t>
  </si>
  <si>
    <t>Average Executive Square footage</t>
  </si>
  <si>
    <t>Hours spent by employees on non-utility/subs activities.</t>
  </si>
  <si>
    <t>All Employees</t>
  </si>
  <si>
    <t>Less: Amount Recorded in GL</t>
  </si>
  <si>
    <t>Proj. 09905866 Acct. 935000</t>
  </si>
  <si>
    <t>CBR Adjustment</t>
  </si>
  <si>
    <t>OSC-1</t>
  </si>
  <si>
    <t xml:space="preserve"> (c) Office space rate is $36.95, developed by Facilities, which includes Office Building Operating and Fixed Costs. Including Utilities, Admin, Security, HVAC, Electrical Systems, Building and Grounds Operations &amp; Maintenance, Remodeling, Cafeteria Space, Depreciation and Property Tax.</t>
  </si>
  <si>
    <t xml:space="preserve"> (d) Approximate annual incremental costs for laptop, phone, cell phone, monitor, mouse and keyboard is $5,562 per workstation for non-officers.</t>
  </si>
  <si>
    <t>Transaction Analysis  Selection: Accounting Period : From 202207 To 202306 , Gl Ferc Account : '408110'</t>
  </si>
  <si>
    <t>Transaction Analysis  Selection: Accounting Period : From 202207 To 202306 , Gl Ferc Account : '908610'</t>
  </si>
  <si>
    <t xml:space="preserve">STATE OF WASHINGTON COMBINED EXCISE TAX RETURN </t>
  </si>
  <si>
    <t>Restate Public Utility Excise Tax to Actual</t>
  </si>
  <si>
    <t>STATE BUSINESS &amp; OCCUPATION TAX</t>
  </si>
  <si>
    <t>Electric Amt SUM</t>
  </si>
  <si>
    <t>Gas North Amt SUM</t>
  </si>
  <si>
    <t>Gas South Amt SUM</t>
  </si>
  <si>
    <t>Transaction Desc</t>
  </si>
  <si>
    <t>STATE PUBLIC UTILITY TAX</t>
  </si>
  <si>
    <t>408110</t>
  </si>
  <si>
    <t>WA ED 2022 Excise LIHEAP Tax Credit</t>
  </si>
  <si>
    <t>908610</t>
  </si>
  <si>
    <t>Aug 2022 - LIHEAP from St. of WA DOR</t>
  </si>
  <si>
    <t>Power - Electricity  Addendum</t>
  </si>
  <si>
    <t>* Actual Payments:</t>
  </si>
  <si>
    <t>July 2022 WA Excise LIHEAP Tax Credit</t>
  </si>
  <si>
    <t>Adjusted Gross Amount</t>
  </si>
  <si>
    <t>Oct 2022 - LIHEAP from St. of WA DOR</t>
  </si>
  <si>
    <t>Total \Deductions</t>
  </si>
  <si>
    <t>RET-4</t>
  </si>
  <si>
    <t>WA Electric Excise Tax Current Month</t>
  </si>
  <si>
    <t>Sept 2022 - LIHEAP from St. of WA DOR</t>
  </si>
  <si>
    <t>Taxable Amount</t>
  </si>
  <si>
    <t>WA Electric Excise Tax True Up Aug - Jun</t>
  </si>
  <si>
    <t>RET-1</t>
  </si>
  <si>
    <t>WA Electric Excise Tax True Up in Jul for Jun</t>
  </si>
  <si>
    <t>Tax Due @</t>
  </si>
  <si>
    <t>Renewable Energy Credit</t>
  </si>
  <si>
    <t>Community Solar Credit</t>
  </si>
  <si>
    <t>WA Natural gas "Other" Jul - Jun</t>
  </si>
  <si>
    <t>60% Allocated LIHEAP Credit</t>
  </si>
  <si>
    <t>B-A=</t>
  </si>
  <si>
    <t>Commute Trip Reduction</t>
  </si>
  <si>
    <t>Total Electric Tax:</t>
  </si>
  <si>
    <t>Total for ED 408110</t>
  </si>
  <si>
    <t xml:space="preserve">Results Report E-OTX-12A / B  </t>
  </si>
  <si>
    <t>Gas Distribution  Addendum</t>
  </si>
  <si>
    <t>WA Gas Excise LIHEAP Tax Credit</t>
  </si>
  <si>
    <t>Deductions</t>
  </si>
  <si>
    <t>WA Gas Excise Tax Current Month</t>
  </si>
  <si>
    <t xml:space="preserve">      Total Actual Payments</t>
  </si>
  <si>
    <t>WA Gas Excise Tax True Up Aug - Jun</t>
  </si>
  <si>
    <t>Add Back: Credits for Solar REC's Paid to Customers</t>
  </si>
  <si>
    <t>WA Gas Excise Tax True Up in Jul for Jun</t>
  </si>
  <si>
    <t xml:space="preserve">   Total Paid adjusted for credits to customers</t>
  </si>
  <si>
    <t>40% Allocated LIHEAP Credit</t>
  </si>
  <si>
    <t>Total Gas Tax:</t>
  </si>
  <si>
    <t xml:space="preserve">Washington State Excise Tax amount reflected in results  </t>
  </si>
  <si>
    <t>RET-2</t>
  </si>
  <si>
    <t>Total for GD 408110</t>
  </si>
  <si>
    <t>Results Report G-OTX-12A  / RET-1</t>
  </si>
  <si>
    <t>Transaction Analysis  Selection: Accounting Period : '202307' , Gl Ferc Account : '408110'</t>
  </si>
  <si>
    <t>Timing Difference -Remove June 2022 Entry Recorded in Jul 2023</t>
  </si>
  <si>
    <t>Timing Difference -Add June 2023 Entry Recorded in July 2023</t>
  </si>
  <si>
    <t>RET-3</t>
  </si>
  <si>
    <t xml:space="preserve">   Total Expense</t>
  </si>
  <si>
    <t xml:space="preserve">     Adjustment of Washington State Excise Tax</t>
  </si>
  <si>
    <t>WA Electric Excise Tax True Up</t>
  </si>
  <si>
    <t>WA Excise LIHEAP Tax Credit</t>
  </si>
  <si>
    <t>WA Natural gas "Other" June 2023 True Up</t>
  </si>
  <si>
    <t>Sub-total</t>
  </si>
  <si>
    <t>*     Source:  Combined Monthly Excise Tax Return Lines 52 (Electric), 53 (Gas),</t>
  </si>
  <si>
    <t>(these values now incorporate LIHEAP tax credit and Renewable energy credits</t>
  </si>
  <si>
    <t>WA Gas Excise Tax True Up</t>
  </si>
  <si>
    <t xml:space="preserve"> as assigned to service).</t>
  </si>
  <si>
    <t>LIHEAP Tax credit assigned to service</t>
  </si>
  <si>
    <t>LIHEAP Tax credit benefit to acct 908610</t>
  </si>
  <si>
    <t>Note:  To maintain matching of the tax credit with customer benefit expense, either increase 908610 to match credits in actual payments or reverse timing difference in actual payments</t>
  </si>
  <si>
    <t>SCHEDULE 27</t>
  </si>
  <si>
    <t>Property Dispositions</t>
  </si>
  <si>
    <t>for YTD June 30, 2023</t>
  </si>
  <si>
    <t>for YTD December 31, 2022</t>
  </si>
  <si>
    <t>12 Months ended June 30, 2023</t>
  </si>
  <si>
    <t>OTHER PROPERTY DISPOSITIONS</t>
  </si>
  <si>
    <t>Svc/</t>
  </si>
  <si>
    <t>Gain</t>
  </si>
  <si>
    <t>Juris</t>
  </si>
  <si>
    <t>North</t>
  </si>
  <si>
    <t>BOOK</t>
  </si>
  <si>
    <t>TAX</t>
  </si>
  <si>
    <t>BALANCE CHECK to Disposition Tab</t>
  </si>
  <si>
    <t>AMORTIZATION PERIOD</t>
  </si>
  <si>
    <t>(Loss)</t>
  </si>
  <si>
    <t>1.</t>
  </si>
  <si>
    <t>Brief Description of Property Disposed:</t>
  </si>
  <si>
    <t xml:space="preserve">   </t>
  </si>
  <si>
    <t>3.</t>
  </si>
  <si>
    <t>Greensferry Parcel &amp; Easement</t>
  </si>
  <si>
    <t>Gain(Loss)</t>
  </si>
  <si>
    <t>Permanent Record Reference</t>
  </si>
  <si>
    <t>Greensferry parcel</t>
  </si>
  <si>
    <t>NGL-4</t>
  </si>
  <si>
    <t>Date Property disposed of</t>
  </si>
  <si>
    <t>(d)</t>
  </si>
  <si>
    <t>Primary Plant Account Credited</t>
  </si>
  <si>
    <t>Boulder Property</t>
  </si>
  <si>
    <t>ZZ.ZZ</t>
  </si>
  <si>
    <t>(e)</t>
  </si>
  <si>
    <t>Gross Sale Price</t>
  </si>
  <si>
    <t>(f)</t>
  </si>
  <si>
    <t>Expense of Sale</t>
  </si>
  <si>
    <t>NGL-3</t>
  </si>
  <si>
    <t>(g)</t>
  </si>
  <si>
    <t xml:space="preserve">Original Cost: </t>
  </si>
  <si>
    <t>(h)</t>
  </si>
  <si>
    <t>Accumulated Depreciation</t>
  </si>
  <si>
    <t>(i)</t>
  </si>
  <si>
    <t>Location</t>
  </si>
  <si>
    <t>(j)</t>
  </si>
  <si>
    <t>Date of Purchase</t>
  </si>
  <si>
    <t>(k)</t>
  </si>
  <si>
    <t>Gain/(Loss) on Disposition of Property</t>
  </si>
  <si>
    <t>2.</t>
  </si>
  <si>
    <t>4.</t>
  </si>
  <si>
    <t>Net Gain for Amortization (421100 &amp; 421200)</t>
  </si>
  <si>
    <t xml:space="preserve">Jurisdictional allocators:  </t>
  </si>
  <si>
    <t>1 (Production/Transmission Ratio)</t>
  </si>
  <si>
    <t>4 (Jurisdictional 4-Factor)</t>
  </si>
  <si>
    <t>7 CD.AA</t>
  </si>
  <si>
    <t>Non-utiltiy property West of Boulder Substation, no future use planned.</t>
  </si>
  <si>
    <t>9 CD.WA</t>
  </si>
  <si>
    <t>6.</t>
  </si>
  <si>
    <t>Amortize 6.30.23 - WA E</t>
  </si>
  <si>
    <t>7.</t>
  </si>
  <si>
    <t>5.</t>
  </si>
  <si>
    <t>8.</t>
  </si>
  <si>
    <t>9.</t>
  </si>
  <si>
    <t>Amortize 6.30.23 - WA G</t>
  </si>
  <si>
    <t>10.</t>
  </si>
  <si>
    <t>reconciled to gain/loss on GL</t>
  </si>
  <si>
    <t>There have been no property sales as of June 30, 2023</t>
  </si>
  <si>
    <t>Decoupling Conversion Factor</t>
  </si>
  <si>
    <t>GTI Exp Rate</t>
  </si>
  <si>
    <t>Gas Cost Exp</t>
  </si>
  <si>
    <t>Gas Cost Rev</t>
  </si>
  <si>
    <t># of Bills</t>
  </si>
  <si>
    <t>Block 5</t>
  </si>
  <si>
    <t>Block 4</t>
  </si>
  <si>
    <t>Block 3</t>
  </si>
  <si>
    <t>Block 2</t>
  </si>
  <si>
    <t>Block 1</t>
  </si>
  <si>
    <t>WA Schedule 111</t>
  </si>
  <si>
    <t>WS Usage</t>
  </si>
  <si>
    <t>Baseload Usage</t>
  </si>
  <si>
    <t>22 GRC Block Usage, Bills, &amp; Baseload</t>
  </si>
  <si>
    <t>WA Schedule 101</t>
  </si>
  <si>
    <t>150 Exp WA 111</t>
  </si>
  <si>
    <t xml:space="preserve">150 Exp WA 101 </t>
  </si>
  <si>
    <t>Effective WACOG by Month</t>
  </si>
  <si>
    <t>WA 111</t>
  </si>
  <si>
    <t>WA 101</t>
  </si>
  <si>
    <t>Decoupled Revenue</t>
  </si>
  <si>
    <t>WA 111 + 150</t>
  </si>
  <si>
    <t>WA 101 + 150</t>
  </si>
  <si>
    <t>WS weighted block effective rate by month (excluding non base revenue adder schedules)</t>
  </si>
  <si>
    <t>Weighted Block Rate Calculation</t>
  </si>
  <si>
    <t>GTI Gas Expense Adjustment</t>
  </si>
  <si>
    <t xml:space="preserve">    Total Gas Cost Adjustment</t>
  </si>
  <si>
    <t>Weather Adjustment Gas Cost Expense</t>
  </si>
  <si>
    <t xml:space="preserve">     Total WA</t>
  </si>
  <si>
    <t>Revenue not captured in Decoupling</t>
  </si>
  <si>
    <t>Decoupling Adjustment</t>
  </si>
  <si>
    <t>Revenue Related Expenses</t>
  </si>
  <si>
    <t>Decoupling Revenue Offset</t>
  </si>
  <si>
    <t xml:space="preserve">    Total Revenue Adjustment</t>
  </si>
  <si>
    <t>Weather Adjustment Revenue</t>
  </si>
  <si>
    <t>Summarize by Schedule</t>
  </si>
  <si>
    <t>Natural Gas Weather Adjustment Calculation</t>
  </si>
  <si>
    <t>Washington 2024 General Rate Case</t>
  </si>
  <si>
    <t>Immaterial adjustments</t>
  </si>
  <si>
    <t>Net change due to change in conversion factor</t>
  </si>
  <si>
    <t>Income Tax @ 21%</t>
  </si>
  <si>
    <t>Difference casued by change in conversion factor</t>
  </si>
  <si>
    <t>Revenue</t>
  </si>
  <si>
    <t>Difference</t>
  </si>
  <si>
    <t>Conversion Factor used in monthly Sch 176/178 Entry</t>
  </si>
  <si>
    <t>Current Conversion Factor</t>
  </si>
  <si>
    <t>Sch 176/178 Conversion Factor Adj Support - Do Not Print</t>
  </si>
  <si>
    <t>Deferred FIT Amortization</t>
  </si>
  <si>
    <t>FIT @ 21%</t>
  </si>
  <si>
    <t>000's</t>
  </si>
  <si>
    <t>Eliminate Adder Schedules and Consolidate Gas Costs Adjustment</t>
  </si>
  <si>
    <t>Total Adder Schedule Amounts</t>
  </si>
  <si>
    <t>Eliminate Contra Decoupling Deferral</t>
  </si>
  <si>
    <t>Schedule 195 Optional Renewable</t>
  </si>
  <si>
    <t>Schedule 189/191/192 Public Purpose Tariff Riders</t>
  </si>
  <si>
    <t>Schedule 178
Tax Credits</t>
  </si>
  <si>
    <t>Schedule 176
AFUDC Portion</t>
  </si>
  <si>
    <t>Schedule 176
Tax Credit Portion</t>
  </si>
  <si>
    <t>Schedule 175
Decoupling Rebate / Surcharge</t>
  </si>
  <si>
    <t>Schedule 155 Prior PGA Amortization</t>
  </si>
  <si>
    <t>Gas Costs in Results of Operations</t>
  </si>
  <si>
    <t>Consolidate Gas Costs</t>
  </si>
  <si>
    <t>Schedule 150 Purchased Gas Costs</t>
  </si>
  <si>
    <t>Line No.</t>
  </si>
  <si>
    <t>Washington Natural Gas</t>
  </si>
  <si>
    <t>Adder Schedule Amounts Embedded in Results of Operations</t>
  </si>
  <si>
    <t>Eliminate Adder Schedules</t>
  </si>
  <si>
    <t>12ME 202306</t>
  </si>
  <si>
    <t>AMORT UNBILLED DSM TARIFF RIDE</t>
  </si>
  <si>
    <t>AMORT UNBILLED ADD-ONS</t>
  </si>
  <si>
    <t>Transaction Desc Long</t>
  </si>
  <si>
    <t>908690</t>
  </si>
  <si>
    <t>253990</t>
  </si>
  <si>
    <t>Journal Selection:&lt;All&gt;</t>
  </si>
  <si>
    <t>Source Id:GL</t>
  </si>
  <si>
    <t>Do not print</t>
  </si>
  <si>
    <t>Transaction Analysis  Selection: Accounting Period : 12ME 202306 , Journal Selection : DJ 468</t>
  </si>
  <si>
    <t>Gas Cost deferrals and amortizations are based on calendar usage, do not require unbilled add-on entries</t>
  </si>
  <si>
    <t>Check unbilled add-on journal to be sure captured all unbilled add-on sub accounts</t>
  </si>
  <si>
    <t>YTD Schedule 176/178 Calendar Revenue</t>
  </si>
  <si>
    <t>Unbilled Journal Entry Backup/DJ119</t>
  </si>
  <si>
    <t>Schedule 178 Unbilled Reveneue (6/30/23)</t>
  </si>
  <si>
    <t>Revenue Report (Cognos Bill Determ 12 ME Report)</t>
  </si>
  <si>
    <t>Schedule 178 Billed Revenue</t>
  </si>
  <si>
    <t>Unbilled Journal Entry Backup/DJ124</t>
  </si>
  <si>
    <t>Schedule 176 AFUDC Unbilled Reveneue (6/30/23)</t>
  </si>
  <si>
    <t>Schedule 176 TCC Unbilled Reveneue (6/30/23)</t>
  </si>
  <si>
    <t>Schedule 176 AFUDC Unbilled Reversal from Jun 2022</t>
  </si>
  <si>
    <t>Schedule 176 TCC Unbilled Reversal from Jun 2022</t>
  </si>
  <si>
    <t>Schedule 176 Billed Revenue</t>
  </si>
  <si>
    <t>Total Schedule 195</t>
  </si>
  <si>
    <t>Rate Schedule Num</t>
  </si>
  <si>
    <t>Service:Natural Gas</t>
  </si>
  <si>
    <t>State Cde:WA</t>
  </si>
  <si>
    <t>Revenue Class:&lt;All&gt;</t>
  </si>
  <si>
    <t>Billed Revenue Report by Location Twelve Months Ended for Report Date : '6/30/2023'</t>
  </si>
  <si>
    <t>Net Gas Costs Recovered in Rates</t>
  </si>
  <si>
    <t>Total Expense</t>
  </si>
  <si>
    <t>G-OPS-12A page 1</t>
  </si>
  <si>
    <t>Gas Used For Products Extraction</t>
  </si>
  <si>
    <t>808xxx</t>
  </si>
  <si>
    <t>Amortization of Recoverable Gas Costs</t>
  </si>
  <si>
    <t>less: 805110</t>
  </si>
  <si>
    <t xml:space="preserve">G-OPS-12A page 1 </t>
  </si>
  <si>
    <t>Total Revenue</t>
  </si>
  <si>
    <t xml:space="preserve">G-495-12A </t>
  </si>
  <si>
    <t>Deferred Exchange</t>
  </si>
  <si>
    <t>Sales For Resale</t>
  </si>
  <si>
    <t>483xxx</t>
  </si>
  <si>
    <t>Current Gas Costs included in PGA</t>
  </si>
  <si>
    <t>Sch 175 Amortization Non-Residential Decoupling, calendar</t>
  </si>
  <si>
    <t>AMORTIZE NON-RES DECOUPLING</t>
  </si>
  <si>
    <t>Sch 175 Amortization Residential Decoupling, calendar</t>
  </si>
  <si>
    <t>AMORTIZE RES DECOUPLING</t>
  </si>
  <si>
    <t>reduction to decoupling deferred revenues for SEC reporting only, eliminate for CB</t>
  </si>
  <si>
    <t>CONTRA DECOUPLING DEFFERAL</t>
  </si>
  <si>
    <t>Schedule 189/191/192 revenue offset, unbilled (Public Purpose Rider)</t>
  </si>
  <si>
    <t>Schedule 189/191/192 revenue offset, billed (Public Purpose Rider)</t>
  </si>
  <si>
    <t>CUST SVC &amp; INFO EXP</t>
  </si>
  <si>
    <t>908600</t>
  </si>
  <si>
    <t>Schedule 155 amortization of prior gas costs, calendar</t>
  </si>
  <si>
    <t>AMORTIZE RECOVERABLE GAS COSTS</t>
  </si>
  <si>
    <t>805110</t>
  </si>
  <si>
    <t>Schedule 178 Tax Cust Credit</t>
  </si>
  <si>
    <t>DFIT EXP - TAX CUST CREDIT AMO</t>
  </si>
  <si>
    <t>Schedule 176 amortization, calendar (Reg Credit - Amortization AFUDC Equity Tax Deferral)</t>
  </si>
  <si>
    <t>AFUDC EQUITY TAX DEFERRAL AMORT</t>
  </si>
  <si>
    <t>Schedule 195 Optional Renewable Natural Gas (similar to buck a block on E side)</t>
  </si>
  <si>
    <t>VOLUNTARY RNG REVENUE OFFSET</t>
  </si>
  <si>
    <t>Ferc Acct Desc</t>
  </si>
  <si>
    <t>Source Id:&lt;All&gt;</t>
  </si>
  <si>
    <t>Selected Accounts</t>
  </si>
  <si>
    <t>202207 through 202306</t>
  </si>
  <si>
    <t>Accounting Periods :</t>
  </si>
  <si>
    <t>Query Name:  V2 Transactions_by_FERC_GL_Detail</t>
  </si>
  <si>
    <t>Reflects the remaining balance in 254319 ED WA (Per Oct 2022 DJ119)</t>
  </si>
  <si>
    <t>Total Sch 76 (Non AFUDC) for DFIT Amtz</t>
  </si>
  <si>
    <t>Net Monthly Tariff Rev</t>
  </si>
  <si>
    <t>Rev Related Exp Factor</t>
  </si>
  <si>
    <t>Calendar Revenue</t>
  </si>
  <si>
    <t>Unbilled - 
DJ468 Support (Rider 76)</t>
  </si>
  <si>
    <t>Unbilled Reversal</t>
  </si>
  <si>
    <t>Billed Rev - Rider 76 AFUDC Cognos</t>
  </si>
  <si>
    <t>DJ124</t>
  </si>
  <si>
    <t>Net DFIT Amtz</t>
  </si>
  <si>
    <t>Reflects the remaining balance in 254319 GD WA (Per Oct 2022 DJ119)</t>
  </si>
  <si>
    <t>Total Sch 78 for DFIT Amtz</t>
  </si>
  <si>
    <t>AFUDC Sch 76 X RCF</t>
  </si>
  <si>
    <t>AFUDC Sch 76</t>
  </si>
  <si>
    <t>Unbilled - 
DJ468 Support (Rider 78)</t>
  </si>
  <si>
    <t>Billed Rev - Rider 78 Cognos</t>
  </si>
  <si>
    <t>Billed Rev - Rider 76 Cognos</t>
  </si>
  <si>
    <t>DJ1119</t>
  </si>
  <si>
    <t>Total Sch 178 for DFIT Amtz</t>
  </si>
  <si>
    <t>AFUDC Sch 176 X RCF</t>
  </si>
  <si>
    <t>AFUDC Sch 176</t>
  </si>
  <si>
    <t>Total Sch 176 (Non AFUDC) for DFIT Amtz</t>
  </si>
  <si>
    <t>Unbilled - DJ 468 Support (Rider 178)</t>
  </si>
  <si>
    <t>Unbilled - DJ 468 Support (Rider 176)</t>
  </si>
  <si>
    <t>Billed Rev - Rider 178 Cognos</t>
  </si>
  <si>
    <t>Billed Rev - Rider 176 Cognos</t>
  </si>
  <si>
    <t>CONTRA DECOUPLING DEFERRAL</t>
  </si>
  <si>
    <t>456311</t>
  </si>
  <si>
    <t>DEF POWER SUPPLY EXP-REC AMORT</t>
  </si>
  <si>
    <t>557324</t>
  </si>
  <si>
    <t>WA ERM AMORTIZATION</t>
  </si>
  <si>
    <t>557290</t>
  </si>
  <si>
    <t>557161</t>
  </si>
  <si>
    <t>AMORT SCH 59 BPA RES EXCH CRED</t>
  </si>
  <si>
    <t>407499</t>
  </si>
  <si>
    <t>AMORT SCH 98 REC REV</t>
  </si>
  <si>
    <t>407494</t>
  </si>
  <si>
    <t>AMORT BPA RX</t>
  </si>
  <si>
    <t>407450</t>
  </si>
  <si>
    <t>AMORT - WILDFIRE RESILIENCY DE</t>
  </si>
  <si>
    <t>OPTIONAL RENEWABLE POWER REV O</t>
  </si>
  <si>
    <t>407395</t>
  </si>
  <si>
    <t>AMORTIZATION NON-RES DECOUPLIN</t>
  </si>
  <si>
    <t>495339</t>
  </si>
  <si>
    <t>AMORTIZATION RES DECOUPLING DE</t>
  </si>
  <si>
    <t>495329</t>
  </si>
  <si>
    <t>495311</t>
  </si>
  <si>
    <t>456339</t>
  </si>
  <si>
    <t>456329</t>
  </si>
  <si>
    <t>411193</t>
  </si>
  <si>
    <t>AFUDC EQUITY TAX DEFERRAL AMOR</t>
  </si>
  <si>
    <t>407344</t>
  </si>
  <si>
    <t>6 ME 202212</t>
  </si>
  <si>
    <t>(All)</t>
  </si>
  <si>
    <t>Journal Name</t>
  </si>
  <si>
    <t>Miscellaneous Restating Adjustments</t>
  </si>
  <si>
    <t>Board of Director Fees</t>
  </si>
  <si>
    <t>Board of Director Meeting Costs</t>
  </si>
  <si>
    <t>Non-Utility Removals</t>
  </si>
  <si>
    <t>Reclassifications</t>
  </si>
  <si>
    <t>LTIP</t>
  </si>
  <si>
    <t>Plane Reclassification</t>
  </si>
  <si>
    <t>D&amp;O Insurance</t>
  </si>
  <si>
    <t>Category</t>
  </si>
  <si>
    <t>A&amp;G</t>
  </si>
  <si>
    <t xml:space="preserve">Gas </t>
  </si>
  <si>
    <t>Misc. Restating Adjustments:</t>
  </si>
  <si>
    <t>BOD Meeting Expenses @ 50% Utility / 50% Non-utility</t>
  </si>
  <si>
    <t>E-MR-1</t>
  </si>
  <si>
    <t>G-MR-1</t>
  </si>
  <si>
    <t>Plane Reclassifications</t>
  </si>
  <si>
    <t xml:space="preserve">Total Misc. Restating Adjustments </t>
  </si>
  <si>
    <t>Revenues:</t>
  </si>
  <si>
    <t>Total Misc. Restating Adjustments -Revenues</t>
  </si>
  <si>
    <t>MR-BOD-3</t>
  </si>
  <si>
    <t>MR-BOD-1</t>
  </si>
  <si>
    <t>MR-NU-1</t>
  </si>
  <si>
    <t>MR-RC-1</t>
  </si>
  <si>
    <t>MR-LTIP</t>
  </si>
  <si>
    <t>MR-PR-1</t>
  </si>
  <si>
    <t>MR-DO-1</t>
  </si>
  <si>
    <t xml:space="preserve">Production </t>
  </si>
  <si>
    <t>Dist Op Exp</t>
  </si>
  <si>
    <t>Cust Accts</t>
  </si>
  <si>
    <t>Cust Ser &amp; Info</t>
  </si>
  <si>
    <t>WA - GAS</t>
  </si>
  <si>
    <t>2017-2022 Incentive Compensation by Employee Group</t>
  </si>
  <si>
    <t>Data Source: Financial Reporting</t>
  </si>
  <si>
    <t>Non-Executive</t>
  </si>
  <si>
    <t>Target and Incentive for Plan Year</t>
  </si>
  <si>
    <t>Data Updated Daily</t>
  </si>
  <si>
    <t>*excludes payroll tax</t>
  </si>
  <si>
    <t>Actual</t>
  </si>
  <si>
    <t>Executive Officer Incentive Accrual</t>
  </si>
  <si>
    <t>CAP</t>
  </si>
  <si>
    <t>NONE</t>
  </si>
  <si>
    <t>NONOP</t>
  </si>
  <si>
    <t>OPER</t>
  </si>
  <si>
    <t>Six Year Average</t>
  </si>
  <si>
    <t>12 ME 06.2023 Expense</t>
  </si>
  <si>
    <t>O &amp; M Adjustment</t>
  </si>
  <si>
    <t>Target</t>
  </si>
  <si>
    <t>Project Number</t>
  </si>
  <si>
    <t>09905034</t>
  </si>
  <si>
    <t>77705021</t>
  </si>
  <si>
    <t>512 Incentive Loading-NU</t>
  </si>
  <si>
    <t>FERC Number</t>
  </si>
  <si>
    <t>920000</t>
  </si>
  <si>
    <t>417100</t>
  </si>
  <si>
    <t>514 Incentive Loading-Union</t>
  </si>
  <si>
    <t>Report Category</t>
  </si>
  <si>
    <t>Executive</t>
  </si>
  <si>
    <t>Total Adjustment</t>
  </si>
  <si>
    <t>Total Target</t>
  </si>
  <si>
    <t>Total Actual</t>
  </si>
  <si>
    <t>GL Entry - EPS Adjustment (June 2023)</t>
  </si>
  <si>
    <t>(note 7, 4)</t>
  </si>
  <si>
    <t>(A-2)</t>
  </si>
  <si>
    <t>Use of 6-Year average of actual expense Consistent with methodology approved by the Commission in UE-170485/UG-170486.</t>
  </si>
  <si>
    <r>
      <t xml:space="preserve">Notes: In Dockets UE-170485/UG-170486 Staff proposed the </t>
    </r>
    <r>
      <rPr>
        <u/>
        <sz val="11"/>
        <color theme="1"/>
        <rFont val="Calibri"/>
        <family val="2"/>
        <scheme val="minor"/>
      </rPr>
      <t xml:space="preserve">Company use a 6 year average of actual expense as the  basis for the incentive adjustment. </t>
    </r>
  </si>
  <si>
    <t>On rebuttal the Company accepted this adjustment. The Commission approved this methodology in Order 07.</t>
  </si>
  <si>
    <t>Adjustments Posted During the Year</t>
  </si>
  <si>
    <t>GL Entry - New Execs True Up (September 2022)</t>
  </si>
  <si>
    <t>GL Entry - CPC True Up (October 2022)</t>
  </si>
  <si>
    <t>GL Entry - Year End True Up (December 2022)</t>
  </si>
  <si>
    <t>GL Entry - Discretionary Incentive (December 2022)</t>
  </si>
  <si>
    <t>GL Entry - Quarter End True Up (March 2023)</t>
  </si>
  <si>
    <t>GL Entry - Quarter End True Up (June 2023)</t>
  </si>
  <si>
    <t>Add Executive</t>
  </si>
  <si>
    <t>2022 Incentive Accrued (Jan-June)</t>
  </si>
  <si>
    <t>2022 Incentive Paid/True Ups</t>
  </si>
  <si>
    <t>2023 Other Incentives Accrued</t>
  </si>
  <si>
    <t>Balance at 6/30/2023</t>
  </si>
  <si>
    <t xml:space="preserve">   Net Rate Base</t>
  </si>
  <si>
    <t>G -ProForma</t>
  </si>
  <si>
    <t>ADFIT Activity PIS</t>
  </si>
  <si>
    <t>ADFIT Activity PIS *</t>
  </si>
  <si>
    <t>3) ADFIT-06.2023 EOP</t>
  </si>
  <si>
    <t>1) ADFIT-06.2023 AMA</t>
  </si>
  <si>
    <t>Total Accumulated DFIT</t>
  </si>
  <si>
    <t>U/G Storage</t>
  </si>
  <si>
    <t>Accumulated DFIT</t>
  </si>
  <si>
    <t>G-Retirements</t>
  </si>
  <si>
    <t>EP.1</t>
  </si>
  <si>
    <t>Total Accumulated Depreciation</t>
  </si>
  <si>
    <t xml:space="preserve">Accumulated Depreciation </t>
  </si>
  <si>
    <t>Total Plant Cost</t>
  </si>
  <si>
    <t xml:space="preserve">*Old value excluding correction included in natural gas revenue requirement model, which was finalized prior to error. Amount will be corrected during pendency of the case. </t>
  </si>
  <si>
    <t>Plant Cost</t>
  </si>
  <si>
    <t xml:space="preserve">   Net Operating Income</t>
  </si>
  <si>
    <t>FIT Benefit of Depreciation/Amortization</t>
  </si>
  <si>
    <t>Depr Exp</t>
  </si>
  <si>
    <t>Rsrv Adj Amrt</t>
  </si>
  <si>
    <t>Total  Depreciation Expense</t>
  </si>
  <si>
    <t>Depreciation/Amortization Expense</t>
  </si>
  <si>
    <t>Plant Additions</t>
  </si>
  <si>
    <t>Plant Retirements</t>
  </si>
  <si>
    <t>12.31.2026</t>
  </si>
  <si>
    <t xml:space="preserve">Existing Plant </t>
  </si>
  <si>
    <t>12.31.2025</t>
  </si>
  <si>
    <t>12.31.2024</t>
  </si>
  <si>
    <t>Plant Depreciation Adjustment</t>
  </si>
  <si>
    <t>Reserve Adjustment Amortization</t>
  </si>
  <si>
    <t>12.31.2023</t>
  </si>
  <si>
    <t xml:space="preserve">Plant Depreciation </t>
  </si>
  <si>
    <t>06.30.2023</t>
  </si>
  <si>
    <t>AMA BALANCE</t>
  </si>
  <si>
    <t>2026 AMA</t>
  </si>
  <si>
    <t>06.2023</t>
  </si>
  <si>
    <t>2025 AMA</t>
  </si>
  <si>
    <t>EOP BALANCE</t>
  </si>
  <si>
    <t>2024 EOP</t>
  </si>
  <si>
    <t>2023 EOP</t>
  </si>
  <si>
    <t xml:space="preserve">EOP </t>
  </si>
  <si>
    <t>Workpaper Reference - Exhibit No.__(EMA - 4)</t>
  </si>
  <si>
    <t>Adjustment Number- Exhibit No_(EMA-4)</t>
  </si>
  <si>
    <t>RECONCILIATION</t>
  </si>
  <si>
    <t>12.2026 AMA ADJUSTMENT</t>
  </si>
  <si>
    <t>12.2025 AMA ADJUSTMENT</t>
  </si>
  <si>
    <t>12.2024 EOP ADJUSTMENT</t>
  </si>
  <si>
    <t>Depreciation Study</t>
  </si>
  <si>
    <t>12.2023 EOP ADJUSTMENT</t>
  </si>
  <si>
    <t>06.2023 EOP Adjustment</t>
  </si>
  <si>
    <t>Corrected formula error in tab G-ProForma, Cell BS31 after completion of Company's revenue requirement. Correction flows through Cell AI26 on G-CAP SUMMARY tab and increases natural gas rate base by approximately $489,000 and revenue requirement by $46,000.</t>
  </si>
  <si>
    <t>Plant Additions in 000's</t>
  </si>
  <si>
    <t>Federal Tax Rate</t>
  </si>
  <si>
    <t>Natural Gas Plant Capital Additions Summary</t>
  </si>
  <si>
    <t>See Exh. TCB-2 for details (summary only shown below).</t>
  </si>
  <si>
    <t>Rev related exp.</t>
  </si>
  <si>
    <t>"Total Transp Rev" for COS</t>
  </si>
  <si>
    <t>Conver. Factor b4 FIT</t>
  </si>
  <si>
    <t>** includes Special Contract revenue (Sch 148); moved to "Other Revenue" in Cost of Service</t>
  </si>
  <si>
    <t>* zero in Pro-forma revenues</t>
  </si>
  <si>
    <t>Net Operating Income</t>
  </si>
  <si>
    <t>Nominal Rate</t>
  </si>
  <si>
    <t>Commission Fees</t>
  </si>
  <si>
    <t>Effective Rate</t>
  </si>
  <si>
    <t>Uncollectibles</t>
  </si>
  <si>
    <t>State Excise Tax</t>
  </si>
  <si>
    <t>G-PREV-2</t>
  </si>
  <si>
    <t>GTI Funding 813</t>
  </si>
  <si>
    <t>Gas Purchases</t>
  </si>
  <si>
    <t>Total Revenue Adjustment</t>
  </si>
  <si>
    <t>Decoupling Deferred Revenue</t>
  </si>
  <si>
    <t>Provision For Rate Refund - Tax Reform</t>
  </si>
  <si>
    <t>Elim Decoupling Earnings Sharing in Test Period</t>
  </si>
  <si>
    <t>Provision For Rate Refund - Decoupling</t>
  </si>
  <si>
    <t>Calc</t>
  </si>
  <si>
    <t>Tariffed Sales</t>
  </si>
  <si>
    <t>Transportation For Others**</t>
  </si>
  <si>
    <t>Unbilled Revenue Transportation *</t>
  </si>
  <si>
    <t>G-PREV-5</t>
  </si>
  <si>
    <t>Base Revenue, Transportation</t>
  </si>
  <si>
    <t>Sales to Ultimate Consumers / Genl Bus. Rev</t>
  </si>
  <si>
    <t>Weather Normalization</t>
  </si>
  <si>
    <t>Gas Cost Revenue</t>
  </si>
  <si>
    <t xml:space="preserve">Base Revenue </t>
  </si>
  <si>
    <t>WP Source</t>
  </si>
  <si>
    <t>Norm. Adj.</t>
  </si>
  <si>
    <t>Adjust</t>
  </si>
  <si>
    <t>Pro-Forma</t>
  </si>
  <si>
    <t>CB Restated</t>
  </si>
  <si>
    <t>Rates Effective December 21, 2023</t>
  </si>
  <si>
    <t>WA Gas Normalized Revenue -- 12 months ended June 30, 2023</t>
  </si>
  <si>
    <t>Rate Revenue</t>
  </si>
  <si>
    <t>WSU capital payments charge</t>
  </si>
  <si>
    <t>Schedule 148</t>
  </si>
  <si>
    <t>Schedule 147</t>
  </si>
  <si>
    <t>Schedule 146</t>
  </si>
  <si>
    <t>Schedule 132</t>
  </si>
  <si>
    <t>Schedule 131</t>
  </si>
  <si>
    <t>Schedule 122</t>
  </si>
  <si>
    <t>Schedule 121</t>
  </si>
  <si>
    <t>Schedule 112</t>
  </si>
  <si>
    <t>Schedule 111</t>
  </si>
  <si>
    <t>Schedule 101</t>
  </si>
  <si>
    <t>Includes Adjustment Schedules 150, 155, and 191</t>
  </si>
  <si>
    <t>addback Comm/Ind refund (net of tax)</t>
  </si>
  <si>
    <t>Exclude Sch 158 B&amp;O Taxes</t>
  </si>
  <si>
    <t>plus: Revenue Recorded by Journal (WSU capital pmts)</t>
  </si>
  <si>
    <t>less: Misc Service Revenues</t>
  </si>
  <si>
    <t>Revenue Run Total Washington</t>
  </si>
  <si>
    <t>Sales for Resale Revenue</t>
  </si>
  <si>
    <t>Misc Service Revenues</t>
  </si>
  <si>
    <t>less:</t>
  </si>
  <si>
    <t>Total Gas Revenues, WA (Direct + Allocated)</t>
  </si>
  <si>
    <t>WASH</t>
  </si>
  <si>
    <t>* Transportation Unbilled Revenue is included in Sales to Ultimate Consumers per Results of Operations</t>
  </si>
  <si>
    <t>EAS</t>
  </si>
  <si>
    <t>DFIT Amortization</t>
  </si>
  <si>
    <t>Less Income Tax (related to EAS - Schedules 176 &amp; 178)</t>
  </si>
  <si>
    <t>Net Revenue Less Gas Costs</t>
  </si>
  <si>
    <t>Expense Gross Up Factor</t>
  </si>
  <si>
    <t xml:space="preserve">    Total Expenses</t>
  </si>
  <si>
    <t>CF</t>
  </si>
  <si>
    <t>2015 Remand Amortization</t>
  </si>
  <si>
    <t>Optional Renewable - Sch 195</t>
  </si>
  <si>
    <t>AFUDC Portion - Sch 176</t>
  </si>
  <si>
    <t>Public Purpose Rider Unbilled</t>
  </si>
  <si>
    <t>Public Purpose Rider</t>
  </si>
  <si>
    <t>Product Extraction sales in PGA</t>
  </si>
  <si>
    <t>GTI Funding 813010</t>
  </si>
  <si>
    <t>Prior Period Gas Cost Amortization</t>
  </si>
  <si>
    <t>B&amp;O</t>
  </si>
  <si>
    <t>B&amp;O Tax</t>
  </si>
  <si>
    <t>Total Gas Revenue</t>
  </si>
  <si>
    <t xml:space="preserve">     Total Other Revenue</t>
  </si>
  <si>
    <t>Other Revenue - Miscellaneous</t>
  </si>
  <si>
    <t xml:space="preserve"> Decoupling Deferred Revenue is net of revenue related expenses that will be incurred upon amortization</t>
  </si>
  <si>
    <t>Other Revenue - Decoupling Deferred Revenue</t>
  </si>
  <si>
    <t>WN/EAS</t>
  </si>
  <si>
    <t>Other Revenue - Decoupling Amortization</t>
  </si>
  <si>
    <t>Provision for Rate Refund - Tax Reform</t>
  </si>
  <si>
    <t>Provision for Rate Refund - Decoupling</t>
  </si>
  <si>
    <t>B&amp;O Tax, Transportation</t>
  </si>
  <si>
    <t>ROO / Calc</t>
  </si>
  <si>
    <t>Public Purpose Rider - Sch 189/191/192</t>
  </si>
  <si>
    <t>Decoupling Amortization - Sch 175</t>
  </si>
  <si>
    <t>2015 Remand Refund - Sch 194</t>
  </si>
  <si>
    <t>Tax Credits - Sch 178</t>
  </si>
  <si>
    <t>Tax Credit Portion - Sch 176</t>
  </si>
  <si>
    <t>B&amp;O Tax - Sch 158</t>
  </si>
  <si>
    <t>Gas Rate Adjustment - Sch 155</t>
  </si>
  <si>
    <t xml:space="preserve"> Weather Normalization adjustment excluded base rate revenue captured in the Decoupling deferred revenue (mechanism began January 2015)</t>
  </si>
  <si>
    <t>WN</t>
  </si>
  <si>
    <t>Gas Cost Revenue - Sch 150</t>
  </si>
  <si>
    <t xml:space="preserve">Base Rate Revenue </t>
  </si>
  <si>
    <t>and Gas Cost</t>
  </si>
  <si>
    <t>Base Revenue</t>
  </si>
  <si>
    <t>Adder Sched</t>
  </si>
  <si>
    <t>Normalization</t>
  </si>
  <si>
    <t>B&amp;O Taxes</t>
  </si>
  <si>
    <t>Actuals</t>
  </si>
  <si>
    <t>Normalized CB</t>
  </si>
  <si>
    <t>Weather</t>
  </si>
  <si>
    <t>$000's</t>
  </si>
  <si>
    <t>WA Gas Normalized Revenue --12 months ended June 30, 2023</t>
  </si>
  <si>
    <t>(1) Base load per bill for Schedule 111 is shown on workpaper JDM-G-18 multiplied by total billings from JDM-G-1, or</t>
  </si>
  <si>
    <t>AVERAGE RATE</t>
  </si>
  <si>
    <t>OVER 25,000 THERMS</t>
  </si>
  <si>
    <t>10,001-25,000 THERMS</t>
  </si>
  <si>
    <t>1001-10,000 THERMS</t>
  </si>
  <si>
    <t>201-1,000 THERMS</t>
  </si>
  <si>
    <t>0-200 THERMS</t>
  </si>
  <si>
    <t>SCHEDULE 111</t>
  </si>
  <si>
    <t>PROPOSED BASELOAD AND WEATHER-SENSITIVE RATE</t>
  </si>
  <si>
    <t>PRESENT BASELOAD AND WEATHER-SENSITIVE RATE</t>
  </si>
  <si>
    <t>(1) Base load per bill for Schedule 101 is shown on workpaper JDM-G-18 multiplied by total billings from JDM-G-1, or</t>
  </si>
  <si>
    <t>OVER 70 THERMS</t>
  </si>
  <si>
    <t>0-70 THERMS</t>
  </si>
  <si>
    <t>SCHEDULE 101</t>
  </si>
  <si>
    <t>REVENUE</t>
  </si>
  <si>
    <t>THERMS</t>
  </si>
  <si>
    <t>THERMS(1)</t>
  </si>
  <si>
    <t>RATES</t>
  </si>
  <si>
    <t>REFERENCE</t>
  </si>
  <si>
    <t>WTHR-SENS.</t>
  </si>
  <si>
    <t>BASE LOAD</t>
  </si>
  <si>
    <t>WORK PAPER</t>
  </si>
  <si>
    <t>PERCENT REVENUE INCREASE</t>
  </si>
  <si>
    <t>TOTAL INCREASED REVENUE</t>
  </si>
  <si>
    <t>TOTAL PRESENT REVENUE</t>
  </si>
  <si>
    <t>TOTAL PROPOSED REVENUE</t>
  </si>
  <si>
    <t>TOTAL ADJUSTMENT REVENUE</t>
  </si>
  <si>
    <t>OTHER ADJUSTMENTS</t>
  </si>
  <si>
    <t>WEATHER-SENSITIVE REVENUE</t>
  </si>
  <si>
    <t>WEATHER-SENSITIVE RATE</t>
  </si>
  <si>
    <t>WEATHER-SENSITIVE THERMS</t>
  </si>
  <si>
    <t>WEATHER NORMALIZATION ADJ</t>
  </si>
  <si>
    <t>TOTAL UNBILLED REVENUE ADJ</t>
  </si>
  <si>
    <t>TOTAL UNBILLED THERM ADJ</t>
  </si>
  <si>
    <t>BASE LOAD REVENUE</t>
  </si>
  <si>
    <t>BASE LOAD RATE</t>
  </si>
  <si>
    <t>BASE LOAD THERMS</t>
  </si>
  <si>
    <t>UNBILLED REVENUE ADJUSTMENT</t>
  </si>
  <si>
    <t>ADJUSTMENT REVENUE</t>
  </si>
  <si>
    <t>ADJUST TO ACTUAL</t>
  </si>
  <si>
    <t>SUBTOTAL</t>
  </si>
  <si>
    <t>NET SHIFTING ADJUSTMENT</t>
  </si>
  <si>
    <t>ANNUAL MINIMUM</t>
  </si>
  <si>
    <t>BLOCK 5</t>
  </si>
  <si>
    <t>BLOCK 4</t>
  </si>
  <si>
    <t>BLOCK 3</t>
  </si>
  <si>
    <t>BLOCK 2</t>
  </si>
  <si>
    <t>BLOCK 1</t>
  </si>
  <si>
    <t>MONTHLY/ANNUAL MINIMUM</t>
  </si>
  <si>
    <t>BASIC CHARGE</t>
  </si>
  <si>
    <t>PROPOSED REVENUE</t>
  </si>
  <si>
    <t>ANN. MINIMUM</t>
  </si>
  <si>
    <t>SCHEDULE 148</t>
  </si>
  <si>
    <t>SCHEDULE 146</t>
  </si>
  <si>
    <t>SCHEDULE 131</t>
  </si>
  <si>
    <t>SCHEDULE 121</t>
  </si>
  <si>
    <t>SCH 148 - WSU</t>
  </si>
  <si>
    <t>TRANSPORT</t>
  </si>
  <si>
    <t>INTERRUPTIBLE</t>
  </si>
  <si>
    <t>EX LRG GEN SVC</t>
  </si>
  <si>
    <t>LRG GEN SVC</t>
  </si>
  <si>
    <t>GEN SERVICE</t>
  </si>
  <si>
    <t>UNBILLED LOAD REVENUE</t>
  </si>
  <si>
    <t>UNBILLED LOAD RATE</t>
  </si>
  <si>
    <t>UNBILLED LOAD THERMS</t>
  </si>
  <si>
    <t>PRESENT REVENUE</t>
  </si>
  <si>
    <t xml:space="preserve">(2) Monthly minimum / rate per therm </t>
  </si>
  <si>
    <t>Block 5 - Contract</t>
  </si>
  <si>
    <t>Block 4 - Contract</t>
  </si>
  <si>
    <t>Block 2 - Contract</t>
  </si>
  <si>
    <t>(1) Block 1 - Contract</t>
  </si>
  <si>
    <t>ADJUST TO ACTUAL PER THERM</t>
  </si>
  <si>
    <t>BLOCK 5 PER THERM</t>
  </si>
  <si>
    <t>BLOCK 4 PER THERM</t>
  </si>
  <si>
    <t>BLOCK 3 PER THERM</t>
  </si>
  <si>
    <t>BLOCK 2 PER THERM</t>
  </si>
  <si>
    <t>BLOCK 1 PER THERM</t>
  </si>
  <si>
    <t>MONTHLY MINIMUM</t>
  </si>
  <si>
    <t>PROPOSED RATES</t>
  </si>
  <si>
    <t>- range name where Proposed Rates table can be found</t>
  </si>
  <si>
    <t>- range name where Present Rates table can be found</t>
  </si>
  <si>
    <t>PRESENT RATES</t>
  </si>
  <si>
    <t>TOTAL MINIMUM BILLS</t>
  </si>
  <si>
    <t>TOTAL BILLS</t>
  </si>
  <si>
    <t>TOTAL PROFORMA THERMS</t>
  </si>
  <si>
    <t>WEATHER &amp; UNBILLED REV. ADJ.</t>
  </si>
  <si>
    <t>TOTAL BEFORE ADJUSTMENT</t>
  </si>
  <si>
    <t>ADJUSTMENT TO ACTUAL</t>
  </si>
  <si>
    <t>(UG-190334)</t>
  </si>
  <si>
    <t>Sch 121/122 disc</t>
  </si>
  <si>
    <t>PROPOSED BILL DETERMINANTS</t>
  </si>
  <si>
    <t>LOAD ADJUSTMENT</t>
  </si>
  <si>
    <t>BILLING</t>
  </si>
  <si>
    <t>2)</t>
  </si>
  <si>
    <t>or</t>
  </si>
  <si>
    <t>BASE TARIFF</t>
  </si>
  <si>
    <t>1)</t>
  </si>
  <si>
    <t>Calculate all revenue exhibits using  ____ rates:</t>
  </si>
  <si>
    <t>PRESENT BILL DETERMINANTS</t>
  </si>
  <si>
    <t>Print Header for all printed pages on this worksheet:</t>
  </si>
  <si>
    <t>SCH. 131&amp;132</t>
  </si>
  <si>
    <t>SCH. 121,122&amp;126</t>
  </si>
  <si>
    <t>SCH. 111,112&amp;116</t>
  </si>
  <si>
    <t>SCH. 101 &amp; 102</t>
  </si>
  <si>
    <t>Note: Rates exclude Sch. 150 (Purch. Gas Cost Adj.)</t>
  </si>
  <si>
    <t>BASE TARIFF REVENUE</t>
  </si>
  <si>
    <t>TOTAL BASE TARIFF REVENUE</t>
  </si>
  <si>
    <t>5 X 2,077,306 = 0</t>
  </si>
  <si>
    <t>516 X 41,579 = 0</t>
  </si>
  <si>
    <t>*Pension 926000 reversal included in PF Adj. 3.07, net to zero</t>
  </si>
  <si>
    <t>7) Regulatory Deferral - Pension Settlement Deferral</t>
  </si>
  <si>
    <t>6) Amortization Remand Residual</t>
  </si>
  <si>
    <t>5) Insurance Balancing</t>
  </si>
  <si>
    <t>4) Regulatory Deferral - Intervenor Funding</t>
  </si>
  <si>
    <t>3) Voluntary RNG Revenue Offset</t>
  </si>
  <si>
    <t>2) Amortization WA Excess Natural Gas Line Extension</t>
  </si>
  <si>
    <t>1) Tax Reform Amortization</t>
  </si>
  <si>
    <t>Remove non-recurring/expiring 407 Amortization/Deferral Expenses</t>
  </si>
  <si>
    <t>Pro Forma Expense</t>
  </si>
  <si>
    <t>Pro Forma Balance</t>
  </si>
  <si>
    <t>APL Reference</t>
  </si>
  <si>
    <t>Remove in PF Adj 3.02 Def Deb/Cred</t>
  </si>
  <si>
    <t xml:space="preserve">Reverse PF 3.02 Def Deb/Cred </t>
  </si>
  <si>
    <t>Uncollectible Adj</t>
  </si>
  <si>
    <t>Regulatory Fees - adjusted to appropriate level, reverses the deferral</t>
  </si>
  <si>
    <t>AMI Adj</t>
  </si>
  <si>
    <t>Removed in Rev. Adj</t>
  </si>
  <si>
    <t>Ignore - like depreciation</t>
  </si>
  <si>
    <t>Ref/Basis</t>
  </si>
  <si>
    <t>************** IDAHO ****************</t>
  </si>
  <si>
    <t>************ WASHINGTON ***********</t>
  </si>
  <si>
    <t>************** SYSTEM **************</t>
  </si>
  <si>
    <t>GAS OPERATING STATEMENT</t>
  </si>
  <si>
    <t>Report ID:</t>
  </si>
  <si>
    <t>RESULTS OF OPERATIONS</t>
  </si>
  <si>
    <t>G-OPS-12A</t>
  </si>
  <si>
    <t/>
  </si>
  <si>
    <t>For Twelve Months Ended June 30, 2023</t>
  </si>
  <si>
    <t>Forecasted Excess Deferreds</t>
  </si>
  <si>
    <t>Excess Deferred Income Tax</t>
  </si>
  <si>
    <t>2023-2025 Year - with Additions</t>
  </si>
  <si>
    <t>Add:</t>
  </si>
  <si>
    <t>For Periods Ending December 31, 2025 &amp; December 31, 2026</t>
  </si>
  <si>
    <t>RSGM</t>
  </si>
  <si>
    <t>Washington Electric</t>
  </si>
  <si>
    <t>Idaho Electric</t>
  </si>
  <si>
    <t>Idaho Gas</t>
  </si>
  <si>
    <t>Oregon Gas</t>
  </si>
  <si>
    <t>Jurisdiction Total</t>
  </si>
  <si>
    <t>Airplane</t>
  </si>
  <si>
    <t>Test Period Actuals: *</t>
  </si>
  <si>
    <t>Boulder Park</t>
  </si>
  <si>
    <t>Buildings</t>
  </si>
  <si>
    <t>Colstrip 3 - ID</t>
  </si>
  <si>
    <t>PF Rate Year 1 (2025)</t>
  </si>
  <si>
    <t>Colstrip 3 - WA</t>
  </si>
  <si>
    <t>Colstrip 4 - ID</t>
  </si>
  <si>
    <t>RY 1 ADJ</t>
  </si>
  <si>
    <t>Colstrip 4 - WA</t>
  </si>
  <si>
    <t>Colstrip Transmission - ID</t>
  </si>
  <si>
    <t>PF Rate Year 2 (2026)</t>
  </si>
  <si>
    <t>Colstrip Transmission - WA</t>
  </si>
  <si>
    <t>Computer Equipment</t>
  </si>
  <si>
    <t>RY 2 ADJ</t>
  </si>
  <si>
    <t>Coyote Springs 2</t>
  </si>
  <si>
    <t>Electric Dist - Eco District</t>
  </si>
  <si>
    <t>Electric Distribution</t>
  </si>
  <si>
    <t>*Source: Test Period actuals are from "Recon SCH Ms to DFIT Exp" tab, which is from Adj. 2.06 FIT &amp; DFIT Expense, workpaper "3) Reconcile 202306 SCH Ms to DFIT Expense"</t>
  </si>
  <si>
    <t>Gas Distribution</t>
  </si>
  <si>
    <t>GN</t>
  </si>
  <si>
    <t>Gen Transportation</t>
  </si>
  <si>
    <t>General Other</t>
  </si>
  <si>
    <t>Hydro Production</t>
  </si>
  <si>
    <t>Hydro Production Settlement</t>
  </si>
  <si>
    <t>Average Allocation Factor</t>
  </si>
  <si>
    <t>Intangible Plant</t>
  </si>
  <si>
    <t>Kettle Falls</t>
  </si>
  <si>
    <t>Kettle Falls CT</t>
  </si>
  <si>
    <t>Land</t>
  </si>
  <si>
    <t>Land - Future Use</t>
  </si>
  <si>
    <t>OR Distribution</t>
  </si>
  <si>
    <t>GS</t>
  </si>
  <si>
    <t>Other Production</t>
  </si>
  <si>
    <t>Rathdrum Turbine</t>
  </si>
  <si>
    <t>Sec 174 Research Costs</t>
  </si>
  <si>
    <t>Smart Meter - ED WA</t>
  </si>
  <si>
    <t>Smart Meter - GD WA</t>
  </si>
  <si>
    <t>Solar Production</t>
  </si>
  <si>
    <t>Term Software - CD AA</t>
  </si>
  <si>
    <t>Term Software - ED AN</t>
  </si>
  <si>
    <t>Term Software - GD AN</t>
  </si>
  <si>
    <t>SOURCE:  Report #215</t>
  </si>
  <si>
    <t>Allocations</t>
  </si>
  <si>
    <t xml:space="preserve">CD AA Four Factor </t>
  </si>
  <si>
    <t>Gas Oregon</t>
  </si>
  <si>
    <t>Allocated All</t>
  </si>
  <si>
    <t xml:space="preserve">     Total </t>
  </si>
  <si>
    <t>GAS-Oregon</t>
  </si>
  <si>
    <t>Utility - CD AA</t>
  </si>
  <si>
    <t>Diff</t>
  </si>
  <si>
    <t>Check figure</t>
  </si>
  <si>
    <t>2022-2023 Excess Deferred (EDIT) using RSGM</t>
  </si>
  <si>
    <t>AMI Adjustment Rate Year 1 (2025)</t>
  </si>
  <si>
    <t>WA E</t>
  </si>
  <si>
    <t>WA G</t>
  </si>
  <si>
    <t>Pro Formed Amounts from GRC</t>
  </si>
  <si>
    <t>Balance</t>
  </si>
  <si>
    <t>Balance AMA</t>
  </si>
  <si>
    <t>ADFIT</t>
  </si>
  <si>
    <t>ADFIT AMA</t>
  </si>
  <si>
    <t>Offsets</t>
  </si>
  <si>
    <t>2018 Meter Reading Costs Correction</t>
  </si>
  <si>
    <t>Regulatory Asset</t>
  </si>
  <si>
    <t>Test Period Balance 12ME 06.30.2023 AMA</t>
  </si>
  <si>
    <t xml:space="preserve">Cost Savings Expected to be Redeployed to Other Work and Not Result in a Direct Reduction in Revenue Requirement </t>
  </si>
  <si>
    <t>Reg Asset-Existing Meters/ERTS (FERC 182331)</t>
  </si>
  <si>
    <r>
      <t xml:space="preserve">2022 Benefits to Customers Not Redeployed             </t>
    </r>
    <r>
      <rPr>
        <b/>
        <sz val="11"/>
        <color rgb="FFFF0000"/>
        <rFont val="Calibri"/>
        <family val="2"/>
        <scheme val="minor"/>
      </rPr>
      <t>A</t>
    </r>
  </si>
  <si>
    <t>Reg Asset-Carrying Charge (FERC 182336)</t>
  </si>
  <si>
    <t>Reg Asset-Existing Meters/ERTS</t>
  </si>
  <si>
    <t>Reg Asset-Carrying Charge</t>
  </si>
  <si>
    <t>Reg Asset-Deferred Deprec Exp on AMI</t>
  </si>
  <si>
    <t>Reg Liability-Excess Deprec Collected-Existing Meters/ERTs</t>
  </si>
  <si>
    <t>Reg Asset-Existing Metes/ERTS</t>
  </si>
  <si>
    <r>
      <t xml:space="preserve">2023 Benefits to Customers Not Redeployed             </t>
    </r>
    <r>
      <rPr>
        <b/>
        <sz val="11"/>
        <color rgb="FFFF0000"/>
        <rFont val="Calibri"/>
        <family val="2"/>
        <scheme val="minor"/>
      </rPr>
      <t>B</t>
    </r>
  </si>
  <si>
    <t>Area of Benefit</t>
  </si>
  <si>
    <t>NPV</t>
  </si>
  <si>
    <t>Cash Value</t>
  </si>
  <si>
    <t>Reg Asset-Deferred Deprec Exp on AMI (FERC 182337)</t>
  </si>
  <si>
    <t xml:space="preserve">                       Adjust - Combined Reg Assets to AMA 2025</t>
  </si>
  <si>
    <t>Adjustment Rate Base</t>
  </si>
  <si>
    <t>Balance 9/30/2021</t>
  </si>
  <si>
    <t>Reg Liability-Excess Deprec Collected-Existing Meters/ERTs (FERC 254332)</t>
  </si>
  <si>
    <t xml:space="preserve">  Test Year Benefits to Customers Not Redeployed </t>
  </si>
  <si>
    <t>Meter Reading &amp; Meters</t>
  </si>
  <si>
    <t xml:space="preserve">   Regulatory Asset Total</t>
  </si>
  <si>
    <t>Balance 2025 AMA</t>
  </si>
  <si>
    <t>Eliminate Regular Meter Reading</t>
  </si>
  <si>
    <r>
      <t xml:space="preserve">2025 Benefits to Customers Not Redeployed             </t>
    </r>
    <r>
      <rPr>
        <b/>
        <sz val="11"/>
        <color rgb="FFFF0000"/>
        <rFont val="Calibri"/>
        <family val="2"/>
        <scheme val="minor"/>
      </rPr>
      <t>C</t>
    </r>
  </si>
  <si>
    <t>Reduce Special Meter Reading</t>
  </si>
  <si>
    <t>Natural Gas Meter Module Refresh</t>
  </si>
  <si>
    <t>Regulatory Amortization</t>
  </si>
  <si>
    <t>12ME 06.2023 Test Period Expense</t>
  </si>
  <si>
    <t>Rate Year 1 O&amp;M Offset - Total</t>
  </si>
  <si>
    <t>Amortization - Reg Asset</t>
  </si>
  <si>
    <t>Adjust TP to 2025</t>
  </si>
  <si>
    <t>Adjustment Regulatory Expense</t>
  </si>
  <si>
    <t>Remote Service Connectivity</t>
  </si>
  <si>
    <t>2025 Regulatory Amortization Expense</t>
  </si>
  <si>
    <r>
      <t xml:space="preserve">2026 Benefits to Customers Not Redeployed            </t>
    </r>
    <r>
      <rPr>
        <b/>
        <sz val="11"/>
        <color rgb="FFFF0000"/>
        <rFont val="Calibri"/>
        <family val="2"/>
        <scheme val="minor"/>
      </rPr>
      <t xml:space="preserve"> D</t>
    </r>
  </si>
  <si>
    <t>Account Open/Close/Transfer</t>
  </si>
  <si>
    <t>Credit Collections/Connections</t>
  </si>
  <si>
    <t>O&amp;M Offsets:</t>
  </si>
  <si>
    <t>Rate Year 2 O&amp;M Offset - Total</t>
  </si>
  <si>
    <t>[See "2) AMI Offset-O&amp;M 2025-2026" W/P]</t>
  </si>
  <si>
    <t>Net O&amp;M Offsets</t>
  </si>
  <si>
    <t>Adjust Offsets to 2025 Level</t>
  </si>
  <si>
    <t>Offsets Adjustment 2025</t>
  </si>
  <si>
    <t>Outage Management</t>
  </si>
  <si>
    <t>Net Offsets 2025</t>
  </si>
  <si>
    <t>Reduced Customer Calls</t>
  </si>
  <si>
    <t>Avoided Single Lights Out</t>
  </si>
  <si>
    <t>Reduced Major Storms Cost</t>
  </si>
  <si>
    <t>AMI Adjustment Rate Year 2 (2026)</t>
  </si>
  <si>
    <r>
      <t xml:space="preserve">TP 06.2023 AMA </t>
    </r>
    <r>
      <rPr>
        <b/>
        <u/>
        <sz val="10"/>
        <color theme="1"/>
        <rFont val="Calibri"/>
        <family val="2"/>
        <scheme val="minor"/>
      </rPr>
      <t>Electric BS</t>
    </r>
  </si>
  <si>
    <r>
      <t xml:space="preserve">TP 06.2023 AMA </t>
    </r>
    <r>
      <rPr>
        <b/>
        <u/>
        <sz val="10"/>
        <color theme="1"/>
        <rFont val="Calibri"/>
        <family val="2"/>
        <scheme val="minor"/>
      </rPr>
      <t>Nat. Gas BS</t>
    </r>
  </si>
  <si>
    <t xml:space="preserve">  Energy Efficiency</t>
  </si>
  <si>
    <t>Conservation Voltage Reduction</t>
  </si>
  <si>
    <t>Grid-Interactive Efficient Buildings</t>
  </si>
  <si>
    <t>Adjust Rate Base to 2026 AMA</t>
  </si>
  <si>
    <t xml:space="preserve">   Regulatory Asset</t>
  </si>
  <si>
    <t>Balance 2026 AMA</t>
  </si>
  <si>
    <t>Energy Theft &amp; Unbilled Usage</t>
  </si>
  <si>
    <t>Stopped Meters</t>
  </si>
  <si>
    <t>Regulatory Amortization:</t>
  </si>
  <si>
    <t>Billing Accuracy</t>
  </si>
  <si>
    <t>Estimated Bills</t>
  </si>
  <si>
    <t>Adjust TP to 2026</t>
  </si>
  <si>
    <t>Bill Inquiries</t>
  </si>
  <si>
    <t xml:space="preserve"> 2026  Regulatory Amortization Expense</t>
  </si>
  <si>
    <t>Billing Analysis</t>
  </si>
  <si>
    <t>Rebilling</t>
  </si>
  <si>
    <t>Adjust Offsets to 2026 Level</t>
  </si>
  <si>
    <t>Utility Studies</t>
  </si>
  <si>
    <t>Net Offsets 2026</t>
  </si>
  <si>
    <t>Retail Load Analysis</t>
  </si>
  <si>
    <t>Meter Sampling</t>
  </si>
  <si>
    <t>Revenue Requirement Reductions</t>
  </si>
  <si>
    <t>Expected Savings to be Redeployed</t>
  </si>
  <si>
    <t>Total net O&amp;M Offsets</t>
  </si>
  <si>
    <t>"True" Reductions in Revenue Req</t>
  </si>
  <si>
    <t>from next tab…...</t>
  </si>
  <si>
    <t>Customer Direct Benefits</t>
  </si>
  <si>
    <t>Grand AMI Total Benefits</t>
  </si>
  <si>
    <t>Net Reg Asset</t>
  </si>
  <si>
    <t>Test Period Reg. Balance &amp; Amortization</t>
  </si>
  <si>
    <t>TP Reg. Balance &amp; Amortization</t>
  </si>
  <si>
    <t xml:space="preserve">Adjustment </t>
  </si>
  <si>
    <t>12/31/2025 AMA</t>
  </si>
  <si>
    <t>12/31/2026 AMA</t>
  </si>
  <si>
    <t>920000-935000</t>
  </si>
  <si>
    <t>Admin and General</t>
  </si>
  <si>
    <t>908000-910000</t>
  </si>
  <si>
    <t>Customer Service</t>
  </si>
  <si>
    <t>901000-905000</t>
  </si>
  <si>
    <t>Customer Accounts</t>
  </si>
  <si>
    <t>814000-820000</t>
  </si>
  <si>
    <t>870000-894000</t>
  </si>
  <si>
    <t>807000-813000</t>
  </si>
  <si>
    <t>Throughput</t>
  </si>
  <si>
    <t>Four Factor</t>
  </si>
  <si>
    <t>Distr Op Exp</t>
  </si>
  <si>
    <t>901000-916000</t>
  </si>
  <si>
    <t>Number of Cust</t>
  </si>
  <si>
    <t>Breakout by Function Area</t>
  </si>
  <si>
    <t>Officers</t>
  </si>
  <si>
    <t>%</t>
  </si>
  <si>
    <t>Non-Union</t>
  </si>
  <si>
    <t>Union</t>
  </si>
  <si>
    <t>Test Period</t>
  </si>
  <si>
    <t>Executives</t>
  </si>
  <si>
    <t>Employees</t>
  </si>
  <si>
    <t>WA Direct</t>
  </si>
  <si>
    <t>GD Total</t>
  </si>
  <si>
    <t>CD Total</t>
  </si>
  <si>
    <t>TOTAL  LABOR COST</t>
  </si>
  <si>
    <t xml:space="preserve">Total </t>
  </si>
  <si>
    <t xml:space="preserve">Less </t>
  </si>
  <si>
    <t>All</t>
  </si>
  <si>
    <t xml:space="preserve">WA  </t>
  </si>
  <si>
    <t>Sum of Gas North Amount</t>
  </si>
  <si>
    <t>Executive Labor Adjustment. This calculation (total employee less executives) is performed here in order to provide additional transparency.</t>
  </si>
  <si>
    <t>(Multiple Items)</t>
  </si>
  <si>
    <t>Expenditure Type</t>
  </si>
  <si>
    <r>
      <t xml:space="preserve">and calculate the Washington-only amount. </t>
    </r>
    <r>
      <rPr>
        <b/>
        <u/>
        <sz val="10"/>
        <color theme="1"/>
        <rFont val="Tahoma"/>
        <family val="2"/>
      </rPr>
      <t>Executive Labor</t>
    </r>
    <r>
      <rPr>
        <b/>
        <sz val="10"/>
        <color theme="1"/>
        <rFont val="Tahoma"/>
        <family val="2"/>
      </rPr>
      <t xml:space="preserve"> is subtracted from the total employee amount, and is part of the</t>
    </r>
  </si>
  <si>
    <r>
      <t xml:space="preserve">The purpose of this table is to capture </t>
    </r>
    <r>
      <rPr>
        <b/>
        <u/>
        <sz val="10"/>
        <color theme="1"/>
        <rFont val="Tahoma"/>
        <family val="2"/>
      </rPr>
      <t>all employee labor expense</t>
    </r>
    <r>
      <rPr>
        <b/>
        <sz val="10"/>
        <color theme="1"/>
        <rFont val="Tahoma"/>
        <family val="2"/>
      </rPr>
      <t xml:space="preserve"> as recorded to the General Ledger as "Gas North" (Washington/Idaho) -</t>
    </r>
  </si>
  <si>
    <t>520 Payroll Time Off loading</t>
  </si>
  <si>
    <t>345 Regular Payroll - Union</t>
  </si>
  <si>
    <t>340 Regular Payroll - NU</t>
  </si>
  <si>
    <t>335 Paid Time Off - Union</t>
  </si>
  <si>
    <t>330 Paid Time Off - NU</t>
  </si>
  <si>
    <t>325 Overtime Pay - Union</t>
  </si>
  <si>
    <t>320 Overtime Pay - NU</t>
  </si>
  <si>
    <t>315 Non Benefit Labor - Union</t>
  </si>
  <si>
    <t>310 Non Benefit Labor - NU</t>
  </si>
  <si>
    <r>
      <t xml:space="preserve">Note that </t>
    </r>
    <r>
      <rPr>
        <b/>
        <u/>
        <sz val="10"/>
        <color theme="1"/>
        <rFont val="Tahoma"/>
        <family val="2"/>
      </rPr>
      <t>no incentive compensation</t>
    </r>
    <r>
      <rPr>
        <b/>
        <sz val="10"/>
        <color theme="1"/>
        <rFont val="Tahoma"/>
        <family val="2"/>
      </rPr>
      <t xml:space="preserve"> is included in this calculation</t>
    </r>
  </si>
  <si>
    <t>The purpose of this table is to provide transparency for the type of expenses included in the Labor Adjustment.</t>
  </si>
  <si>
    <t>2026 Increase</t>
  </si>
  <si>
    <t>Adjustment % partial year 2026</t>
  </si>
  <si>
    <t>(include 2 mos.)</t>
  </si>
  <si>
    <t>Factor to include January 1, 2026 - December 31, 2026</t>
  </si>
  <si>
    <t>March 1, 2026 increase (annualize)</t>
  </si>
  <si>
    <t>2025 Increase</t>
  </si>
  <si>
    <t>Adjustment % partial year 2025</t>
  </si>
  <si>
    <t>(include 10 mos.)</t>
  </si>
  <si>
    <t>Factor to adjust March 1, 2025-December 31, 2025</t>
  </si>
  <si>
    <t>March 1, 2025 increase, partial year</t>
  </si>
  <si>
    <t>2024 Increase</t>
  </si>
  <si>
    <t>Adjustment % to annualize year 2024</t>
  </si>
  <si>
    <t>Factor to adjust March 1, 2024-February 28, 2025</t>
  </si>
  <si>
    <t>March 1, 2024 increase</t>
  </si>
  <si>
    <t>Annualize 2023</t>
  </si>
  <si>
    <t>Adjustment % to annualize 2023 Increase</t>
  </si>
  <si>
    <t>Factor to adjust July 1, 2023 - February 28, 2024</t>
  </si>
  <si>
    <t>March 1, 2023 increase</t>
  </si>
  <si>
    <t xml:space="preserve">ADMIN </t>
  </si>
  <si>
    <t>Adjustment % to annualize year 2026</t>
  </si>
  <si>
    <t>Factor to adjust January 1, 2025-December 31, 2026</t>
  </si>
  <si>
    <t>March 26, 2026 increase</t>
  </si>
  <si>
    <t>2026 Adjustment</t>
  </si>
  <si>
    <t>(include approx. 9 mos.)</t>
  </si>
  <si>
    <t>Factor to adjust March 26, 2025-December 31, 2025</t>
  </si>
  <si>
    <t>March 26, 2025 increase</t>
  </si>
  <si>
    <t>2025 Adjustment</t>
  </si>
  <si>
    <t>Factor to adjust March 26, 2024-March 25, 2025</t>
  </si>
  <si>
    <t>March 26, 2024 increase</t>
  </si>
  <si>
    <t>2024 Adjustment</t>
  </si>
  <si>
    <t>Adjustment % to annualize Increase</t>
  </si>
  <si>
    <t>Factor to adjust July 1, 2023 - March 25, 2024</t>
  </si>
  <si>
    <t>March 26, 2023 increase</t>
  </si>
  <si>
    <t>2023 Adjustment</t>
  </si>
  <si>
    <t>UNION</t>
  </si>
  <si>
    <t xml:space="preserve">The Company will update the adjustment to reflect any approved amounts through the pendency of the case. </t>
  </si>
  <si>
    <t>The 2024 and 2025 increases will be approved by the Board of Directors in early 2024.</t>
  </si>
  <si>
    <r>
      <t xml:space="preserve">NOTE:  </t>
    </r>
    <r>
      <rPr>
        <sz val="10"/>
        <color rgb="FF0000FF"/>
        <rFont val="Times New Roman"/>
        <family val="1"/>
      </rPr>
      <t xml:space="preserve">The 2023 increase is based on </t>
    </r>
    <r>
      <rPr>
        <u/>
        <sz val="10"/>
        <color rgb="FF0000FF"/>
        <rFont val="Times New Roman"/>
        <family val="1"/>
      </rPr>
      <t>actual</t>
    </r>
    <r>
      <rPr>
        <sz val="10"/>
        <color rgb="FF0000FF"/>
        <rFont val="Times New Roman"/>
        <family val="1"/>
      </rPr>
      <t xml:space="preserve"> increased, approved and in effect.</t>
    </r>
  </si>
  <si>
    <t>Percentage Increase Adjustments</t>
  </si>
  <si>
    <t>The purpose of this tab is to provide additional transparency into the amount of Union vs. Non-Union labor (exempt, non-exempt) for each FERC account.</t>
  </si>
  <si>
    <t>Executive Officers are handled in separate adjustment.</t>
  </si>
  <si>
    <t>Sum of Electric Amount</t>
  </si>
  <si>
    <t>Exempt</t>
  </si>
  <si>
    <t>Non-Exempt</t>
  </si>
  <si>
    <t>Paid Time Off</t>
  </si>
  <si>
    <t>From "Natural Gas Tab"</t>
  </si>
  <si>
    <t>From "Electric Tab"</t>
  </si>
  <si>
    <t>System Expense</t>
  </si>
  <si>
    <t>WA Alloc</t>
  </si>
  <si>
    <t>Status</t>
  </si>
  <si>
    <t>Alloc Factors</t>
  </si>
  <si>
    <t>ED Total</t>
  </si>
  <si>
    <t>Beginning with Total Employee, and backing out Executives (handled in separate adjustment), provides additional transparency.</t>
  </si>
  <si>
    <t>The purpose of this tab is to calculate the amount of executive expense embedded within the Total on the Natural Gas and Electric Pro-forma.</t>
  </si>
  <si>
    <t>920000-935001</t>
  </si>
  <si>
    <t>580000-598001</t>
  </si>
  <si>
    <t>901000-910001</t>
  </si>
  <si>
    <t>500000-579000</t>
  </si>
  <si>
    <t>Pacesetter</t>
  </si>
  <si>
    <t>Earnings Code Description</t>
  </si>
  <si>
    <t>Test Period ending 06.2023</t>
  </si>
  <si>
    <t>6 ME 12.2023</t>
  </si>
  <si>
    <t>Total 2023</t>
  </si>
  <si>
    <t>Executive Salaries and Wages Adjustment</t>
  </si>
  <si>
    <t>12 ME 06.2023</t>
  </si>
  <si>
    <t>Actual Salary Expense</t>
  </si>
  <si>
    <t>One Leave and Holiday</t>
  </si>
  <si>
    <t>Labor Expense</t>
  </si>
  <si>
    <t>Utility</t>
  </si>
  <si>
    <t>88740</t>
  </si>
  <si>
    <t>03512</t>
  </si>
  <si>
    <t>85931</t>
  </si>
  <si>
    <t>Regular</t>
  </si>
  <si>
    <t>05320</t>
  </si>
  <si>
    <t>One Leave</t>
  </si>
  <si>
    <t>02552</t>
  </si>
  <si>
    <t>Early Incentive PTO</t>
  </si>
  <si>
    <t>00365</t>
  </si>
  <si>
    <t>04682</t>
  </si>
  <si>
    <t>Holiday</t>
  </si>
  <si>
    <t>45464</t>
  </si>
  <si>
    <t>OL Future Accrual Sell 100%</t>
  </si>
  <si>
    <t>00107</t>
  </si>
  <si>
    <t>Mobile Communications</t>
  </si>
  <si>
    <t>01750</t>
  </si>
  <si>
    <t>Jury Duty</t>
  </si>
  <si>
    <t>Personal Holiday</t>
  </si>
  <si>
    <t>02284</t>
  </si>
  <si>
    <t>OL Future Acc Sell 80%</t>
  </si>
  <si>
    <t>00655</t>
  </si>
  <si>
    <t>Moving Expense</t>
  </si>
  <si>
    <t>02749</t>
  </si>
  <si>
    <t>76183</t>
  </si>
  <si>
    <t>Retired mid</t>
  </si>
  <si>
    <t>06271</t>
  </si>
  <si>
    <t>Updated for Salaries in Effect for 2023</t>
  </si>
  <si>
    <t>Approved</t>
  </si>
  <si>
    <t>Expected</t>
  </si>
  <si>
    <t>Less</t>
  </si>
  <si>
    <t>Salaries 2023</t>
  </si>
  <si>
    <t>Salaries 2024</t>
  </si>
  <si>
    <t>Sum of Gas South Amount</t>
  </si>
  <si>
    <t>2023 Retirement</t>
  </si>
  <si>
    <t>Replace Kensok</t>
  </si>
  <si>
    <t>Net System Adjustment</t>
  </si>
  <si>
    <r>
      <t xml:space="preserve">Allocated toWashington </t>
    </r>
    <r>
      <rPr>
        <b/>
        <u/>
        <sz val="11"/>
        <rFont val="Calibri"/>
        <family val="2"/>
        <scheme val="minor"/>
      </rPr>
      <t>Electric</t>
    </r>
  </si>
  <si>
    <t>Amount of Total Labor</t>
  </si>
  <si>
    <t>Note 7</t>
  </si>
  <si>
    <t>Note 4</t>
  </si>
  <si>
    <t>LMA</t>
  </si>
  <si>
    <r>
      <t xml:space="preserve">Allocated to Washington </t>
    </r>
    <r>
      <rPr>
        <b/>
        <u/>
        <sz val="11"/>
        <rFont val="Calibri"/>
        <family val="2"/>
        <scheme val="minor"/>
      </rPr>
      <t>Gas</t>
    </r>
  </si>
  <si>
    <t>Allocated to Idaho Electric</t>
  </si>
  <si>
    <t>Allocated to Idaho Gas</t>
  </si>
  <si>
    <t>Allocated to Oregon</t>
  </si>
  <si>
    <t>Base Year Benefits Expense</t>
  </si>
  <si>
    <t>Accounting Period BETWEEN '202207' AND '202306', Expenditure Type Parameter : '510 Payroll Benefits loading'</t>
  </si>
  <si>
    <t>State of Washington</t>
  </si>
  <si>
    <t>Benefits Adjustment</t>
  </si>
  <si>
    <t>Cognos Query</t>
  </si>
  <si>
    <t>Accounting Period:&lt;All&gt;</t>
  </si>
  <si>
    <t>Accounting Period: 07.01.2022 through 06.30.2023</t>
  </si>
  <si>
    <t>Desc</t>
  </si>
  <si>
    <t>Summary EXP Category</t>
  </si>
  <si>
    <t>Non-Labor</t>
  </si>
  <si>
    <t>510 Payroll Benefits loading</t>
  </si>
  <si>
    <t>Projects</t>
  </si>
  <si>
    <t xml:space="preserve">
Actual</t>
  </si>
  <si>
    <t xml:space="preserve">Pro-Forma </t>
  </si>
  <si>
    <t>Task Number</t>
  </si>
  <si>
    <t>Task Name</t>
  </si>
  <si>
    <t>Remove Pension Deferral</t>
  </si>
  <si>
    <t>Adjusted Actual</t>
  </si>
  <si>
    <t xml:space="preserve">TABLE NO. 4 </t>
  </si>
  <si>
    <t>O&amp;M</t>
  </si>
  <si>
    <t>Oregon Only</t>
  </si>
  <si>
    <t>926220-221</t>
  </si>
  <si>
    <t>Health Insurance</t>
  </si>
  <si>
    <t>BEN-01</t>
  </si>
  <si>
    <t>(BEN-01)</t>
  </si>
  <si>
    <t>Retirement</t>
  </si>
  <si>
    <t>926240/251</t>
  </si>
  <si>
    <t>FAS 106/FAS 106 NS</t>
  </si>
  <si>
    <t>926225</t>
  </si>
  <si>
    <t>401 (k)</t>
  </si>
  <si>
    <t>**</t>
  </si>
  <si>
    <t>926226</t>
  </si>
  <si>
    <t>401(K) Non-Elect Con</t>
  </si>
  <si>
    <t>926230/253</t>
  </si>
  <si>
    <t>Pension FAS 87/FAS 87 NS</t>
  </si>
  <si>
    <t xml:space="preserve">Pension at Test Period levels (12ME 06.2023) - update during pendency of case with Willis Towers Watson 2023 Year-End Report </t>
  </si>
  <si>
    <t>GL Only</t>
  </si>
  <si>
    <t>Pension Settlement Cost</t>
  </si>
  <si>
    <t>Pension Settlement Amortization</t>
  </si>
  <si>
    <t>***</t>
  </si>
  <si>
    <t>O&amp;M Share</t>
  </si>
  <si>
    <t>Year End</t>
  </si>
  <si>
    <t>Remove Pension</t>
  </si>
  <si>
    <t xml:space="preserve">Adjusted Actual </t>
  </si>
  <si>
    <t>Source:</t>
  </si>
  <si>
    <t>O&amp;M Percent</t>
  </si>
  <si>
    <t>Deferral</t>
  </si>
  <si>
    <t>YE 06.30.2023</t>
  </si>
  <si>
    <t>Rate Period</t>
  </si>
  <si>
    <t>*Amounts will be updated during the process of the case with updated information on Health Insurance and from Willis Towers Watson (WTW) for Post-Retirement Medical and 401(K).  
** Pro-Forma increases to 926225 and 926226 are based on labor increases, refer to Non-Executive Labor Adjustment, Pro-Forma Increases tab for calculation.
***Regulatory Asset Pension Settlement is amortized over 12 years</t>
  </si>
  <si>
    <t>BEN-03</t>
  </si>
  <si>
    <t>Health Insurance (Premera and Group Health)</t>
  </si>
  <si>
    <t>BEN-02</t>
  </si>
  <si>
    <t>926220</t>
  </si>
  <si>
    <t xml:space="preserve">FAS 106/FAS 106 NS (Post-Retirement Medical) </t>
  </si>
  <si>
    <t>926240</t>
  </si>
  <si>
    <t>Total Medical</t>
  </si>
  <si>
    <t>Total Medical Expense</t>
  </si>
  <si>
    <t>Pension FAS 87/Pension FAS 81 NS</t>
  </si>
  <si>
    <t>926230</t>
  </si>
  <si>
    <t>Total Retirement</t>
  </si>
  <si>
    <t>Retirement Expense before Pension Settlement</t>
  </si>
  <si>
    <t>Total Retirement Expense</t>
  </si>
  <si>
    <t>Exclusion of</t>
  </si>
  <si>
    <t>By Function (From Non-Exec Labor)</t>
  </si>
  <si>
    <t>Allocated to Washington Electric</t>
  </si>
  <si>
    <t>Pension Settlement*</t>
  </si>
  <si>
    <t>Transmission &amp; Production</t>
  </si>
  <si>
    <t xml:space="preserve">Distribution </t>
  </si>
  <si>
    <t>*See also reversal of 407454 (Deferred Debits/Credits Adj PF 3.02) - net impact $0</t>
  </si>
  <si>
    <t xml:space="preserve">Customer Service </t>
  </si>
  <si>
    <t>Allocated to Washington Gas</t>
  </si>
  <si>
    <t>For Adam:</t>
  </si>
  <si>
    <t>Incentive</t>
  </si>
  <si>
    <t>Remove Payroll Tax</t>
  </si>
  <si>
    <t xml:space="preserve">Balance per </t>
  </si>
  <si>
    <t>Z90 Operating</t>
  </si>
  <si>
    <t>Restating Adj 2.13</t>
  </si>
  <si>
    <t>RY1 Incentive</t>
  </si>
  <si>
    <t>STI Non-Officer</t>
  </si>
  <si>
    <t>Rate Year 1 Expense</t>
  </si>
  <si>
    <t>STI Officer</t>
  </si>
  <si>
    <t>LIRAP Incremental Labor Plan</t>
  </si>
  <si>
    <t>Labor:</t>
  </si>
  <si>
    <t>VP</t>
  </si>
  <si>
    <t>Department</t>
  </si>
  <si>
    <t>Role #</t>
  </si>
  <si>
    <t>Position</t>
  </si>
  <si>
    <t>Hire date</t>
  </si>
  <si>
    <t>Est. Starting Salary @ hire date</t>
  </si>
  <si>
    <t>Est 2023 Sal</t>
  </si>
  <si>
    <t>Est 2024 Sal</t>
  </si>
  <si>
    <t>Est 2025 Sal</t>
  </si>
  <si>
    <t>Est 2026 Sal</t>
  </si>
  <si>
    <t>Year 1 Incremental</t>
  </si>
  <si>
    <t>Months*</t>
  </si>
  <si>
    <t>Hill</t>
  </si>
  <si>
    <t>Bill Assistance Support and Enrollment Specialist</t>
  </si>
  <si>
    <t>Universal 2</t>
  </si>
  <si>
    <t>Universal 7</t>
  </si>
  <si>
    <t>Universal 4</t>
  </si>
  <si>
    <t>Universal 3</t>
  </si>
  <si>
    <t>Bill Assistance Support and Enrollment Team Lead</t>
  </si>
  <si>
    <t>CSR (Team Lead Replacement)</t>
  </si>
  <si>
    <t xml:space="preserve">The above adjustment for LIRAP Positions calculates incremental labor from that included in the 12ME 06.2023 Test Period. </t>
  </si>
  <si>
    <r>
      <t xml:space="preserve">The employees used to fill these </t>
    </r>
    <r>
      <rPr>
        <u/>
        <sz val="11"/>
        <color theme="1"/>
        <rFont val="Calibri"/>
        <family val="2"/>
        <scheme val="minor"/>
      </rPr>
      <t>NEW</t>
    </r>
    <r>
      <rPr>
        <sz val="10"/>
        <rFont val="Arial"/>
        <family val="2"/>
      </rPr>
      <t xml:space="preserve"> positions are existing employees, with a back fill of the vacated CSR positions.  </t>
    </r>
  </si>
  <si>
    <t>Note 9</t>
  </si>
  <si>
    <t>*Positions hired Oct. 2022 include 10.2022-06.2023 in Adj. 3.05 Non-Exec labor; therefore only including and escalating three months in this adjustment.</t>
  </si>
  <si>
    <t>*Positions hired Apr. 2023 include 04.2023-06.2023 in Adj. 3.05 Non-Exec labor; therefore only including and escalating nine months in this adjustment.</t>
  </si>
  <si>
    <t>WA Nat. Gas</t>
  </si>
  <si>
    <t>CCA Incremental Labor Plan</t>
  </si>
  <si>
    <t>Position Title</t>
  </si>
  <si>
    <t>Est. Hire Date</t>
  </si>
  <si>
    <t>Incremental 2026*</t>
  </si>
  <si>
    <t>Months</t>
  </si>
  <si>
    <t>Kinney</t>
  </si>
  <si>
    <t>Energy Supply</t>
  </si>
  <si>
    <t>Climate Compliance Manager</t>
  </si>
  <si>
    <t>CCA Portfolio Manager</t>
  </si>
  <si>
    <t>CCA Analyst</t>
  </si>
  <si>
    <t>Thackston</t>
  </si>
  <si>
    <t xml:space="preserve">Clean Energy </t>
  </si>
  <si>
    <t>CCA Investment Manager</t>
  </si>
  <si>
    <t xml:space="preserve">The above CCA Positions are incremental labor positions from that included in the 12ME 06.2023 Test Period. </t>
  </si>
  <si>
    <t>*Incremental RY2 salary increase not pro formed in this case.</t>
  </si>
  <si>
    <t>Washington Jurisdiction</t>
  </si>
  <si>
    <t>Authorized in Dockets UE-220053 et., al. - estimated 2023 level used for Two-Year Rate Plan (2023-2024)</t>
  </si>
  <si>
    <t>Proforma Insurance Adjustment</t>
  </si>
  <si>
    <t>Actual Insurance Costs for Various Lines of Coverage 2020-21</t>
  </si>
  <si>
    <t>For the Twelve Months ended June 30, 2022</t>
  </si>
  <si>
    <t>General Liability</t>
  </si>
  <si>
    <t>6.2023 vs 2020</t>
  </si>
  <si>
    <t>Revised General Liability 2024 versus 06.2023 TP &amp; 2024 vs 2020.</t>
  </si>
  <si>
    <t>Adjusted Test period Expense 12 ME 06.30.2023</t>
  </si>
  <si>
    <t>12 ME 06.30.2023</t>
  </si>
  <si>
    <t>TOTAL COSTS</t>
  </si>
  <si>
    <t>as of</t>
  </si>
  <si>
    <t>2025 Projected Insurance Expense</t>
  </si>
  <si>
    <t>2025</t>
  </si>
  <si>
    <t>12/31/20 - Actual</t>
  </si>
  <si>
    <t>12/30/21 - Actual</t>
  </si>
  <si>
    <t>12/30/23 Actual</t>
  </si>
  <si>
    <t>12/31/24 Projected</t>
  </si>
  <si>
    <t>12/31/25 Projected</t>
  </si>
  <si>
    <t>12/31/26 Projected</t>
  </si>
  <si>
    <t>Line of Insurance</t>
  </si>
  <si>
    <t>premium with cc</t>
  </si>
  <si>
    <t>premium without cc</t>
  </si>
  <si>
    <t>basis</t>
  </si>
  <si>
    <t>Adjustment - System</t>
  </si>
  <si>
    <t>estimated</t>
  </si>
  <si>
    <t>Adjust 12ME 06.2023 to 12ME 12/31/2025 (non-wildfire premium)</t>
  </si>
  <si>
    <t>Wildfire premium</t>
  </si>
  <si>
    <t>Adjust Insurance to 2025 Pro Forma</t>
  </si>
  <si>
    <t>Adjust Insurance to 2023 Pro Forma</t>
  </si>
  <si>
    <t>Adjust Insurance to 2024 Pro Forma</t>
  </si>
  <si>
    <t xml:space="preserve">Total Adjustment </t>
  </si>
  <si>
    <t>Directors &amp; Officers Liability</t>
  </si>
  <si>
    <t>Update</t>
  </si>
  <si>
    <t>Cyber</t>
  </si>
  <si>
    <t>Effective</t>
  </si>
  <si>
    <t>2025-2026</t>
  </si>
  <si>
    <t>Total Insurance</t>
  </si>
  <si>
    <t>Colstrip</t>
  </si>
  <si>
    <t>Proposed Baseline</t>
  </si>
  <si>
    <t>Workers' Comp</t>
  </si>
  <si>
    <t>TOTAL INSURANCE COSTS</t>
  </si>
  <si>
    <t>IA-1</t>
  </si>
  <si>
    <t>Incremental 10% 
D&amp;O Removed</t>
  </si>
  <si>
    <t>Remove 10% D&amp;O (Misc. Restating Adj)</t>
  </si>
  <si>
    <t>Incremental TP vs 2025</t>
  </si>
  <si>
    <t>RY1 (2025)</t>
  </si>
  <si>
    <t>WA PF</t>
  </si>
  <si>
    <t>RY2 (2026)</t>
  </si>
  <si>
    <t>WA WF</t>
  </si>
  <si>
    <t>ID WF</t>
  </si>
  <si>
    <t>Everything Else</t>
  </si>
  <si>
    <t>Everything else:</t>
  </si>
  <si>
    <t>WA E (EE)</t>
  </si>
  <si>
    <t>WA G (EE)</t>
  </si>
  <si>
    <t>Incremental RY 2</t>
  </si>
  <si>
    <t>Total WA E</t>
  </si>
  <si>
    <t>FERC 925</t>
  </si>
  <si>
    <t>Total WA G</t>
  </si>
  <si>
    <t>FERC 924</t>
  </si>
  <si>
    <t>WA E vs authorized</t>
  </si>
  <si>
    <t>2025-2026 Electric and Nat. Gas Insurance Expense Baselines</t>
  </si>
  <si>
    <t>RY2 not included - leaving baseline over 2-Yr Rate Period</t>
  </si>
  <si>
    <t>WA G vs authorized</t>
  </si>
  <si>
    <t>WA EE</t>
  </si>
  <si>
    <t>WA G EE</t>
  </si>
  <si>
    <t>(Reversal of deferred Insurance Expense included with PF Adj 3.02)</t>
  </si>
  <si>
    <t>3.02 PF Def Deb/Cred</t>
  </si>
  <si>
    <t>Current Baseline 2023-2024</t>
  </si>
  <si>
    <t>Proposed New Baseline</t>
  </si>
  <si>
    <t>Incremental</t>
  </si>
  <si>
    <t>WA Property</t>
  </si>
  <si>
    <t>O&amp;M Adj 3.14 electric</t>
  </si>
  <si>
    <t>Inj &amp; Dam</t>
  </si>
  <si>
    <t>2023/20204</t>
  </si>
  <si>
    <t>Nat Gas</t>
  </si>
  <si>
    <t>O&amp;M Adj 3.14 nat. gas</t>
  </si>
  <si>
    <t>ID EE E</t>
  </si>
  <si>
    <t>ID EE G</t>
  </si>
  <si>
    <t>SVC</t>
  </si>
  <si>
    <t>JUR</t>
  </si>
  <si>
    <t>Systems</t>
  </si>
  <si>
    <t>Test Year (Jul '22 - Jun '23)</t>
  </si>
  <si>
    <t>RY1 (Jan '25-Dec '25)</t>
  </si>
  <si>
    <t>Proforma IS/IT Adjustment 2025</t>
  </si>
  <si>
    <t>Central Systems</t>
  </si>
  <si>
    <t>For the Twelve Months ended June 30, 2023</t>
  </si>
  <si>
    <t>Communication Systems</t>
  </si>
  <si>
    <t>Distributed Systems</t>
  </si>
  <si>
    <t>CD WA</t>
  </si>
  <si>
    <t>CD ID</t>
  </si>
  <si>
    <t>ED AN</t>
  </si>
  <si>
    <t>GD AA</t>
  </si>
  <si>
    <t>Total Costs</t>
  </si>
  <si>
    <t>General Business Systems</t>
  </si>
  <si>
    <t>Pro Forma System Non-Labor Costs</t>
  </si>
  <si>
    <t>ISIT-2</t>
  </si>
  <si>
    <t>Network Systems</t>
  </si>
  <si>
    <t>Pro Forma System Labor Costs</t>
  </si>
  <si>
    <t>ISIT-3</t>
  </si>
  <si>
    <t>Security Systems</t>
  </si>
  <si>
    <t>Adjust IS/IT Costs 2025 Pro Forma</t>
  </si>
  <si>
    <t>AA Total</t>
  </si>
  <si>
    <t>9 (4-Factor, Common Electric and Gas North)</t>
  </si>
  <si>
    <t>7 (4-Factor, Common All Services)</t>
  </si>
  <si>
    <t>AN Total</t>
  </si>
  <si>
    <t>WA Total</t>
  </si>
  <si>
    <t>Escalated Balances versus Total O&amp;M</t>
  </si>
  <si>
    <t>2026</t>
  </si>
  <si>
    <t>2024</t>
  </si>
  <si>
    <t>Total Operating &amp; Maintenance Expenses</t>
  </si>
  <si>
    <t>Total Administrative &amp; General Expenses</t>
  </si>
  <si>
    <t>935-MT</t>
  </si>
  <si>
    <t>931-OP</t>
  </si>
  <si>
    <t>Miscellaneous &amp; General Expense</t>
  </si>
  <si>
    <t>930-OP</t>
  </si>
  <si>
    <t>928-OP</t>
  </si>
  <si>
    <t>Franchise Requirements</t>
  </si>
  <si>
    <t>927-OP</t>
  </si>
  <si>
    <t>Employee Pension &amp; Benefits</t>
  </si>
  <si>
    <t>926-OP</t>
  </si>
  <si>
    <t>Injuries &amp; Damages</t>
  </si>
  <si>
    <t>925-OP</t>
  </si>
  <si>
    <t>924-OP</t>
  </si>
  <si>
    <t>923-OP</t>
  </si>
  <si>
    <t>922-OP</t>
  </si>
  <si>
    <t>921-OP</t>
  </si>
  <si>
    <t>Admin. &amp; General Salaries</t>
  </si>
  <si>
    <t>920-OP</t>
  </si>
  <si>
    <t>Administrative &amp; General Expenses</t>
  </si>
  <si>
    <t>Subtotal Expenses</t>
  </si>
  <si>
    <t>Total Sales Expenses</t>
  </si>
  <si>
    <t>Misc Sales Expenses</t>
  </si>
  <si>
    <t>916-OP</t>
  </si>
  <si>
    <t>Advertising Expenses</t>
  </si>
  <si>
    <t>913-OP</t>
  </si>
  <si>
    <t>912-OP</t>
  </si>
  <si>
    <t>911-OP</t>
  </si>
  <si>
    <t>Total Customer Information Expense</t>
  </si>
  <si>
    <t>Misc Customer Service &amp; Info Expense</t>
  </si>
  <si>
    <t>910-OP</t>
  </si>
  <si>
    <t>909-OP</t>
  </si>
  <si>
    <t>908-OP</t>
  </si>
  <si>
    <t>907-OP</t>
  </si>
  <si>
    <t>Customer Information Expense</t>
  </si>
  <si>
    <t>Total Customer Accounting Expenses</t>
  </si>
  <si>
    <t>Misc Customer Accounts Expenses</t>
  </si>
  <si>
    <t>905-OP</t>
  </si>
  <si>
    <t>904-OP</t>
  </si>
  <si>
    <t>Customer Records &amp; Collection</t>
  </si>
  <si>
    <t>903-OP</t>
  </si>
  <si>
    <t>Meter Reading</t>
  </si>
  <si>
    <t>902-OP</t>
  </si>
  <si>
    <t>901-OP</t>
  </si>
  <si>
    <t>Customer Accounting Expenses</t>
  </si>
  <si>
    <t>Total Distribution Expense</t>
  </si>
  <si>
    <t>Total Distribution Maintenance Expense</t>
  </si>
  <si>
    <t>894-MT</t>
  </si>
  <si>
    <t>893-MT</t>
  </si>
  <si>
    <t>892-MT</t>
  </si>
  <si>
    <t>Measuring &amp; Regulating Stations-City Gate</t>
  </si>
  <si>
    <t>891-MT</t>
  </si>
  <si>
    <t>Measuring &amp; Regulating Stations-Industrial</t>
  </si>
  <si>
    <t>890-MT</t>
  </si>
  <si>
    <t>Measuring &amp; Regulating Stations-General</t>
  </si>
  <si>
    <t>889-MT</t>
  </si>
  <si>
    <t>888-MT</t>
  </si>
  <si>
    <t>887-MT</t>
  </si>
  <si>
    <t>885-MT</t>
  </si>
  <si>
    <t>Maintenance Expense</t>
  </si>
  <si>
    <t>Total Distribution Operation Expense</t>
  </si>
  <si>
    <t>881-OP</t>
  </si>
  <si>
    <t>Other Distribution Expense</t>
  </si>
  <si>
    <t>880-OP</t>
  </si>
  <si>
    <t>Customer Installations</t>
  </si>
  <si>
    <t>879-OP</t>
  </si>
  <si>
    <t>Meters &amp; House Regulators Expenses</t>
  </si>
  <si>
    <t>878-OP</t>
  </si>
  <si>
    <t>877-OP</t>
  </si>
  <si>
    <t>876-OP</t>
  </si>
  <si>
    <t>875-OP</t>
  </si>
  <si>
    <t>Mains &amp; Services Expense</t>
  </si>
  <si>
    <t>874-OP</t>
  </si>
  <si>
    <t>Compressor Station Labor &amp; Expenses</t>
  </si>
  <si>
    <t>872-OP</t>
  </si>
  <si>
    <t>871-OP</t>
  </si>
  <si>
    <t>870-OP</t>
  </si>
  <si>
    <t>Operation Expense</t>
  </si>
  <si>
    <t>Distribution Expenses</t>
  </si>
  <si>
    <t>Total Underground Storage Expenses</t>
  </si>
  <si>
    <t>837-MT</t>
  </si>
  <si>
    <t>Measuring and Regulator Station Expenses</t>
  </si>
  <si>
    <t>836-MT</t>
  </si>
  <si>
    <t>Compressor Station Fuel &amp; Power</t>
  </si>
  <si>
    <t>835-MT</t>
  </si>
  <si>
    <t>Compressor Station Expenses</t>
  </si>
  <si>
    <t>834-MT</t>
  </si>
  <si>
    <t>Lines Expenses</t>
  </si>
  <si>
    <t>833-MT</t>
  </si>
  <si>
    <t>CDAN</t>
  </si>
  <si>
    <t>Wells Expenses</t>
  </si>
  <si>
    <t>832-MT</t>
  </si>
  <si>
    <t>Maps &amp; Records</t>
  </si>
  <si>
    <t>831-MT</t>
  </si>
  <si>
    <t>Non-Labor ISIT 12 ME 09.2021</t>
  </si>
  <si>
    <t>830-MT</t>
  </si>
  <si>
    <t>826-OP</t>
  </si>
  <si>
    <t>Storage Well Royalties &amp; Rents</t>
  </si>
  <si>
    <t>825-OP</t>
  </si>
  <si>
    <t>935000</t>
  </si>
  <si>
    <t>824-OP</t>
  </si>
  <si>
    <t>931000</t>
  </si>
  <si>
    <t>Purification Expenses</t>
  </si>
  <si>
    <t>821-OP</t>
  </si>
  <si>
    <t>930200</t>
  </si>
  <si>
    <t>Measuring &amp; Regulator Station</t>
  </si>
  <si>
    <t>820-OP</t>
  </si>
  <si>
    <t>819-OP</t>
  </si>
  <si>
    <t>926100</t>
  </si>
  <si>
    <t>818-OP</t>
  </si>
  <si>
    <t>817-OP</t>
  </si>
  <si>
    <t>923000</t>
  </si>
  <si>
    <t>816-OP</t>
  </si>
  <si>
    <t>921000</t>
  </si>
  <si>
    <t>815-OP</t>
  </si>
  <si>
    <t>814-OP</t>
  </si>
  <si>
    <t>910000</t>
  </si>
  <si>
    <t>Underground Storage Expenses</t>
  </si>
  <si>
    <t>909000</t>
  </si>
  <si>
    <t>908000</t>
  </si>
  <si>
    <t>Total Purchased Gas Expenses</t>
  </si>
  <si>
    <t>905000</t>
  </si>
  <si>
    <t>813-xxx</t>
  </si>
  <si>
    <t>903000</t>
  </si>
  <si>
    <t>GTI Expenses</t>
  </si>
  <si>
    <t>813-010</t>
  </si>
  <si>
    <t>902000</t>
  </si>
  <si>
    <t>811-00</t>
  </si>
  <si>
    <t>901000</t>
  </si>
  <si>
    <t>Total Purchased Gas Cost</t>
  </si>
  <si>
    <t>894000</t>
  </si>
  <si>
    <t>Proforma Purchased Gas Expense</t>
  </si>
  <si>
    <t>804.xx</t>
  </si>
  <si>
    <t>893000</t>
  </si>
  <si>
    <t>808-xxx</t>
  </si>
  <si>
    <t>892000</t>
  </si>
  <si>
    <t>891000</t>
  </si>
  <si>
    <t>Gas Expense - Estimated Deferrals</t>
  </si>
  <si>
    <t>805-990</t>
  </si>
  <si>
    <t>890000</t>
  </si>
  <si>
    <t>Gas Expense - Estimated Amortizations</t>
  </si>
  <si>
    <t>805-980</t>
  </si>
  <si>
    <t>889000</t>
  </si>
  <si>
    <t>Gas Expense - Rate Deferrals</t>
  </si>
  <si>
    <t>805-120</t>
  </si>
  <si>
    <t>887000</t>
  </si>
  <si>
    <t>Gas Exp - Rate Amortizations</t>
  </si>
  <si>
    <t>805-110</t>
  </si>
  <si>
    <t>885000</t>
  </si>
  <si>
    <t>Gas Costs - Fixed Hedge</t>
  </si>
  <si>
    <t>804-010</t>
  </si>
  <si>
    <t>880000</t>
  </si>
  <si>
    <t>Off System Bookout Offset</t>
  </si>
  <si>
    <t>804-711</t>
  </si>
  <si>
    <t>879000</t>
  </si>
  <si>
    <t>Off System Gas Purchases - Bookout</t>
  </si>
  <si>
    <t>804-700</t>
  </si>
  <si>
    <t>878000</t>
  </si>
  <si>
    <t>Gas Purchases - Financial</t>
  </si>
  <si>
    <t>804-600</t>
  </si>
  <si>
    <t>877000</t>
  </si>
  <si>
    <t>Gas Transaction Fees</t>
  </si>
  <si>
    <t>804-170</t>
  </si>
  <si>
    <t>876000</t>
  </si>
  <si>
    <t>Gas Costs - Intracompany LDC Gas</t>
  </si>
  <si>
    <t>804-730</t>
  </si>
  <si>
    <t>875000</t>
  </si>
  <si>
    <t>Transaction Fees</t>
  </si>
  <si>
    <t>804-017</t>
  </si>
  <si>
    <t>874000</t>
  </si>
  <si>
    <t>Transport Variable Charges</t>
  </si>
  <si>
    <t>804-002</t>
  </si>
  <si>
    <t>870000</t>
  </si>
  <si>
    <t>Pipeline Demand Costs</t>
  </si>
  <si>
    <t>804-001</t>
  </si>
  <si>
    <t>814000</t>
  </si>
  <si>
    <t>804/805-000</t>
  </si>
  <si>
    <t>813000</t>
  </si>
  <si>
    <t>Eliminate Gas Supply Costs (identified in EAS Adj)</t>
  </si>
  <si>
    <t>Purchased Gas Expenses</t>
  </si>
  <si>
    <t>Eliminate Adder Schedules Adj (Add O&amp;M elim)</t>
  </si>
  <si>
    <t>Operation &amp; Maintenance Expenses</t>
  </si>
  <si>
    <t>Miscellaneous Restating Adj (Add except Insurance)</t>
  </si>
  <si>
    <t>Gas Supply</t>
  </si>
  <si>
    <t>Admin Expense Credit (Office space charges)</t>
  </si>
  <si>
    <t>2026 Escalation</t>
  </si>
  <si>
    <t>2025 Escalation</t>
  </si>
  <si>
    <t>Misc O&amp;M</t>
  </si>
  <si>
    <t>Add Misc</t>
  </si>
  <si>
    <t>Exclude Pro Formed or Normalized O&amp;M</t>
  </si>
  <si>
    <t>WA Natural Gas Labor in test year ROO</t>
  </si>
  <si>
    <t>PF 2026 Adj</t>
  </si>
  <si>
    <t>PF 2025 Adj</t>
  </si>
  <si>
    <t>Twelve Months Ended December 31, 2026 Pro Forma Year 2</t>
  </si>
  <si>
    <t>Column R</t>
  </si>
  <si>
    <t>Natural Gas Tab</t>
  </si>
  <si>
    <t>Normalized Incentives</t>
  </si>
  <si>
    <t>Twelve Months Ended December 31, 2025 Pro Forma Year 1</t>
  </si>
  <si>
    <t>3.07&amp; 5.02 Non-Executive Labor Adjustment (2022WA GRC) CONFIDENTIAL</t>
  </si>
  <si>
    <t>Proformed ISIT costs</t>
  </si>
  <si>
    <t>Twelve Months Ended June 30, 2023 Test Year</t>
  </si>
  <si>
    <t>Copied From:</t>
  </si>
  <si>
    <t>Proformed Insurance (Property and Liability)</t>
  </si>
  <si>
    <t>Annual Escalation Rate</t>
  </si>
  <si>
    <t>Pro Forma Miscellaneous O&amp;M expense</t>
  </si>
  <si>
    <t>Proformed Pensions and Medical Benefits</t>
  </si>
  <si>
    <t>4-Yr Avg</t>
  </si>
  <si>
    <t>Proformed Labor</t>
  </si>
  <si>
    <t>CBR Adjusted O&amp;M</t>
  </si>
  <si>
    <t xml:space="preserve">[3] Actual cost of debt (COD) rate will be updated during the process of the case. </t>
  </si>
  <si>
    <t>[2] Balance as of 09.30.2023, per WA COVID September 2023 Report. Amount will be updated with December 2023 Report filed in January 2024.</t>
  </si>
  <si>
    <t>[1] Balance as of 12.31.2024, plus interest</t>
  </si>
  <si>
    <t>A/G Reg Amort</t>
  </si>
  <si>
    <t>Total Amortization Expense</t>
  </si>
  <si>
    <t>Projects &amp; Fixed Assets Accounting</t>
  </si>
  <si>
    <t>Jason Boni</t>
  </si>
  <si>
    <t>Y - actual COD</t>
  </si>
  <si>
    <t>WA Deferred Depreciation Expense (2024)</t>
  </si>
  <si>
    <t>Revenue-Financial Systems</t>
  </si>
  <si>
    <t xml:space="preserve">Alan Pan </t>
  </si>
  <si>
    <t>WA Regulatory Fee Deferral (2023 &amp; 2024)</t>
  </si>
  <si>
    <t>Blake Parker</t>
  </si>
  <si>
    <t>[2]</t>
  </si>
  <si>
    <t>N</t>
  </si>
  <si>
    <t>407xxx</t>
  </si>
  <si>
    <t>186/253</t>
  </si>
  <si>
    <t>COVID 19 Deferral (Net)  (2020-2023)</t>
  </si>
  <si>
    <t>Team Responsible</t>
  </si>
  <si>
    <t>Person Responsible</t>
  </si>
  <si>
    <t>2026 Amortization</t>
  </si>
  <si>
    <t>2025 Amortization</t>
  </si>
  <si>
    <t>Balance to Amortize [1]</t>
  </si>
  <si>
    <t>Interest? [3]</t>
  </si>
  <si>
    <t>Amortization Account</t>
  </si>
  <si>
    <t>Deferred Balance Account</t>
  </si>
  <si>
    <t>Amortize various Regulatory Assets and Liabilities over 2 year rate plan.</t>
  </si>
  <si>
    <t>Two Year Amortization January 2025 through December 2026</t>
  </si>
  <si>
    <t>Twelve Month Ended June 30, 2023 Test Year</t>
  </si>
  <si>
    <t>Est. Balance as of 12/31/2024</t>
  </si>
  <si>
    <t>Months to Amortize</t>
  </si>
  <si>
    <t>Rate Year 2: January 1, 2026 through December 31, 2026</t>
  </si>
  <si>
    <t>Rate Year 1: January 1, 2025 through December 31, 2025</t>
  </si>
  <si>
    <t>Historical Test Year: Twelve Month Ended June 30, 2023</t>
  </si>
  <si>
    <t>Washington - Amortization of Regulatory Deferrals</t>
  </si>
  <si>
    <t>RY2 Expense</t>
  </si>
  <si>
    <t>RY1 Expense</t>
  </si>
  <si>
    <t>283xxx
GD WA</t>
  </si>
  <si>
    <t>410200 
ZZ ZZ</t>
  </si>
  <si>
    <t>411100 
GD WA</t>
  </si>
  <si>
    <t>182343
GD WA</t>
  </si>
  <si>
    <t>419610
GD WA</t>
  </si>
  <si>
    <t>407343
GD WA</t>
  </si>
  <si>
    <t>DR (CR)</t>
  </si>
  <si>
    <t>ADFIT - Balance</t>
  </si>
  <si>
    <t>ADFIT - Monthly Entry</t>
  </si>
  <si>
    <t>DFIT - Nonoperating Expense (Benefit)</t>
  </si>
  <si>
    <t>DFIT - Operating Expense (Benefit)</t>
  </si>
  <si>
    <t>Regulatory Liability - Balance</t>
  </si>
  <si>
    <t>Accumulated Amortization</t>
  </si>
  <si>
    <t xml:space="preserve">Monthly Entry Regulatory Liability </t>
  </si>
  <si>
    <t>Accumulated Deferral Asset</t>
  </si>
  <si>
    <t>Monthly Interest Expense (Benefit)</t>
  </si>
  <si>
    <t>Total Monthly Amortization Expense (Benefit)</t>
  </si>
  <si>
    <t>Monthly Deferral of Costs Expense (Benefit)</t>
  </si>
  <si>
    <t>Interest rate</t>
  </si>
  <si>
    <t>REGULATORY ASSET</t>
  </si>
  <si>
    <t>190xxx
GD WA</t>
  </si>
  <si>
    <t>411200 
ZZ ZZ</t>
  </si>
  <si>
    <t>410100 
GD WA</t>
  </si>
  <si>
    <t>254227
GD WA</t>
  </si>
  <si>
    <t>431230
GD WA</t>
  </si>
  <si>
    <t>407437
GD WA</t>
  </si>
  <si>
    <t>REGULATORY LIABILITY</t>
  </si>
  <si>
    <t>REG LIABILITY- COVID-19 DEFERRAL</t>
  </si>
  <si>
    <t>253347</t>
  </si>
  <si>
    <t>REG ASSET - COVID-19 FORGIVENESS PROGRAM</t>
  </si>
  <si>
    <t>186349</t>
  </si>
  <si>
    <t>REG ASSET- COVID 19 DEFERRAL</t>
  </si>
  <si>
    <t>186347</t>
  </si>
  <si>
    <t>WA-G</t>
  </si>
  <si>
    <t>WA-E</t>
  </si>
  <si>
    <t>09.2023 Balance</t>
  </si>
  <si>
    <t>Jur.</t>
  </si>
  <si>
    <t>Svc.</t>
  </si>
  <si>
    <t>FERC Desc.</t>
  </si>
  <si>
    <t>FERC</t>
  </si>
  <si>
    <t>Source: WA September 2023 COVID Report</t>
  </si>
  <si>
    <t xml:space="preserve">2023 Def thru </t>
  </si>
  <si>
    <t>Incremental Interest - 2024</t>
  </si>
  <si>
    <t>2023 Deferral</t>
  </si>
  <si>
    <t>Regulatory Fees Deferral Entries</t>
  </si>
  <si>
    <t>WA Natural Gas Deferral</t>
  </si>
  <si>
    <t>WA Electric Deferral</t>
  </si>
  <si>
    <t>Natural Gas Interest on</t>
  </si>
  <si>
    <t>Electric Interest on</t>
  </si>
  <si>
    <t>WA interest based on actual cost of debt (can be provided by Karrie Wilson).</t>
  </si>
  <si>
    <t>Annual Deferred Regulatory Fees Expense</t>
  </si>
  <si>
    <t>Actual 2023 Annual Fee</t>
  </si>
  <si>
    <t>2022 Actual Paid Regulatory Fees Expense</t>
  </si>
  <si>
    <t>Rate embedded in Customer Rates</t>
  </si>
  <si>
    <t>Gross Operating Revenues</t>
  </si>
  <si>
    <t>2023 Annual Fee</t>
  </si>
  <si>
    <t>Approved Deferral of Costs Associated with an Increase in Annual Regulatory Fee.</t>
  </si>
  <si>
    <t>Washington Regulatory Fee Deferral</t>
  </si>
  <si>
    <t>Forecasted 2024 Annual Fee</t>
  </si>
  <si>
    <t>Amount embedded in Customer Rates</t>
  </si>
  <si>
    <t>2024 Annual Fee</t>
  </si>
  <si>
    <t>ETRM INCREMENTAL EXPENSE (2025 RY1 / 2026 RY2)</t>
  </si>
  <si>
    <t>Incremental Expense by Year</t>
  </si>
  <si>
    <t xml:space="preserve">NUC Dev expense for the ETRM </t>
  </si>
  <si>
    <t>Assessment Task</t>
  </si>
  <si>
    <t>Avista NUC+</t>
  </si>
  <si>
    <t>System Integrator</t>
  </si>
  <si>
    <t>Vendor</t>
  </si>
  <si>
    <t>2024-2028 Total</t>
  </si>
  <si>
    <t>RFP Process</t>
  </si>
  <si>
    <t>Software Contracting</t>
  </si>
  <si>
    <t>Existing Nucleus = CDAA</t>
  </si>
  <si>
    <t>Power Design</t>
  </si>
  <si>
    <t>Future ETRM = CDAA</t>
  </si>
  <si>
    <t>Gas Design</t>
  </si>
  <si>
    <t>Adj</t>
  </si>
  <si>
    <t>NUC Expense</t>
  </si>
  <si>
    <t>NUC Dev Team Expense</t>
  </si>
  <si>
    <t>Allocated to WA Electric</t>
  </si>
  <si>
    <t xml:space="preserve">2025 NUC RFP Support </t>
  </si>
  <si>
    <t>2026 NUC Support</t>
  </si>
  <si>
    <t>2027 NUC Support</t>
  </si>
  <si>
    <t>Allocated to WA Gas</t>
  </si>
  <si>
    <t>2028 NUC Support</t>
  </si>
  <si>
    <t>NUC  Total</t>
  </si>
  <si>
    <t>Allocated to ID Electric</t>
  </si>
  <si>
    <t>Adjusted Totals</t>
  </si>
  <si>
    <t>Allocated to ID Gas</t>
  </si>
  <si>
    <t>Allocated to OR</t>
  </si>
  <si>
    <t>Board of Directors Fees</t>
  </si>
  <si>
    <t>BENTZ</t>
  </si>
  <si>
    <t xml:space="preserve"> BLAKE </t>
  </si>
  <si>
    <t>BURKE</t>
  </si>
  <si>
    <t>KLEIN</t>
  </si>
  <si>
    <t>KWAWU</t>
  </si>
  <si>
    <t>MAW</t>
  </si>
  <si>
    <t>MORRIS</t>
  </si>
  <si>
    <t>PHILIPPS</t>
  </si>
  <si>
    <t>STANLEY</t>
  </si>
  <si>
    <t>WIDMANN</t>
  </si>
  <si>
    <t>JACOBSEN</t>
  </si>
  <si>
    <t>TOTAL COMP.</t>
  </si>
  <si>
    <t>Board of Directors Fees Allocation</t>
  </si>
  <si>
    <t>For the twelve months ended June 30, 2023</t>
  </si>
  <si>
    <t>Quarterly Stock Issuance</t>
  </si>
  <si>
    <t>September Stock Issuance</t>
  </si>
  <si>
    <t xml:space="preserve">Purpose:  To verify that all fees were appropriately recorded in the BOD Activities, we reviewed transaction descriptions on a line by line basis.  </t>
  </si>
  <si>
    <t>Amount withheld  for B&amp;O Taxes - add back in for gross total</t>
  </si>
  <si>
    <t>06.2023 Restating Adjustment</t>
  </si>
  <si>
    <t>RY1 Pro Forma  Adjustment</t>
  </si>
  <si>
    <t>TOTAL QUARTERLY PAYMENTS</t>
  </si>
  <si>
    <t>Board of Director Compensation Expenses:</t>
  </si>
  <si>
    <t>6.2023 Total</t>
  </si>
  <si>
    <t>TOTAL 2022 COMPENSATION</t>
  </si>
  <si>
    <t>MR-BOD-4</t>
  </si>
  <si>
    <t>Quarterly Payments/Retainers</t>
  </si>
  <si>
    <t>MR-BOD-5</t>
  </si>
  <si>
    <t>Stock Compensation</t>
  </si>
  <si>
    <t xml:space="preserve">Total Utility expenses to be shared </t>
  </si>
  <si>
    <t>Q3 2022</t>
  </si>
  <si>
    <t>E - Note 7</t>
  </si>
  <si>
    <t>FERC Acct</t>
  </si>
  <si>
    <t xml:space="preserve">BLAKE </t>
  </si>
  <si>
    <t>E - Note 4</t>
  </si>
  <si>
    <t>Total Board of Director Compensation</t>
  </si>
  <si>
    <t>Quarterly Retainer</t>
  </si>
  <si>
    <t>Chair Retainer</t>
  </si>
  <si>
    <t>BOD Comp</t>
  </si>
  <si>
    <t xml:space="preserve">Lead Director Retainer </t>
  </si>
  <si>
    <t>Non-Executive Chair Retainer</t>
  </si>
  <si>
    <t>Should be Charge per Order</t>
  </si>
  <si>
    <t>Aug 1 - Audit Meeting</t>
  </si>
  <si>
    <t>G - Note 4</t>
  </si>
  <si>
    <t>Aug 4 - Governance Mtg</t>
  </si>
  <si>
    <t>Aug 4 - Environmental</t>
  </si>
  <si>
    <t>Aug 4 - Comp Mtg</t>
  </si>
  <si>
    <t>Aug 4 - Finance Mtg</t>
  </si>
  <si>
    <t>Aug 4-5 - Board Meeting and Retreat</t>
  </si>
  <si>
    <t>As Recorded</t>
  </si>
  <si>
    <t>Deferred - Sep 2022 Div</t>
  </si>
  <si>
    <t>Stock Issuance Fractional Share</t>
  </si>
  <si>
    <t>Miscellaneous Restating Adjustment Needed</t>
  </si>
  <si>
    <t>B&amp;O taxes withheld for 3rd Quarter</t>
  </si>
  <si>
    <t>Lead Chair retainers at Aug Board meeting effective Sept 1, prorated for the one month
Cash retainer increased at Aug Board meeting effective Sept 1, prorated for the one month</t>
  </si>
  <si>
    <t>Q4 2022</t>
  </si>
  <si>
    <t>Oct 31  - Audit Conf. Call</t>
  </si>
  <si>
    <t>Miscellaneous Pro Forma Adjustment Needed</t>
  </si>
  <si>
    <t>Nov 3 - Environmental</t>
  </si>
  <si>
    <t>Nov 3 - Governance Mtg</t>
  </si>
  <si>
    <t>(Results of Operation E-ALL-12A, pg. 2)</t>
  </si>
  <si>
    <t>Nov 3 - Comp. Mtg</t>
  </si>
  <si>
    <t>(Results of Operation E-ALL-12A, pg. 1)</t>
  </si>
  <si>
    <t>Nov 3 - Finance Mtg</t>
  </si>
  <si>
    <t>(Results of Operation G-ALL-12A, pg. 1)</t>
  </si>
  <si>
    <t>Nov 3-4 - Board Meeting</t>
  </si>
  <si>
    <t>Vendor Name</t>
  </si>
  <si>
    <t>Deferred - Dec 2022 Div</t>
  </si>
  <si>
    <t>DONALD C BURKE</t>
  </si>
  <si>
    <t>3rd Qtr BOD Payment - 3 percent</t>
  </si>
  <si>
    <t>3rd Qtr BOD Payment - 97 percent</t>
  </si>
  <si>
    <t>B&amp;O taxes withheld for 4th Quarter</t>
  </si>
  <si>
    <t>4th Qtr BOD payment - 97 percent</t>
  </si>
  <si>
    <t>4th Qtr BOD payment - 3 percent</t>
  </si>
  <si>
    <t>Meeting Fees removed at Aug Board meeting effective Sept 1</t>
  </si>
  <si>
    <t>BOD - 1st Qtr payment - 3 percent</t>
  </si>
  <si>
    <t>Q1 2023 - Pay January</t>
  </si>
  <si>
    <t>BOD - 1st Qtr payment - 97 percent</t>
  </si>
  <si>
    <t>BOD - 2nd Qtr Payment - 3 percent</t>
  </si>
  <si>
    <t>BOD - 2nd Qtr Payment - 97 percent</t>
  </si>
  <si>
    <t>DONALD C BURKE Total</t>
  </si>
  <si>
    <t>HEIDI B STANLEY</t>
  </si>
  <si>
    <t>B&amp;O taxes withheld for 1st Quarter</t>
  </si>
  <si>
    <t>Kblake taking her entire retainer in cash - retirement in May.  Prorated 5 months divided equal payments (95,000+125,000=220,000; 220,000/12*5=91,666.67; 91,667.67/2=45,833.34)</t>
  </si>
  <si>
    <t>Q2 2023 - Pay April</t>
  </si>
  <si>
    <t>HEIDI B STANLEY Total</t>
  </si>
  <si>
    <t>JANET WIDMANN</t>
  </si>
  <si>
    <t xml:space="preserve">Lead Director/Vice Chair Retainer </t>
  </si>
  <si>
    <t>Deferred - March 2023 Div</t>
  </si>
  <si>
    <t>B&amp;O taxes withheld for 2nd Quarter</t>
  </si>
  <si>
    <t>Kblake taking her entire retainer in cash - retirement in May.  Prorated 5 months divided equal payments.  Prorated Chair and Lead Director for 2 months.</t>
  </si>
  <si>
    <t>JANET WIDMANN Total</t>
  </si>
  <si>
    <t>Don Burke prorated Vice Chair retainer for 2 months (30,000/12*2=5,000), Sena Kwawu prorated Finance Chair for 2 months (15,000/12*2=2500)</t>
  </si>
  <si>
    <t>KRISTIANNE BLAKE</t>
  </si>
  <si>
    <t>New Director prorated 8 months (95,000+125000=220,000; 220,000/12*8=146,666.67; 146,666.67-125,000 (stock)=21,666.67) - full stock payment of 125,000, cash option of $21,666.67 divided into 3 equal payments for Q2 - Q4</t>
  </si>
  <si>
    <t>BOD 2nd qtr payment - 3 percent</t>
  </si>
  <si>
    <t>BOD 2nd qtr payment - 97 percent</t>
  </si>
  <si>
    <t>KRISTIANNE BLAKE Total</t>
  </si>
  <si>
    <t>REBECCA A KLEIN</t>
  </si>
  <si>
    <t>REBECCA A KLEIN Total</t>
  </si>
  <si>
    <t>SCOTT H MAW</t>
  </si>
  <si>
    <t>SCOTT H MAW Total</t>
  </si>
  <si>
    <t>(blank)</t>
  </si>
  <si>
    <t>SEPTEMBER DIRECTOR SHARES</t>
  </si>
  <si>
    <t>MAY DIRECTOR SHARES</t>
  </si>
  <si>
    <t>(blank) Total</t>
  </si>
  <si>
    <t>JEFFRY L PHILIPPS</t>
  </si>
  <si>
    <t>3rd Qtr BOD Payment - 97%</t>
  </si>
  <si>
    <t>3rd Qtr BOD Payment - 3%</t>
  </si>
  <si>
    <t>JEFFRY L PHILIPPS Total</t>
  </si>
  <si>
    <t>SCOTT L MORRIS</t>
  </si>
  <si>
    <t>SCOTT L MORRIS Total</t>
  </si>
  <si>
    <t>SENA M KWAWU</t>
  </si>
  <si>
    <t>SENA M KWAWU Total</t>
  </si>
  <si>
    <t>JULIE A BENTZ</t>
  </si>
  <si>
    <t>JULIE A BENTZ Total</t>
  </si>
  <si>
    <t>KEVIN B JACOBSEN</t>
  </si>
  <si>
    <t>BOD 2nd Qtr Retainer - 97 percent</t>
  </si>
  <si>
    <t>BOD 2nd Qtr Retainer - 3 percent</t>
  </si>
  <si>
    <t>KEVIN B JACOBSEN Total</t>
  </si>
  <si>
    <t>Direct and Indirect - Offsets Matrix</t>
  </si>
  <si>
    <t>(ROI = Return on Investment)</t>
  </si>
  <si>
    <t>Efficiency Adj</t>
  </si>
  <si>
    <t>ROR/CF</t>
  </si>
  <si>
    <t>Forecasted TTP (System)</t>
  </si>
  <si>
    <t>Direct Offsets O&amp;M</t>
  </si>
  <si>
    <t>Indirect Offsets O&amp;M</t>
  </si>
  <si>
    <t>Direct Offsets - Capital</t>
  </si>
  <si>
    <t>Indirect Offsets Capital</t>
  </si>
  <si>
    <t>Indirect</t>
  </si>
  <si>
    <t>Forecasted TTP</t>
  </si>
  <si>
    <t>capital</t>
  </si>
  <si>
    <t>#</t>
  </si>
  <si>
    <t>Witness</t>
  </si>
  <si>
    <t>Business Case</t>
  </si>
  <si>
    <t>2024
2%  x
ROI</t>
  </si>
  <si>
    <t>2025
2%  x
ROI</t>
  </si>
  <si>
    <t>2026
2%  x
ROI</t>
  </si>
  <si>
    <t>2024 Direct</t>
  </si>
  <si>
    <t>2025 Direct</t>
  </si>
  <si>
    <t>2026 Direct</t>
  </si>
  <si>
    <t>2024 Indirect</t>
  </si>
  <si>
    <t>2025 Indirect</t>
  </si>
  <si>
    <t>Purpose</t>
  </si>
  <si>
    <t>Calculation backup provided?</t>
  </si>
  <si>
    <t>2024 WA-E</t>
  </si>
  <si>
    <t>2024 WA-G</t>
  </si>
  <si>
    <t>2025 WA-E</t>
  </si>
  <si>
    <t>2025 WA-G</t>
  </si>
  <si>
    <t>2026 WA-E</t>
  </si>
  <si>
    <t>2026 WA-G</t>
  </si>
  <si>
    <t>Comments</t>
  </si>
  <si>
    <t>2024
2%  x
Return on Investment</t>
  </si>
  <si>
    <t>2025
2%  x
Return on Investment</t>
  </si>
  <si>
    <t>2026
2%  x
Return on Investment</t>
  </si>
  <si>
    <t>Alexander</t>
  </si>
  <si>
    <t>Automation Replacement</t>
  </si>
  <si>
    <t>EDAN</t>
  </si>
  <si>
    <t>P/T Ratio</t>
  </si>
  <si>
    <t>See Business Case for Description. No direct or indirect offsets quantified.</t>
  </si>
  <si>
    <t>Base Load Hydro</t>
  </si>
  <si>
    <t xml:space="preserve">See Business Case for Description. No direct or indirect offsets, see Business Case -  As work is accomplished indirect savings are realized in some instances by creating opportunities to re-direct existing labor and expense away from damaged or sub-optimal performing equipment. </t>
  </si>
  <si>
    <t>2024 Eff. Adj</t>
  </si>
  <si>
    <t>2025 Eff. Adj</t>
  </si>
  <si>
    <t>2026 Eff. Adj</t>
  </si>
  <si>
    <t>2024 DO</t>
  </si>
  <si>
    <t>2025 DO</t>
  </si>
  <si>
    <t>2026 DO</t>
  </si>
  <si>
    <t>Base Load Thermal Program</t>
  </si>
  <si>
    <t>Manuel</t>
  </si>
  <si>
    <t>Basic Workplace Technology Delivery</t>
  </si>
  <si>
    <t xml:space="preserve">The primary driver for this program is performance and capacity, whereby the Company balances the need to meet job function requirements and technology availability. To do so, it requires historical trend analyses, technology inventory management, and cost per unit control measures. The costs associated with each solution can vary by the type of solution and number deployed.  The Company does not have a method to quantify such a broad indirect saving. $100k-$10M in savings. (Company used $5M conservative annual savings divide by 5 Business Cases with similar indirect savings quantified.) </t>
  </si>
  <si>
    <t>Total Offsets</t>
  </si>
  <si>
    <t>System Amount:</t>
  </si>
  <si>
    <t>Cabinet Gorge Dam Fishway</t>
  </si>
  <si>
    <t>NA - Required</t>
  </si>
  <si>
    <t>Regulation</t>
  </si>
  <si>
    <t>Required</t>
  </si>
  <si>
    <t>Cabinet Gorge Station Service</t>
  </si>
  <si>
    <t>O&amp;M - ALLOCATED</t>
  </si>
  <si>
    <t>DiLuciano</t>
  </si>
  <si>
    <t>Central 24 HR Operations Facility</t>
  </si>
  <si>
    <t>There are several current problems that are meant to be addressed by this business case. The primary business problem is space limitations within each group. Compounding the issue is that departments have grown and plan to continue to grow. The 24-Hr shift jobs all have unique and specific tasks that require “operator style” workstations that are larger and more complex than the standard 6x9 office cubicle. The modern operator workstation requires 600 square feet (SF) of total space. Due to this, and future growth, their current allocated square footage cannot be reconfigured or remodeled to accommodate these future needs.  In 2023 a new five-year lease expense of $160,000/year commenced. In 2026 a $15,000/year parking increase will hit. There are no indirect offsets identified related to the business case.  Direct offsets include Merging the GCC into the new Critical Operations Facility would save in ongoing annual lease expenses are expected for years 2027-2031. No quantifiable indirect offsets.</t>
  </si>
  <si>
    <t>Clark Fork Settlement Agreement</t>
  </si>
  <si>
    <t>See Business Case for Description. No direct or indirect offsets quantified. Capital requirement enforceable under the Clark Fork Federal Energy Regulatory Agency (FERC) License, for Project #2058, required under the Federal Power Act.</t>
  </si>
  <si>
    <t>Colstrip Transmission</t>
  </si>
  <si>
    <t>Compliance</t>
  </si>
  <si>
    <t>See Business Case for description. Colstrip Project Transmission Agreement, NERC - NERC may assess penalties of up to $1 million per day, per violation for non-compliance.</t>
  </si>
  <si>
    <t>Control and Safety Network Infrastructure</t>
  </si>
  <si>
    <t>Compliance /Reliability</t>
  </si>
  <si>
    <t>Hydzik</t>
  </si>
  <si>
    <t>Customer Experience Platform Program</t>
  </si>
  <si>
    <t>in the form's text</t>
  </si>
  <si>
    <t>The purpose of the Customer Experience Platform (CXP) Business Case is to implement the technology supporting the emphasis on Customer Experience at Avista. Indirect savings of $1,007,949 annually - Due to the deflection of cases and case resolution time, this investment will reduce the number of calls made to the contact center; thus, resulting in less Contact Center Representatives (CSRs) needed to answer calls and maintain the grade of service than would be needed absent CXP and faster onboarding.</t>
  </si>
  <si>
    <t>Customer Facing Technology Program</t>
  </si>
  <si>
    <t>The Customer Facing Technology business case focuses on delivering value, ease and transparency to all customers (ID, WA, and OR) through our various digital channels including but not limited to MyAvista.com, text/SMS, inbound and outbound voice phone systems, and our mobile app. Indirect savings are due to avoided call cost offsets. There are no direct O&amp;M reductions due to this capital business case, this business case supports customer expectations related to availability of self-service transactions that support customer value, ease and transparency.</t>
  </si>
  <si>
    <t>2022 WA-E
Direct</t>
  </si>
  <si>
    <t>2022 WA-G Direct</t>
  </si>
  <si>
    <t>2023 WA-E Direct</t>
  </si>
  <si>
    <t>2023 WA-G Direct</t>
  </si>
  <si>
    <t>2024 WA-E Direct</t>
  </si>
  <si>
    <t>2024 WA-G Direct</t>
  </si>
  <si>
    <t>2022 WA-E
Indirect</t>
  </si>
  <si>
    <t>2022 WA-G Indirect</t>
  </si>
  <si>
    <t>2023 WA-E Indirect</t>
  </si>
  <si>
    <t>2023 WA-G Indirect</t>
  </si>
  <si>
    <t>Customer Transactional Systems</t>
  </si>
  <si>
    <t>See Business Case for Description. No direct or indirect offsets.</t>
  </si>
  <si>
    <t>Data Center Compute and Storage Systems</t>
  </si>
  <si>
    <t>The Data Center Compute and Storage Systems Business Case is driven by managing technology replacement according to manufacturer product roadmaps or changes in business requirements with an objective to maintain infrastructure performance and align infrastructure assets with business demand for capacity. Therefore, it falls under the Performance and Capacity investment driver. Direct capital offsets of $2,674,000 is for Corporate Storage end of life refresh 2024. The Direct O&amp;M offset is for Corporate Storage extended support required by not refreshing the end of life storage. In addition, when data center devices break down it can result in the inability of employees to access essential technology systems such as our meter data, customer billing and our mapping data. This can result in a productivity reduction across all areas of the business. Indirect O&amp;M savingsper year) related to avoiding these down time issues could range from $100k -$10M a year representing at least 1 full time employee up to 100 full time employees needed to implement manual processes.</t>
  </si>
  <si>
    <t>Customer Count as of 6/30/2023</t>
  </si>
  <si>
    <t>WA E 2025</t>
  </si>
  <si>
    <t>WA G 2025</t>
  </si>
  <si>
    <t>WA E 2026</t>
  </si>
  <si>
    <t>WA G 2026</t>
  </si>
  <si>
    <t>Digital Grid Network</t>
  </si>
  <si>
    <t>For this business case, funding is being requested over five years to upgrade or replace approximately 1600 network communication systems within the field area network. For assets connected to third party wireless services, such as commercial LTE, tracking of carrier orientation, usage, and cost are also maintained for each individual asset. Analysis of current traffic profiles and future use-cases is reconciled to reliability metrics and supportability requirements to generate the desired mix of private and leased services to support the Field Area Networks. According to the Company Enterprise Risk Register, under the “Loss of Communication or Network Technologies” and the “Cyber Intrusion” risks the probability of this failure has an income statement score of 3, which equates to a $10-$20 million avoided cost over a period of 2-3 years. For annual indirect O&amp;M, Company used $10M * 40%O&amp;M / 3 years)</t>
  </si>
  <si>
    <t>Rate Sch Num</t>
  </si>
  <si>
    <t>Count</t>
  </si>
  <si>
    <t>Distribution Grid Modernization</t>
  </si>
  <si>
    <t>4 factor</t>
  </si>
  <si>
    <t>See Business Case for description. The Grid Modernization Business Case (GMP) was developed to address the aging and failing infrastructure found throughout the electric distribution system. Other issues that are addressed include sub-optimal system performance and inaccessible facilities that drive increased routine maintenance costs. Upon the completion of GMP projects which are defined per distribution feeder, Washington and Idaho customers benefit from improved system reliability, safety, and performance. These can be measured by a reduction in outage frequencies and durations in addition to power quality metrics. Feeder health addresses how asset condition affects reliability where there are direct O&amp;M savings due to a reduction in the average number of equipment outage events incurred per year based on asset condition. Indirect capital offsets represent the deferred amount of work that the Grid Modernization completed that satisfies Wood Pole Management program scope.</t>
  </si>
  <si>
    <t>Total WA 2025</t>
  </si>
  <si>
    <t>Total WA 2026</t>
  </si>
  <si>
    <t>Total 2025-2026</t>
  </si>
  <si>
    <t>Distribution Minor Rebuild</t>
  </si>
  <si>
    <t>Reliability/
safety</t>
  </si>
  <si>
    <t>See Business Case for description. Unquantified indirect cost for this business case is avoidance of outages by replacing failing equipment.</t>
  </si>
  <si>
    <t>Distribution System Enhancements</t>
  </si>
  <si>
    <t>See Business Case for description.  This business case as well as Minor Rebuilds, Wood Pole Management, Grid Hardening, etc. are needed to keep our electric system’s reliability and subsequent metrics within acceptable parameters. Not funding this business case or failing to fund it at an adequate level will limit our ability to proactively work on system issues resulting in a decline in our electric system’s reliability.  The direct capital offset shown in the table below was calculated using the 2020 cost value for our Wood Pole Management (WPM) program to complete 1 mile worth of work ($39,570/mile).  Next, our average miles of reconductor performed through this business case (12.76 miles) were calculated. This value was calculated using actual miles of reconductor completed through this business case every year from 2018 to 2022. These two values multiplied together produced the yearly average WPM offset value, $504,913. Indirect offsets calculated value assumes each year we have at least one reconductor/feeder tie job that differs the need for substation capacity.</t>
  </si>
  <si>
    <t>Downtown Network - Asset Condition</t>
  </si>
  <si>
    <t>Elec Direct</t>
  </si>
  <si>
    <t>See Business Case for description. The Downtown Network Asset Condition budget is intended to deal with proactive and reactive replacements of equipment due to age and condition. The budget covers both electrical and structural elements of the Downtown Network system. Adequate investment in the Asset Condition category will result in reduced investment in an adjacent category – Failed Plant (Capital Replacements, ~$250k annually, and Maintenance Responses, ranging from $50k-$100k). Downtown Network’s Failed Plant is, by definition, unplanned failures, so predicting future years can be difficult. Quantifiable indirect offsets include a reduction in training/expertise -- Replacement of obsolete equipment classes such as PILC (Paper Insulated Lead Cable) and live-front network protectors reduces the skillset that our cablemen must learn, and keep up to date through annual training. Downtown Networks are a rare system and much of the training available is on the East Coast (Con-Ed in New York, Eaton in South Carolina).</t>
  </si>
  <si>
    <t>Growth Revenue per Adjustment 4.03 and 5.09</t>
  </si>
  <si>
    <t>Downtown Network - Performance &amp; Capacity</t>
  </si>
  <si>
    <t>Reliability</t>
  </si>
  <si>
    <t xml:space="preserve">See Business Case for description.  The Downtown Network Performance &amp; Capacity budget is intended to enable the installation of new and upgraded equipment to cover deficiencies in Avista’s ability to serve customers inside the Downtown Network service territory, located in Spokane, WA.  Direct savings associated with labor reductions for remote work versus in-person verification of switching work; indirect savings related to avoided need for increases in FTEs to support ongoing construction and O&amp;M work.  </t>
  </si>
  <si>
    <t>See Revenue Data</t>
  </si>
  <si>
    <t xml:space="preserve">Electric </t>
  </si>
  <si>
    <t>Elec Relocation and Replacement Program</t>
  </si>
  <si>
    <t>See Business Case for description. Required work - franchise agreements with the state, county, and city jurisdictions within our service territories.</t>
  </si>
  <si>
    <t>Electric Storm</t>
  </si>
  <si>
    <t>See Business Case for description. No direct or indirect offsets, see business case.</t>
  </si>
  <si>
    <t>Electric Transportation</t>
  </si>
  <si>
    <t>Endpoint Compute and Productivity Systems</t>
  </si>
  <si>
    <t xml:space="preserve">Avista’s office, call center, and field staff require on demand information to meet customer expectations when providing gas and electric service to customers across our service territory. The information can be critical to prevent, reduce, affect, or optimize an outcome that benefits our customers.  Technology investments under the Endpoint Compute and Productivity Systems business case enable our staff with information to optimize our business and be responsive to our customers. When endpoint devices break down it can result in the inability of an employee to access essential technology systems such as our meter data, customer billing and our mapping data. This can result in a productivity reduction across all areas of the business. Savings related to avoiding these down time issues could range from $100k -$10M a year representing at least 1 full time employee up to 100 full time employees needed to implement manual processes. (Company used $5M conservative annual savings divide by 5 Business Cases with similar indirect savings quantified.) </t>
  </si>
  <si>
    <t>2022-2023</t>
  </si>
  <si>
    <t>2023-2024</t>
  </si>
  <si>
    <t>Energy Markets Modernization &amp; Operational Efficiency</t>
  </si>
  <si>
    <t>For Avista to maintain operations within the CAISO markets, it must remain compliant in making required operational improvements and market design changes. Failure to comply with the upgrades in the given timeframe will disrupt Avista’s ability to gain access to cost efficient power in the market, lead to missed benefit opportunities, and may impact Avista’s ability to reliably operate the electric grid. The value generated from operating in the CAISO market, with software updates/enhancements supported by this BC, does provide indirect expense offsets. There are no direct capital offsets.</t>
  </si>
  <si>
    <t>Energy Delivery Modernization &amp; Operational Efficiency</t>
  </si>
  <si>
    <t>See Business Case for direct/indirect offset discussion. This business case supports technologies that are used to automate and augment business solutions bringing efficiencies and capabilities to support the delivery of energy to our customers. This support includes the following: 1) improving the performance and capacity of business resources by implementing new functionality in existing technologies. 2) improving the performance and capacity of business resources by implementing overall new technologies. 3) modernizing existing technologies in accordance with product lifecycles and technical roadmaps, typically through product or system upgrades. Due to an increase in vendor-driven planned obsolescence, if these systems are not refreshed on a regular cadence, the ability of Avista to meet customer, regulatory and compliance requirements will be at risk. Direct savings associated with this project relate to the reduction in extended support costs of approximately $100K/year. Indirect savings relate to reduction in risk and avoided labor increases due to work load efficiencies. See indirect offsets matrix in Business Case for indirect O&amp;M detail.</t>
  </si>
  <si>
    <t>Energy Resources Modernization &amp; Operational Efficiency</t>
  </si>
  <si>
    <t>The Energy Resources Modernization and Operational Efficiency Technology Program Business Case sponsors the technology related applications that support the Energy Resources business areas operational and strategic initiatives. Direct savings are not reasonably quantifiable here. However, benefits associated with commodity energy savings and maintenance planning and scheduling are identified indirect O&amp;M savings. (Range $8.5M to $44M annual indriect savings, Company used conservative $20M)</t>
  </si>
  <si>
    <t>Enterprise Business Continuity</t>
  </si>
  <si>
    <t>Security/
Reliability</t>
  </si>
  <si>
    <t>Avista’s Enterprise Business Continuity program business case is similar, whereby readiness is critical before, during, and after an incident. Although many of Avista’s technology systems have built-in redundancy or high availability requirements, there are some gaps that necessitate further investment. The projects in this business case support continued disaster recovery investments to continue operating Avista’s critical system by ensuring we have the right recovery capabilities to sustain operations in the event of a disaster.  The indirect cost of of the pending pending risk results in avoided cost per event is $12.9M. There are no direct offsets related to this business case.</t>
  </si>
  <si>
    <t>Enterprise Communication Systems</t>
  </si>
  <si>
    <t xml:space="preserve">The Enterprise Communication Program1 Business Case sponsors the tools and systems used by all areas of the company to support business operations and delivery of safe and reliable energy. Indirect O&amp;M offsets range $100k-$10M related to operating expense savings. (Company used $5M conservative annual savings divide by 5 Business Cases with similar indirect savings quantified.) </t>
  </si>
  <si>
    <t>Total for WA</t>
  </si>
  <si>
    <t>Enterprise Network Infrastructure</t>
  </si>
  <si>
    <t>Enterprise Security</t>
  </si>
  <si>
    <t>Security</t>
  </si>
  <si>
    <t>In response to the growing trend of cybersecurity threats, federal agencies overseeing the reliability of electrical and gas infrastructure are increasing their call for utilities like Avista to step up their requirements around security best practices to mitigate the eminent risk. These risks can affect both Information Technology systems and Industrial Control Systems that can potentially impact the ability to provide energy in a secure, safe, and reliable manner to our customers. Investments in cyber security tools like firewalls, security incident and event monitoring, intrusion prevention, and endpoint protection systems help identify, detect, protect, respond, and recover from a cybersecurity incident. The indirect avoided cost a Cybersecurity event is $12.9M per event.</t>
  </si>
  <si>
    <t>Environmental Control &amp; Monitoring Systems</t>
  </si>
  <si>
    <t>ET Modernization &amp; Operational Efficiency - Technology</t>
  </si>
  <si>
    <t>The Enterprise Technology Modernization and Operational Efficiency (ETMOE) Program1 Business Case sponsors the tools and systems used by the technology teams to support business application implementation, development, operations, support, automation, and data to deliver solutions to the rest of the organization. Avista’s Enterprise technology systems are a necessity, as they provide essential functions to our employees and customers throughout all service territories. These vital systems require systematic upgrades and enhancements to maintain reliability, compatibility, and reduce security vulnerabilities.  Investments in these technology upgrades, enhancements and licenses provide indirect savings by quantifying the efficiencies based on assumptions on minutes of efficiency, percent of users, etc. noted in the above projects.</t>
  </si>
  <si>
    <t>Facilities and Storage Location Security</t>
  </si>
  <si>
    <t>Safety/
security</t>
  </si>
  <si>
    <t>To protect people and assets at these various locations, Avista must invest in layered physical security enhancements that denies, deters, detects, or delays an intruder or attack. The current security measures are either inadequate or have run their useful life. Indirect offsets include the cost avoidance from lost, stolen, or damage equipment, tools, and material.</t>
  </si>
  <si>
    <t>Fiber Network Lease Service Replacement</t>
  </si>
  <si>
    <t>For this business case, funding is being requested over five years to complete the installation of Avista fiber. Avista utilizes leased fiber optic cable to transport primarily safety and control data between offices, substations, and generation facilities. The leased fiber incurs an operating expense with lease rates that were established during the sale of an Avista Communication’s subsidiary. Direct offsets include $60,000 annual lease cost avoided starting 2027 - 2032. No indirect offsets for this business case.</t>
  </si>
  <si>
    <t>Financial &amp; Accounting Technology</t>
  </si>
  <si>
    <t>The Finance and Accounting Technology Program1 Business Case sponsors the financial applications that are critical to Avista’s financial health, regulatory compliance, and supports the business areas operational and strategic initiatives. Indirect benefits relate to operational efficiencies, see business case.</t>
  </si>
  <si>
    <t>Fleet Services Capital Plan</t>
  </si>
  <si>
    <t>See Business Case for description. This business case allows us to optimize our vehicle life so that we extract the right amount of useful value from our vehicles and replace them before they experience a rapid rise in the amount of repair expenses they incur. The program we have built affords us the ability to plan our labor and maximize our internal mechanic resources while having a fleet of vehicles that are available for any job, planned or unplanned operational response.  O&amp;M indirect savings related to crew down time that would occur if fleet was unreliable. Specifically, there is annual labor savings by maintaining the capital plan and having a predictable labor requirement.</t>
  </si>
  <si>
    <t>Gas Above Grade Pipe Remediation Program</t>
  </si>
  <si>
    <t>backup calcs file provided</t>
  </si>
  <si>
    <t>GDAA</t>
  </si>
  <si>
    <t>See Business Case for full description of project and detailed direct/indirect description.  Above ground piping is required to be inspected once every three years for atmospheric corrosion per CFR 192.481. Several above grade pipeline locations per year require O&amp;M maintenance to repair pipe coatings, warning markers, pipe hangers, etc. Over the next 40 years it is estimated that every high risk above grade pipe location will require at least two maintenance projects to keep the pipeline operational and compliant.  It is expected over the next 10 years of this program that 35 sites will be relocated belowground, 3 sites will be remediated with aboveground piping, and 4 sites will be remediated with O&amp;M maintenance (~42 high risk sites in total). Relocating these high-risk pipelines belowground eliminates the need for two future maintenance projects and replacing with aboveground pipe eliminates one future O&amp;M maintenance project.  In addition to saving O&amp;M dollars, this will allow employees to focus on higher priority work.</t>
  </si>
  <si>
    <t>Gas Cathodic Protection Program</t>
  </si>
  <si>
    <t>Cathodic Protection (CP) systems are used to stop corrosion on buried steel gas pipes. CP system compliance is mandated by Federal Rules within the Department of Transportation code 49 CFR 192, Subpart I. Failure to meet code requirements can result in financial penalties up to $2,675,627 per violation. Indirect savings relate to Avista's approximately 4,000 miles of buries steel pipe. If no CP systems were used, the pipe would readily corrode. Replacing 5% of the system each year to address corrosion damage would cost approximately $60M annually. Not all pipe repair and replacement work is a capital expenditure. Approximately $10M in O&amp;M budget would be spent annually to repair leaks.</t>
  </si>
  <si>
    <t>Gas Facility Replacement Program (GFRP) Aldyl A Pipe Replacement</t>
  </si>
  <si>
    <t>See Business Case for full direct/indirect offset description.  Regulatory mandate to complete -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</si>
  <si>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New Customers</t>
  </si>
  <si>
    <t>Gas Isolated Steel Replacement Program</t>
  </si>
  <si>
    <t>See Business Case for description. This program is to maintain compliance with the Code of Federal Regulations 49 CFR 192.455, 192.457 and 192.465.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</si>
  <si>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Non-Revenue Program</t>
  </si>
  <si>
    <t>The work in this annual program is mostly reactionary, unscheduled work and is difficult to predict aside from using historical trends. The following situations are typical triggers for work in the program: shallow facilities found by excavation (the excavation may or may not be related to gas construction), relocation of facilities as requested by others (except for road and highway relocations), leak repairs on mains or services, farm tap elimination, and overbuilds.  Indirect savings from repairing leaks in a permanent manner as opposed to a temporary manner. Leaks that are repaired temporarily require future permanent work as well. Indirect cost savings based on avoided labor that would have occured and charged to expense to do repairs if the capital item had not been completed. CFR 192.465 &amp; CFR192.720 determine how a gas utility manages leaks.</t>
  </si>
  <si>
    <t>Gas PMC Program</t>
  </si>
  <si>
    <t>See Business Case for description. Avista is required by state commission rules and tariffs to annually test gas meters for accuracy and ensure proper metering performance. Execution of this program on an annual basis ensures the continuation of reliable gas measurement for our customers and compliance with the applicable state tariffs.  Customers benefit from this program because it ensures their gas meter remains accurate throughout its service life.</t>
  </si>
  <si>
    <t>Gas Regulator Station Replacement Program</t>
  </si>
  <si>
    <t>See Business Case for full direct/indirect offset description.  This annual program will replace or upgrade existing at-risk Gate Stations, Regulator Stations, Single Service Farm Taps, and Industrial Meter Sets (“stations”) located throughout Avista’s gas territory in WA, ID, and OR that are at the end of their service life and/or not up to current Avista standards.  Direct savings relate to O&amp;M savings due to reduced station maintenance time. Indirect savings relate to outage avoidance.</t>
  </si>
  <si>
    <t>Gas Reinforcement Program</t>
  </si>
  <si>
    <t xml:space="preserve">The intent of this program is to add capacity to the gas distribution system to ensure firm gas customers can receive an adequate supply of natural gas according to design day conditions. Without these reinforcements, customers will remain at risk of losing natural gas service when it is needed most, on the coldest winter days. Direct savings will result from the elimination of the Cold Weather Action Plan (CWAP) if this project is completed as scoped. Based on historical weather data and expected active CWAP occurences, this equates to $2,400 annually.  Indirect savings would result by eliminating the likely outage response that would occur from a cold weather outage in this part of the system if  this project were not complete. Other qauntifiable benefits provided butnot included in the matrix relate to impacts to customer safety and property with an outage. </t>
  </si>
  <si>
    <t>Gas Replacement Street and Highway Program</t>
  </si>
  <si>
    <t>See Business Case for description. Required per franchise agreements with State, County, and City agencies related to gas facilities located in public right of ways, violation of those agreements by not relocating when required to do so, would result in fines.</t>
  </si>
  <si>
    <t>Gas Telemetry Program</t>
  </si>
  <si>
    <t>This business case provides funding for additions, improvements, and replacements to our Gas Telemetry system. Telemetry equipment includes flow computers, electronic volume correctors, and electronic pressure monitors. The system provides safety related pressure monitoring and alarms at Gate Stations, Regulator Stations, Pipelines, Odorizers, and Transportation Customers.  Direct benefits associated with dial up phone troubleshooting. Successful replacement of the equipment at these dial-up sites will allow us to convert to IP cellular communications and eliminate this troubleshooting labor. Indirect benefits associated with regulatory fine avoidance, customer outage avoidance, unplanned replacement avoidance, etc.</t>
  </si>
  <si>
    <t>Gas Transient Voltage Mitigation Program</t>
  </si>
  <si>
    <t>See Business Case for full direct/indirect offset description.  CFR 49 192-467(f) states that pipelines in close proximity to electric systems must be protected against damage from fault currents. The purpose of this program is to investigate and mitigate AC voltage hazards on steel gas piping systems. Avista is mitigating these high voltage conditions because they are a safety risk for both company employees, as well as the general public.  The installation of mitigation equipment reduced O&amp;M expenses. The two main reductions in these costs are due to fewer fault damage incidents that require emergency response, and the reduced need to follow special safety procedures when doing construction or maintenance on the system.</t>
  </si>
  <si>
    <t>Generation Masonry Building Rehabilitation</t>
  </si>
  <si>
    <t xml:space="preserve">Projects in this business case remedy crumbling masonry to maintain safety, reliability, and availability of the hydroelectric generating facilities.  Indirect costs relate to emergency maintanence on buildings covered by this on-going business case are not incremental, as savings occurred in test period are reflective of savings expected on updated buildings in 2023 and beyond. </t>
  </si>
  <si>
    <t>Generation, Substation &amp; Gas Location Security</t>
  </si>
  <si>
    <t>The security of our electric and natural gas infrastructure is a significant priority at a national and regional level and is of critical importance to Avista customers across our service territory. Keeping the systems at these locations performing is critical to delivering electric and gas service to our customers. No direct offsets identified. Indirect offsets are achieved through cost avoidance associated with a physical security incident at a generation, substation, and gas location.</t>
  </si>
  <si>
    <t>HMI Control Software</t>
  </si>
  <si>
    <t>Avista’s Human Machine Interface (HMI) system is used to safely, reliably, and securely operate generating systems in accordance with NERC Critical Infrastructure Protection (CIP) Standards, and includes cyber assets that allows operator to control generation systems from various physical locations within Avista’s secured generation control network.
Direct and indirect offsets have been identified, however, they are not quanitifable at this time.</t>
  </si>
  <si>
    <t>Human Resources Technology</t>
  </si>
  <si>
    <t xml:space="preserve">The Human Resources Technology (HRT) Program1 Business Case sponsors the technology related applications that support the Human Resources (HR) business areas operational and strategic initiatives. Direct savings related to reductions in printing, copier maintenance and filing of paper documents.  Indirect savings related to labor efficiencies and productivity, allowing existing staff to be more productive, and avoid need for future hiring.  </t>
  </si>
  <si>
    <t>Identity and Access Governance</t>
  </si>
  <si>
    <t>Mandatory &amp; Compliance is the main driver behind the IAG program in response to meeting Sarbanes-Oxley (SOX) compliance requirements. It ensures that Avista has the internal controls to limit access to individuals only to information and resources necessary to perform their current and intended job functions.</t>
  </si>
  <si>
    <t>Joint Use</t>
  </si>
  <si>
    <t>Regulation/
Reliability</t>
  </si>
  <si>
    <t xml:space="preserve">See Business Case for description. Required per Joint Use licenses.  Direct capital savings - Joint use licensees pay for up to half of the cost of pole replacements and infrastructure upgrades.  Indirect benefit quantified associated with reliability of network and avoided future outage cost to customers.  </t>
  </si>
  <si>
    <t>Land Mobile Radio &amp; Real Time Communication Systems</t>
  </si>
  <si>
    <t>Safety</t>
  </si>
  <si>
    <t xml:space="preserve">The Land Mobile Radio &amp; Real Time Communication Systems Program1 Business Case sponsors the tools and systems used by gas and electric crews to communicate. This communication is with Dispatch and System operations as well as direct communication between crews. Avista’s service territory consists of urban and rural environments with topologically difficult to reach areas. There are no direct davings identified. Indirect savings related to avoiding these downtime issues could range from $100k -$10M a year representing at least 1 full-time employee up to 100 full-time employees needed to implement manual processes.  (Company used $5M conservative annual savings divide by 5 Business Cases with similar indirect savings quantified.) </t>
  </si>
  <si>
    <t>LED Change-Out Program</t>
  </si>
  <si>
    <t>No quantified direct or indirect offsets, see business case.</t>
  </si>
  <si>
    <t>Legal &amp; Compliance Technology</t>
  </si>
  <si>
    <t>This Business Case is necessary to fund the portfolio of components that maintain the technology and licenses required to meet the Legal and Compliance internal and external business processes and strategic objectives. The work under this business case enables improvements in these processes thus creating indirect labor efficiencies.</t>
  </si>
  <si>
    <t>Long Lake Plant Upgrade</t>
  </si>
  <si>
    <t>The program includes a full plant condition assessment, replacement of all Generating Units, Generator Step-up Transformers (GSUs), Station Service, and many of the mechanical, electrical, and controls systems and equipment have met their end of useful life. Direct offsets include an increase in production and a reduction in labor and equipment for unplanned maintenance and breakdowns. Indirect offsets include savings for a reduction in forced outages that reduce generation and less risik of outages leading to greater ability to plan employees work rather than reacting to breakdowns and failures.</t>
  </si>
  <si>
    <t>Monroe Street Abandoned Penstock Stabilization</t>
  </si>
  <si>
    <t>Equipment at end of its useful life and needs replaced to ensure that Monroe Street Dam continues to provide safe, reliable, and affordable energy to Avista’s customers.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less 2022-2023, or approx. $300,000.</t>
  </si>
  <si>
    <t>Network Backbone</t>
  </si>
  <si>
    <t>New Revenue - Growth</t>
  </si>
  <si>
    <t>See Other Revenue Offset included in Adjustment PF 4.02 and PF 5.08.</t>
  </si>
  <si>
    <r>
      <t xml:space="preserve">See Business Case for description. </t>
    </r>
    <r>
      <rPr>
        <b/>
        <sz val="11"/>
        <color rgb="FFFF0000"/>
        <rFont val="Calibri"/>
        <family val="2"/>
        <scheme val="minor"/>
      </rPr>
      <t>See Other Revenue Offset included in Adjustment PF 4.02 and PF 5.08.</t>
    </r>
  </si>
  <si>
    <t>Nine Mile Units 3 &amp; 4 Control Upgrade</t>
  </si>
  <si>
    <t>Use Per Customer</t>
  </si>
  <si>
    <t>Oil Storage Improvements</t>
  </si>
  <si>
    <t>No direct or indirect offsets quantified, see Business Case.</t>
  </si>
  <si>
    <t>Outage Management System &amp; Advanced Distribution Management System (OMS &amp; ADMS)</t>
  </si>
  <si>
    <t xml:space="preserve">Avista can gain significant operations and business advantages by replacing the OMT and the DMS with an ADMS.  No direct offsets identified. Indirect capital savings related to improved storm response and O&amp;M savings related to field personnel, distribution operations personnel, and storm response. </t>
  </si>
  <si>
    <t>Peaking Generation Business Case</t>
  </si>
  <si>
    <t>Post Falls North Channel Spillway Rehabilitation</t>
  </si>
  <si>
    <t>Regulating Hydro</t>
  </si>
  <si>
    <t>Saddle Mountain 230/115kV Station (New) Integration Project Phase 2</t>
  </si>
  <si>
    <t>This business case would replace the Othello City substation with a new station having 2-30MVA transformers. The business case also includes substancial upgrades to thetransmission system in the area to integrate the new Othello City substation with the new Saddle Mountain substation. No direct savings identified. Indirect savings to customers, estimate based risk of 1 outage per year.</t>
  </si>
  <si>
    <t>SCADA - SOO and BuCC</t>
  </si>
  <si>
    <t>See Business Case for description. NERC CIP-007 requires Avista to address security vulnerabilities within Electronic Security Perimeters, TOP-001-5 Real-time Assessment requirements, CIP-012 Protections, failure to meet these NERC requirements result in penalties</t>
  </si>
  <si>
    <t>Security Compliance</t>
  </si>
  <si>
    <t>Maintaining compliance helps Avista reduce the likelihood of security breaches while also avoiding financial penalties from regulatory bodies. Regulatory bodies requiring increased security posture include the U.S. Department of Energy (FERC/NERC CIP Requirements), U.S. Department of Homeland Security (TSA SD1 and SD2), and potentially the U.S. Department of Defense (Cybersecurity Maturity Model Certification and Compliance).</t>
  </si>
  <si>
    <t>Spokane River License Implementation</t>
  </si>
  <si>
    <t>Non-federal hydroelectric facilities must have a license from the Federal Energy Regulatory Commission (FERC) to operate. Avista’s first Spokane River Project License expired in 2007, and after a multi-year process involving hundreds of stakeholders, FERC issued Avista a new 50-year license for the continued operation and maintenance of the Spokane River Project (No. 2545, effective June 18, 2009).</t>
  </si>
  <si>
    <t>Structures and Improvements/Furniture</t>
  </si>
  <si>
    <t>This program is responsible for the capital maintenance, site improvement, and furniture budgets at over 75 Avista offices, Service Centers, storage buildings, and pole structures (1.2M total square feet) companywide.  Direct O&amp;M savings associated with energy efficiency of newer equipment, Direct Capital reduced due to reduced scope of work, Indirect O&amp;M avoided due to unplanned failures if work not complete, more efficient workspace, etc.</t>
  </si>
  <si>
    <t>Technology Failed Assets</t>
  </si>
  <si>
    <t xml:space="preserve">The Technology Failed Assets Program Business Case sponsors the tools and systems used by the technology teams to support business applications. Technology assets enable automated and necessary business processes in a modern innovative world. There are no direct offsets identified. Indirect savings related to operating expenses could range from $100k - $10M a year representing at least 1 full-time employee up to 100 full-time employees needed to implement manual processes. (Company used $5M conservative annual savings divide by 5 Business Cases with similar indirect savings quantified.) </t>
  </si>
  <si>
    <t>Transmission - Minor Rebuild- Asset Condition</t>
  </si>
  <si>
    <t xml:space="preserve">This business case covers the Transmission rebuild and reconductor work necessaryy to maintain compliance with NERC FAC-501-WECC-1 as applied through Avista's Transmission MAintenance Inspection Program (TMIP). There are no direct offsets identified. Indirect O&amp;M offsets related to the changing out of conductor associated with the 2023 Metro Sunset Rebuild Project. </t>
  </si>
  <si>
    <t>New Customer Usage</t>
  </si>
  <si>
    <t>Transmission - Performance &amp; Capacity</t>
  </si>
  <si>
    <t>Transmission Construction - Compliance</t>
  </si>
  <si>
    <t>See Business Case for description. The solution to build, rebuild, or reconduct transmission lines as identified in the Corrective Action Plans to stay in compliance with NERC mandatory and enforceable Reliability Standards (most notable TPL-001-4) and NESC code (via WAC).</t>
  </si>
  <si>
    <t>Transmission Major Rebuild - Asset Condition</t>
  </si>
  <si>
    <t>This business case covers major rebuilds of transmission lines due to overall asset condition. Directs offsets are incremental costs with performing work under emergency conditions versus planned conditions (such as overtime wages and increases contractuaral expenditures).  There are no indirect offsets associated with this project.</t>
  </si>
  <si>
    <t>Transmission NERC Low-Risk Priority Lines Mitigation</t>
  </si>
  <si>
    <t>See Business Case for description. This program was undertaken in response to the October 7, 2012 North American Electric Reliability Corporations (NERC) "NERC Alert" - Recommendation to Industry, "Consideration of Actual Field Conditions in Determination of Facility Ratings". Mitigation brings lines in compliance with the National Electric Safety Code (NESC) minimum clearances values. These code minimums have also been adopted into the State of Washington's Administrative Code (WAC).</t>
  </si>
  <si>
    <t>Upper Falls Trash Rake Replacement</t>
  </si>
  <si>
    <t>The replacement intake rake is not anticipated to be faster or more efficient but will address safety concerns. This project also will not impact operations and maintenances costs as  the new rake will require similar maintenance as the existing.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$300,000 or approx. $30,000 annually.</t>
  </si>
  <si>
    <t>Use Permits</t>
  </si>
  <si>
    <t>Costs of acquiring legal rights to maintain and/or extend rights-of-way (ROW) for Avista’s electric transmission/distribution and gas infrastructure across public lands.</t>
  </si>
  <si>
    <t>Westside 230/115kV Station Brownfield Rebuild Project</t>
  </si>
  <si>
    <t>Howell</t>
  </si>
  <si>
    <t>Wildfire Resiliency Plan</t>
  </si>
  <si>
    <t>See Business Case for Description.  Indirect offset assumes avoided future event.  See business case section 2.4 in Exh DHR-5. Amounts based on "Optimistic indirect benefits of $530M over the life of the plan, or $53M annually.</t>
  </si>
  <si>
    <t>Wood Pole Management</t>
  </si>
  <si>
    <t>WPM work encompasses Avista’s electric distribution overhead facilities in Washington, Idaho, and Montana. In order to maintain a seventeen-year cycle for the next ten years, approximately 13,000 poles need to be inspected and follow-up work completed annually. There are no incremetnal direct savings beyind the tes teriod. Indirect O&amp;M savings are related to the interruption cost estimate. There are no capital direct or indirect savings identified.</t>
  </si>
  <si>
    <t>WSDOT Control Zone Mitigation</t>
  </si>
  <si>
    <t>See Business Case for description. Required per RCW Title 47 Public Highways and Transportation. The quantified indirect savings for 2024 is $1,058,000 and the lifetime indirect savings is $5,656,750. This is based on mitigating approximately three franchise agreements per year.</t>
  </si>
  <si>
    <t>WSDOT Franchises</t>
  </si>
  <si>
    <t>This program will renew expired franchises for Avista facilities located within Washington State highway rights of way. ln accordance with Washington Administrative Code (WAC) 468-34 and Revised Code of Washington (RCW) 47.44, Avista enters into 25-year agreements with the Washington State Department of Transportation (WSDOT) to permit Avista to construct, operate and maintain electric and gas facilities within Washington highway rights of way.</t>
  </si>
  <si>
    <t>NexGen Control Systems Networks</t>
  </si>
  <si>
    <t xml:space="preserve">This NexGen Control System Networks (NCSN) Program[1] Business Case will administer projects specifically scoped to replace products and services on our control system communication networks that have been designed and provisioned over time division multiplexing (TDM) methodologies. Direct capital and O&amp;M offsets are related to LightRiver Envision Plus Licensing and Carrier MRCs savings that will be realized once these leased services are disconnected. There are no indirect offsets quantified.
</t>
  </si>
  <si>
    <t>Forecasted Block Allocation</t>
  </si>
  <si>
    <t>Coyote Springs 2 CT Rotor Replacement</t>
  </si>
  <si>
    <t>Asset Lifecycle Management</t>
  </si>
  <si>
    <t>Operational Safety and Compliance</t>
  </si>
  <si>
    <t>Operational Sustainment</t>
  </si>
  <si>
    <t>Long Lake Stability Enhancement</t>
  </si>
  <si>
    <t>Nine Mile Unit 3 Mechanical Overhaul</t>
  </si>
  <si>
    <t>The runners, as well as other critical mechanical components, including buckets, are not performing and are approaching end of life at Nine Mile Unit 3.
Direct O&amp;M savings relate to maintenance charges in responding to failed components and mitigate the risk of unanticipated failures.</t>
  </si>
  <si>
    <t>Noxon Rapids Gantry Crane Refurbishment</t>
  </si>
  <si>
    <t>Noxon Rapids Unit 2 Generator Rewind</t>
  </si>
  <si>
    <t>Post Falls HED Redevelopment Program</t>
  </si>
  <si>
    <t>Post Falls HED be redeveloped by shutting down the plant, removing the old equipment, and replacing it in entirety with new. Included in this scoping effort was a needed substation replacement. No direct or indirect offsets for capital and O&amp;M during the 2024-2026 timeperiod. Future years indirect offsets relate to the emergency replacement avoided costs.</t>
  </si>
  <si>
    <t>Capital Equipment Program</t>
  </si>
  <si>
    <t>The Capital Equipment Program funds the essential tools required for Avista employees to perform work efficiently and safely. This equipment is necessary to construct, monitor, ensure system integrity, and properly repair and maintain the Avista systems (electric, gas, communications, fleet, facilities, and generation).  There are no direct offsets related to this business case. Indirect O&amp;M offsets are the savings if equipment is rented.</t>
  </si>
  <si>
    <t>Local Reps Office Program</t>
  </si>
  <si>
    <t>CDWA</t>
  </si>
  <si>
    <t>While the properties in Ritzville and Chewelah Local Reps offices are large enough to accommodate the needs of the business the locations and quality of the buildings themselves needs to be addressed. No direct offsets identified. Indirect O&amp;M offsets related to improved business operations and time efficiencies for crews.</t>
  </si>
  <si>
    <t>Palouse Service Center</t>
  </si>
  <si>
    <t>Telecommunication &amp; Network Distribution location Security</t>
  </si>
  <si>
    <t>The Telecommunications and Network Distribution Location Security program business case addresses security risks by protecting these locations. Keeping the systems at these locations performing is critical to support our day-to-day operations, which is the reason technicians immediately deploy when alarms show that systems are down and require intervention.  No direct offsets identified. Indirect offsets are the avoided costs from a physical and cyber security breach resulting from an intrusion or attack at one of these locations. Depending on the severity of the breach, the costs can vary from simple repairs to larger replacements.</t>
  </si>
  <si>
    <t>Generation Interconnection</t>
  </si>
  <si>
    <t>Metro Substation</t>
  </si>
  <si>
    <t>This business case will address both the equipment and site issues in the most efficient and affordable way possible. No direct offsets identified. Indirect capital and O&amp;M offsets include servicemen that will spend less time maintaining and ‘limping along’ equipment. They will complete the work more efficiently since the safety issues (i.e., switchgear arch flash) are not present and do not have to planned for (i.e., Arc Flash suits are not required). The savings could be as much as $180,000 per year in additional Serviceman labor (salary plus overhead costs) system wide.</t>
  </si>
  <si>
    <t>Substation - Performance and Capacity</t>
  </si>
  <si>
    <t>Transmission Critical Crossing Reinforcement</t>
  </si>
  <si>
    <t>This case identifies high failure consequence asset/structure location; that, if subject to failure, would create life loss or injury conditions. Direct captital offsets are incremetal costs with performing work under emergency conditions versus planned conditions. There are no indirect offsets identified.</t>
  </si>
  <si>
    <t>Jackson Prairie Natural Gas Storage Facility</t>
  </si>
  <si>
    <t>Meter Minor Blanket</t>
  </si>
  <si>
    <t>Gas Overbuilt Pipe Replacement Program</t>
  </si>
  <si>
    <t>KF 4160 V Station Service Replacement</t>
  </si>
  <si>
    <t>Base Rates Effective 12/21/2023</t>
  </si>
  <si>
    <t>KF Secondary Superheater Replacement</t>
  </si>
  <si>
    <t>Base Rate</t>
  </si>
  <si>
    <t>KF_Ash Landfill Expansion</t>
  </si>
  <si>
    <t>The Phase 3 landfill will require mandatory proper closure following the Department of Ecology guidelines for retiring landfills. Without having a disposal site for the ash, the plant would be forced to close or operate as a natural gas fire unit which would lose 53 MW’s of renewable resources from Avista’s portfolio.</t>
  </si>
  <si>
    <t>Basic Charge</t>
  </si>
  <si>
    <t>KF_ID Fan &amp; Motor Replacement</t>
  </si>
  <si>
    <t>n/a</t>
  </si>
  <si>
    <t>Little Falls Crane Pad &amp; Barge Landing</t>
  </si>
  <si>
    <t>No direct or indirect offsets, see Business Case.</t>
  </si>
  <si>
    <t>Nine Mile Powerhouse Roof Replacement</t>
  </si>
  <si>
    <t>Noxon Rapids Spillgate Refurbishment</t>
  </si>
  <si>
    <t>Post Street Substation Crane Rehab</t>
  </si>
  <si>
    <t>Substation - Asset Condition (formerly, Substation Station Rebuilds)</t>
  </si>
  <si>
    <t>Avista substations have numerous age related issues that lead to repeated failures and need to be addressed on a regular basis. At a point where an overwhelming number of issues in a substation yard exist, rebuilding the entire substation is necessary. There are no direct offsets. The indirect offsets assume that each substation has four pieces of equipment that require ‘limp along’ maintenance (power transformer, low voltage breaker recloser, high voltage breaker, and a voltage regulator). It is assumed that a Generation Production &amp; Substation Support (GPSS) Serviceman spends approximately 10 hours each week driving to a substation, maintaining equipment to ‘limp it along’ instead of replacing it, and cleaning up.</t>
  </si>
  <si>
    <t>West Plains System Reinforcement (formerly, West Plains New 230kV Substation)</t>
  </si>
  <si>
    <t xml:space="preserve">See Business Case for Description. No direct or indirect offsets quantified. </t>
  </si>
  <si>
    <t>Base Revenue from "New Customers"</t>
  </si>
  <si>
    <t>Infrastructure as Code (formerly, Dynamic Infrastructure Program)</t>
  </si>
  <si>
    <t>Growth Revenue - included in other revenues
* No offsets provided for projects starting in 2024; 2% efficiency adjustment applied.</t>
  </si>
  <si>
    <t>2024 WA-E
Direct</t>
  </si>
  <si>
    <t>2025 WA-E Direct</t>
  </si>
  <si>
    <t>2025 WA-G Direct</t>
  </si>
  <si>
    <t>2026 WA-E Direct</t>
  </si>
  <si>
    <t>2026 WA-G Direct</t>
  </si>
  <si>
    <t>2024 WA-E
Indirect</t>
  </si>
  <si>
    <t>2024 WA-G Indirect</t>
  </si>
  <si>
    <t>2025 WA-E Indirect</t>
  </si>
  <si>
    <t>2025 WA-G Indirect</t>
  </si>
  <si>
    <t>Base Block 1</t>
  </si>
  <si>
    <t>Base Block 2</t>
  </si>
  <si>
    <t>Base Block 3</t>
  </si>
  <si>
    <t>Total 2024-2026 Direct Offsets</t>
  </si>
  <si>
    <t>Gas Direct</t>
  </si>
  <si>
    <t>WA P/T</t>
  </si>
  <si>
    <t>E Dist</t>
  </si>
  <si>
    <t>G Dist</t>
  </si>
  <si>
    <t>Total New Customer Base Revenue by Year</t>
  </si>
  <si>
    <t>New Customer Base Revenue</t>
  </si>
  <si>
    <t>Average # of New Customers</t>
  </si>
  <si>
    <t>Average Revenue per New Customer</t>
  </si>
  <si>
    <t>12 ME 12.2025</t>
  </si>
  <si>
    <t>12 ME 12.2026</t>
  </si>
  <si>
    <t>Total (WA101/102/111)</t>
  </si>
  <si>
    <t>Average New Customer</t>
  </si>
  <si>
    <t>Base Block 5</t>
  </si>
  <si>
    <t>Base Block 4</t>
  </si>
  <si>
    <t>WA111</t>
  </si>
  <si>
    <t>WA101</t>
  </si>
  <si>
    <t>WA146</t>
  </si>
  <si>
    <t>WA132</t>
  </si>
  <si>
    <t>WA112</t>
  </si>
  <si>
    <t>WA101/102</t>
  </si>
  <si>
    <t>WA121</t>
  </si>
  <si>
    <t>Forecasted Usage</t>
  </si>
  <si>
    <t>Customer Count</t>
  </si>
  <si>
    <t>Source: "12MEJUN23" tab in Miller WP file (WA Natural Gas Revenue - PF)</t>
  </si>
  <si>
    <t xml:space="preserve">Please see Supplemental Exh. JCA-4 for source information. </t>
  </si>
  <si>
    <t xml:space="preserve">Please see Supplemental Exh. JCA-5 for source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</si>
</sst>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_(&quot;$&quot;#,###_);_(&quot;$&quot;\ \(#,###\);_(* _);_(@_)"/>
    <numFmt numFmtId="169" formatCode="0.000000"/>
    <numFmt numFmtId="170" formatCode="0.000%"/>
    <numFmt numFmtId="171" formatCode="_(* #,##0_);_(* \(#,##0\);_(* &quot;-&quot;??_);_(@_)"/>
    <numFmt numFmtId="172" formatCode="_(&quot;$&quot;* #,##0_);_(&quot;$&quot;* \(#,##0\);_(&quot;$&quot;* &quot;-&quot;??_);_(@_)"/>
    <numFmt numFmtId="173" formatCode="0000.00"/>
    <numFmt numFmtId="174" formatCode="0000"/>
    <numFmt numFmtId="175" formatCode="_(* #,##0.00000_);_(* \(#,##0.00000\);_(* &quot;-&quot;_);_(@_)"/>
    <numFmt numFmtId="176" formatCode="_(* #,##0.000000_);_(* \(#,##0.000000\);_(* &quot;-&quot;_);_(@_)"/>
    <numFmt numFmtId="177" formatCode="_(* #,##0.000000_);_(* \(#,##0.000000\);_(* &quot;-&quot;??_);_(@_)"/>
    <numFmt numFmtId="178" formatCode="0.00000"/>
    <numFmt numFmtId="179" formatCode="0.0000%"/>
    <numFmt numFmtId="180" formatCode="0_);\(0\)"/>
    <numFmt numFmtId="181" formatCode="_(* #,##0.0_);_(* \(#,##0.0\);_(* &quot;-&quot;??_);_(@_)"/>
    <numFmt numFmtId="182" formatCode="0.00000%"/>
    <numFmt numFmtId="183" formatCode="0.0000000%"/>
    <numFmt numFmtId="184" formatCode="&quot;$&quot;#,##0.00"/>
    <numFmt numFmtId="185" formatCode="#,##0.0000"/>
    <numFmt numFmtId="186" formatCode="#,##0.00\ ;\(#,##0.00\)"/>
    <numFmt numFmtId="187" formatCode="[$$-409]#,##0.00;\([$$-409]#,##0.00\)"/>
    <numFmt numFmtId="188" formatCode="\(0\)"/>
    <numFmt numFmtId="189" formatCode="0;\(0\)"/>
    <numFmt numFmtId="190" formatCode="_(&quot;$&quot;* #,##0.0_);_(&quot;$&quot;* \(#,##0.0\);_(&quot;$&quot;* &quot;-&quot;??_);_(@_)"/>
    <numFmt numFmtId="191" formatCode="#,###,###,###,##0"/>
    <numFmt numFmtId="192" formatCode="&quot;(&quot;0&quot;)&quot;"/>
    <numFmt numFmtId="193" formatCode="&quot;#&quot;\ 0"/>
    <numFmt numFmtId="194" formatCode="00000"/>
    <numFmt numFmtId="195" formatCode="0."/>
    <numFmt numFmtId="196" formatCode="[$-409]mmmm/yy;@"/>
    <numFmt numFmtId="197" formatCode="[$-409]mmm\-yy;@"/>
    <numFmt numFmtId="198" formatCode="#,##0.00000"/>
    <numFmt numFmtId="199" formatCode="#,##0.000\¢\ ;\(#,##0.000\¢\)"/>
    <numFmt numFmtId="200" formatCode="#,##0.000000"/>
    <numFmt numFmtId="201" formatCode="#,###,###,###.00"/>
    <numFmt numFmtId="202" formatCode="#,###,###,###,###.00"/>
    <numFmt numFmtId="203" formatCode="#,##0.000,"/>
    <numFmt numFmtId="204" formatCode="#,##0;\-#,##0;"/>
    <numFmt numFmtId="205" formatCode="#,##0.000"/>
    <numFmt numFmtId="206" formatCode="#,##0_);\(#,##0\);"/>
    <numFmt numFmtId="207" formatCode="&quot;$&quot;#,##0_);\(&quot;$&quot;#,##0\);"/>
    <numFmt numFmtId="208" formatCode="#,##0.000\¢\ ;\(#,##0.000\¢\);"/>
    <numFmt numFmtId="209" formatCode="&quot;$&quot;#,##0.00;\-&quot;$&quot;#,##0.00;"/>
    <numFmt numFmtId="210" formatCode="&quot;$&quot;#,##0.0;\-&quot;$&quot;#,##0;"/>
    <numFmt numFmtId="211" formatCode=";;;"/>
    <numFmt numFmtId="212" formatCode="#,##0_);[Red]\(#,##0\);&quot; &quot;"/>
    <numFmt numFmtId="213" formatCode="#,###,###,###"/>
    <numFmt numFmtId="214" formatCode="###,###,##0"/>
    <numFmt numFmtId="215" formatCode="0.0000"/>
    <numFmt numFmtId="216" formatCode="_(* #,##0.000_);_(* \(#,##0.000\);_(* &quot;-&quot;??_);_(@_)"/>
    <numFmt numFmtId="217" formatCode="mm/dd/yyyy"/>
    <numFmt numFmtId="218" formatCode="_(* #,##0.00000000_);_(* \(#,##0.00000000\);_(* &quot;-&quot;??_);_(@_)"/>
    <numFmt numFmtId="219" formatCode="_([$$-409]* #,##0_);_([$$-409]* \(#,##0\);_([$$-409]* &quot;-&quot;??_);_(@_)"/>
    <numFmt numFmtId="220" formatCode="_(&quot;$&quot;* #,##0.00000_);_(&quot;$&quot;* \(#,##0.00000\);_(&quot;$&quot;* &quot;-&quot;??_);_(@_)"/>
  </numFmts>
  <fonts count="2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62"/>
      <name val="Times New Roman"/>
      <family val="1"/>
    </font>
    <font>
      <sz val="10"/>
      <color indexed="21"/>
      <name val="Times New Roman"/>
      <family val="1"/>
    </font>
    <font>
      <sz val="10"/>
      <color indexed="12"/>
      <name val="Times New Roman"/>
      <family val="1"/>
    </font>
    <font>
      <sz val="10"/>
      <color indexed="10"/>
      <name val="Times New Roman"/>
      <family val="1"/>
    </font>
    <font>
      <b/>
      <sz val="8"/>
      <color indexed="81"/>
      <name val="Tahoma"/>
      <family val="2"/>
    </font>
    <font>
      <sz val="10"/>
      <color indexed="48"/>
      <name val="Times New Roman"/>
      <family val="1"/>
    </font>
    <font>
      <sz val="8"/>
      <name val="Arial"/>
      <family val="2"/>
    </font>
    <font>
      <b/>
      <sz val="14"/>
      <name val="Times New Roman"/>
      <family val="1"/>
    </font>
    <font>
      <sz val="10"/>
      <color indexed="57"/>
      <name val="Times New Roman"/>
      <family val="1"/>
    </font>
    <font>
      <sz val="12"/>
      <name val="Times New Roman"/>
      <family val="1"/>
    </font>
    <font>
      <b/>
      <sz val="12"/>
      <name val="Times New Roman"/>
      <family val="1"/>
    </font>
    <font>
      <b/>
      <sz val="11"/>
      <name val="Times New Roman"/>
      <family val="1"/>
    </font>
    <font>
      <u/>
      <sz val="10"/>
      <color theme="0"/>
      <name val="Arial"/>
      <family val="2"/>
    </font>
    <font>
      <u/>
      <sz val="7.5"/>
      <color theme="0"/>
      <name val="Arial"/>
      <family val="2"/>
    </font>
    <font>
      <sz val="8"/>
      <name val="Times New Roman"/>
      <family val="1"/>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sz val="9"/>
      <color rgb="FF0033CC"/>
      <name val="Times New Roman"/>
      <family val="1"/>
    </font>
    <font>
      <sz val="12"/>
      <color indexed="10"/>
      <name val="Times New Roman"/>
      <family val="1"/>
    </font>
    <font>
      <sz val="11"/>
      <name val="Tms Rmn"/>
    </font>
    <font>
      <i/>
      <sz val="8"/>
      <name val="Times New Roman"/>
      <family val="1"/>
    </font>
    <font>
      <sz val="11"/>
      <name val="Times New Roman"/>
      <family val="1"/>
    </font>
    <font>
      <sz val="10"/>
      <name val="Tahoma"/>
      <family val="2"/>
    </font>
    <font>
      <sz val="12"/>
      <name val="Tms Rmn"/>
    </font>
    <font>
      <sz val="10"/>
      <color rgb="FF002060"/>
      <name val="Times New Roman"/>
      <family val="1"/>
    </font>
    <font>
      <sz val="10"/>
      <color rgb="FFFF0000"/>
      <name val="Times New Roman"/>
      <family val="1"/>
    </font>
    <font>
      <sz val="12"/>
      <name val="Arial"/>
      <family val="2"/>
    </font>
    <font>
      <sz val="12"/>
      <color indexed="12"/>
      <name val="Times New Roman"/>
      <family val="1"/>
    </font>
    <font>
      <sz val="10"/>
      <color rgb="FF0000FF"/>
      <name val="Times New Roman"/>
      <family val="1"/>
    </font>
    <font>
      <i/>
      <sz val="12"/>
      <name val="Times New Roman"/>
      <family val="1"/>
    </font>
    <font>
      <b/>
      <sz val="10"/>
      <color rgb="FFFF0000"/>
      <name val="Times New Roman"/>
      <family val="1"/>
    </font>
    <font>
      <sz val="9"/>
      <name val="Arial"/>
      <family val="2"/>
    </font>
    <font>
      <sz val="10"/>
      <color theme="1"/>
      <name val="Arial"/>
      <family val="2"/>
    </font>
    <font>
      <sz val="10"/>
      <color rgb="FF7030A0"/>
      <name val="Times New Roman"/>
      <family val="1"/>
    </font>
    <font>
      <b/>
      <sz val="7"/>
      <color rgb="FFFF0000"/>
      <name val="Times New Roman"/>
      <family val="1"/>
    </font>
    <font>
      <sz val="10"/>
      <name val="Tms Rmn"/>
    </font>
    <font>
      <sz val="10"/>
      <name val="Courier"/>
      <family val="3"/>
    </font>
    <font>
      <sz val="9"/>
      <name val="Courier"/>
    </font>
    <font>
      <sz val="9"/>
      <name val="Courier"/>
      <family val="3"/>
    </font>
    <font>
      <sz val="11"/>
      <color theme="1"/>
      <name val="Times New Roman"/>
      <family val="2"/>
    </font>
    <font>
      <sz val="10"/>
      <color theme="1"/>
      <name val="Tahoma"/>
      <family val="2"/>
    </font>
    <font>
      <sz val="12"/>
      <color theme="1"/>
      <name val="Times New Roman"/>
      <family val="2"/>
    </font>
    <font>
      <sz val="8"/>
      <name val="LinePrinter"/>
    </font>
    <font>
      <sz val="10"/>
      <color rgb="FF000000"/>
      <name val="Times New Roman"/>
      <family val="1"/>
    </font>
    <font>
      <sz val="10"/>
      <name val="Courier"/>
    </font>
    <font>
      <sz val="9"/>
      <color indexed="10"/>
      <name val="Times New Roman"/>
      <family val="1"/>
    </font>
    <font>
      <b/>
      <sz val="10"/>
      <name val="Arial"/>
      <family val="2"/>
    </font>
    <font>
      <sz val="9"/>
      <color indexed="81"/>
      <name val="Tahoma"/>
      <family val="2"/>
    </font>
    <font>
      <b/>
      <sz val="10"/>
      <color rgb="FF0000FF"/>
      <name val="Times New Roman"/>
      <family val="1"/>
    </font>
    <font>
      <i/>
      <sz val="10"/>
      <color rgb="FFFF0000"/>
      <name val="Times New Roman"/>
      <family val="1"/>
    </font>
    <font>
      <b/>
      <sz val="12"/>
      <color indexed="48"/>
      <name val="Times New Roman"/>
      <family val="1"/>
    </font>
    <font>
      <sz val="12"/>
      <color indexed="48"/>
      <name val="Times New Roman"/>
      <family val="1"/>
    </font>
    <font>
      <b/>
      <sz val="10"/>
      <color rgb="FF000000"/>
      <name val="Times New Roman"/>
      <family val="1"/>
    </font>
    <font>
      <b/>
      <sz val="10"/>
      <color theme="1"/>
      <name val="Times New Roman"/>
      <family val="1"/>
    </font>
    <font>
      <b/>
      <u/>
      <sz val="10"/>
      <name val="Times New Roman"/>
      <family val="1"/>
    </font>
    <font>
      <sz val="10"/>
      <color theme="1"/>
      <name val="Times New Roman"/>
      <family val="1"/>
    </font>
    <font>
      <sz val="10"/>
      <name val="Calibri"/>
      <family val="2"/>
    </font>
    <font>
      <sz val="11"/>
      <color rgb="FFFF0000"/>
      <name val="Calibri"/>
      <family val="2"/>
      <scheme val="minor"/>
    </font>
    <font>
      <b/>
      <sz val="11"/>
      <color theme="1"/>
      <name val="Calibri"/>
      <family val="2"/>
      <scheme val="minor"/>
    </font>
    <font>
      <sz val="11"/>
      <color theme="0"/>
      <name val="Calibri"/>
      <family val="2"/>
      <scheme val="minor"/>
    </font>
    <font>
      <sz val="10"/>
      <color rgb="FF325886"/>
      <name val="Arial"/>
      <family val="2"/>
    </font>
    <font>
      <u/>
      <sz val="10"/>
      <name val="Arial"/>
      <family val="2"/>
    </font>
    <font>
      <sz val="10"/>
      <color rgb="FF00B0F0"/>
      <name val="Geneva"/>
    </font>
    <font>
      <b/>
      <sz val="10"/>
      <color rgb="FFFF0000"/>
      <name val="Geneva"/>
    </font>
    <font>
      <b/>
      <sz val="10"/>
      <name val="Geneva"/>
    </font>
    <font>
      <u/>
      <sz val="10"/>
      <name val="Geneva"/>
    </font>
    <font>
      <sz val="10"/>
      <color indexed="12"/>
      <name val="Geneva"/>
    </font>
    <font>
      <sz val="10"/>
      <color rgb="FFFF0000"/>
      <name val="Geneva"/>
    </font>
    <font>
      <i/>
      <sz val="10"/>
      <color rgb="FFFF0000"/>
      <name val="Geneva"/>
    </font>
    <font>
      <b/>
      <sz val="10"/>
      <color indexed="8"/>
      <name val="Arial"/>
      <family val="2"/>
    </font>
    <font>
      <sz val="10"/>
      <color indexed="8"/>
      <name val="Times New Roman"/>
      <family val="1"/>
    </font>
    <font>
      <sz val="10"/>
      <color indexed="8"/>
      <name val="Geneva"/>
    </font>
    <font>
      <sz val="10"/>
      <color theme="0"/>
      <name val="Geneva"/>
    </font>
    <font>
      <b/>
      <sz val="10"/>
      <color indexed="8"/>
      <name val="Times New Roman"/>
      <family val="1"/>
    </font>
    <font>
      <sz val="10"/>
      <color indexed="14"/>
      <name val="Geneva"/>
    </font>
    <font>
      <sz val="10"/>
      <color rgb="FF00B050"/>
      <name val="Geneva"/>
    </font>
    <font>
      <sz val="10"/>
      <color rgb="FF00B0F0"/>
      <name val="Times New Roman"/>
      <family val="1"/>
    </font>
    <font>
      <sz val="10"/>
      <color theme="4" tint="-0.249977111117893"/>
      <name val="Times New Roman"/>
      <family val="1"/>
    </font>
    <font>
      <sz val="10"/>
      <color indexed="8"/>
      <name val="Arial"/>
      <family val="2"/>
    </font>
    <font>
      <b/>
      <u/>
      <sz val="10"/>
      <name val="Arial"/>
      <family val="2"/>
    </font>
    <font>
      <b/>
      <sz val="10"/>
      <color indexed="10"/>
      <name val="Times New Roman"/>
      <family val="1"/>
    </font>
    <font>
      <i/>
      <sz val="11"/>
      <color theme="1"/>
      <name val="Calibri"/>
      <family val="2"/>
      <scheme val="minor"/>
    </font>
    <font>
      <b/>
      <sz val="9"/>
      <color indexed="81"/>
      <name val="Tahoma"/>
      <family val="2"/>
    </font>
    <font>
      <sz val="8"/>
      <color indexed="81"/>
      <name val="Tahoma"/>
      <family val="2"/>
    </font>
    <font>
      <sz val="11"/>
      <name val="Calibri"/>
      <family val="2"/>
      <scheme val="minor"/>
    </font>
    <font>
      <b/>
      <sz val="14"/>
      <color theme="1"/>
      <name val="Calibri"/>
      <family val="2"/>
      <scheme val="minor"/>
    </font>
    <font>
      <b/>
      <u/>
      <sz val="11"/>
      <color theme="1"/>
      <name val="Calibri"/>
      <family val="2"/>
      <scheme val="minor"/>
    </font>
    <font>
      <b/>
      <i/>
      <sz val="7"/>
      <color rgb="FFFF0000"/>
      <name val="Times New Roman"/>
      <family val="1"/>
    </font>
    <font>
      <i/>
      <sz val="10"/>
      <name val="Times New Roman"/>
      <family val="1"/>
    </font>
    <font>
      <b/>
      <u val="double"/>
      <sz val="10"/>
      <name val="Times New Roman"/>
      <family val="1"/>
    </font>
    <font>
      <b/>
      <sz val="10"/>
      <color indexed="12"/>
      <name val="Times New Roman"/>
      <family val="1"/>
    </font>
    <font>
      <sz val="10"/>
      <color rgb="FF0070C0"/>
      <name val="Times New Roman"/>
      <family val="1"/>
    </font>
    <font>
      <sz val="7"/>
      <color rgb="FFFF0000"/>
      <name val="Times New Roman"/>
      <family val="1"/>
    </font>
    <font>
      <i/>
      <sz val="7"/>
      <color rgb="FFFF0000"/>
      <name val="Times New Roman"/>
      <family val="1"/>
    </font>
    <font>
      <sz val="9"/>
      <color rgb="FF7030A0"/>
      <name val="Times New Roman"/>
      <family val="1"/>
    </font>
    <font>
      <sz val="9"/>
      <color rgb="FF0070C0"/>
      <name val="Times New Roman"/>
      <family val="1"/>
    </font>
    <font>
      <sz val="10"/>
      <color rgb="FF0070C0"/>
      <name val="Arial"/>
      <family val="2"/>
    </font>
    <font>
      <sz val="10"/>
      <color theme="4"/>
      <name val="Arial"/>
      <family val="2"/>
    </font>
    <font>
      <sz val="10"/>
      <color theme="4" tint="-0.249977111117893"/>
      <name val="Arial"/>
      <family val="2"/>
    </font>
    <font>
      <sz val="7"/>
      <color rgb="FFFF0000"/>
      <name val="Arial"/>
      <family val="2"/>
    </font>
    <font>
      <sz val="10"/>
      <color rgb="FFFF0000"/>
      <name val="Arial"/>
      <family val="2"/>
    </font>
    <font>
      <b/>
      <sz val="10"/>
      <color theme="1"/>
      <name val="Tahoma"/>
      <family val="2"/>
    </font>
    <font>
      <b/>
      <i/>
      <sz val="10"/>
      <color rgb="FFFF0000"/>
      <name val="Arial"/>
      <family val="2"/>
    </font>
    <font>
      <i/>
      <sz val="10"/>
      <name val="Arial"/>
      <family val="2"/>
    </font>
    <font>
      <i/>
      <sz val="10"/>
      <color rgb="FFFF0000"/>
      <name val="Arial"/>
      <family val="2"/>
    </font>
    <font>
      <sz val="8"/>
      <color rgb="FF454545"/>
      <name val="Arial"/>
      <family val="2"/>
    </font>
    <font>
      <sz val="10"/>
      <color indexed="16"/>
      <name val="Arial"/>
      <family val="2"/>
    </font>
    <font>
      <sz val="10"/>
      <color indexed="16"/>
      <name val="Times New Roman"/>
      <family val="1"/>
    </font>
    <font>
      <sz val="10"/>
      <name val="Calibri"/>
      <family val="2"/>
      <scheme val="minor"/>
    </font>
    <font>
      <b/>
      <sz val="10"/>
      <name val="Calibri"/>
      <family val="2"/>
      <scheme val="minor"/>
    </font>
    <font>
      <sz val="10"/>
      <color indexed="12"/>
      <name val="Calibri"/>
      <family val="2"/>
      <scheme val="minor"/>
    </font>
    <font>
      <sz val="10"/>
      <color indexed="14"/>
      <name val="Calibri"/>
      <family val="2"/>
      <scheme val="minor"/>
    </font>
    <font>
      <sz val="10"/>
      <color rgb="FF0070C0"/>
      <name val="Calibri"/>
      <family val="2"/>
      <scheme val="minor"/>
    </font>
    <font>
      <b/>
      <sz val="12"/>
      <color indexed="12"/>
      <name val="Calibri"/>
      <family val="2"/>
      <scheme val="minor"/>
    </font>
    <font>
      <b/>
      <sz val="12"/>
      <name val="Calibri"/>
      <family val="2"/>
      <scheme val="minor"/>
    </font>
    <font>
      <sz val="11"/>
      <color indexed="8"/>
      <name val="Arial"/>
      <family val="2"/>
    </font>
    <font>
      <sz val="11"/>
      <name val="Arial"/>
      <family val="2"/>
    </font>
    <font>
      <sz val="1"/>
      <color indexed="8"/>
      <name val="Arial"/>
      <family val="2"/>
    </font>
    <font>
      <sz val="1"/>
      <name val="Arial"/>
      <family val="2"/>
    </font>
    <font>
      <b/>
      <sz val="10"/>
      <color theme="1"/>
      <name val="Arial"/>
      <family val="2"/>
    </font>
    <font>
      <sz val="11"/>
      <name val="Calibri"/>
      <family val="2"/>
    </font>
    <font>
      <b/>
      <sz val="11"/>
      <name val="Calibri"/>
      <family val="2"/>
    </font>
    <font>
      <b/>
      <sz val="9"/>
      <name val="Tms Rmn"/>
    </font>
    <font>
      <sz val="9"/>
      <name val="Tms Rmn"/>
    </font>
    <font>
      <b/>
      <sz val="11"/>
      <color indexed="8"/>
      <name val="Arial"/>
      <family val="2"/>
    </font>
    <font>
      <sz val="10"/>
      <color indexed="12"/>
      <name val="Arial"/>
      <family val="2"/>
    </font>
    <font>
      <sz val="10"/>
      <color theme="0" tint="-0.34998626667073579"/>
      <name val="Geneva"/>
    </font>
    <font>
      <sz val="10"/>
      <name val="Arial Narrow"/>
      <family val="2"/>
    </font>
    <font>
      <b/>
      <u/>
      <sz val="10"/>
      <name val="Geneva"/>
    </font>
    <font>
      <sz val="9"/>
      <color indexed="57"/>
      <name val="Times New Roman"/>
      <family val="1"/>
    </font>
    <font>
      <b/>
      <sz val="10"/>
      <color rgb="FF0070C0"/>
      <name val="Times New Roman"/>
      <family val="1"/>
    </font>
    <font>
      <b/>
      <sz val="8"/>
      <name val="Times New Roman"/>
      <family val="1"/>
    </font>
    <font>
      <b/>
      <u/>
      <sz val="14"/>
      <name val="Bookman"/>
    </font>
    <font>
      <u/>
      <sz val="12"/>
      <name val="Bookman"/>
      <family val="1"/>
    </font>
    <font>
      <sz val="10"/>
      <name val="Bookman"/>
      <family val="1"/>
    </font>
    <font>
      <b/>
      <u/>
      <sz val="9"/>
      <name val="Bookman"/>
      <family val="1"/>
    </font>
    <font>
      <b/>
      <u/>
      <sz val="10"/>
      <name val="Bookman"/>
      <family val="1"/>
    </font>
    <font>
      <sz val="10"/>
      <color theme="3" tint="0.39997558519241921"/>
      <name val="Arial"/>
      <family val="2"/>
    </font>
    <font>
      <u/>
      <sz val="10"/>
      <name val="Bookman"/>
      <family val="1"/>
    </font>
    <font>
      <sz val="10"/>
      <name val="Bookman"/>
    </font>
    <font>
      <sz val="9"/>
      <name val="Bookman"/>
      <family val="1"/>
    </font>
    <font>
      <b/>
      <sz val="7"/>
      <color rgb="FFFF0000"/>
      <name val="Arial"/>
      <family val="2"/>
    </font>
    <font>
      <b/>
      <sz val="10"/>
      <name val="Bookman"/>
      <family val="1"/>
    </font>
    <font>
      <sz val="7"/>
      <color rgb="FFFF0000"/>
      <name val="Bookman"/>
      <family val="1"/>
    </font>
    <font>
      <sz val="10"/>
      <color theme="1"/>
      <name val="Calibri"/>
      <family val="2"/>
      <scheme val="minor"/>
    </font>
    <font>
      <b/>
      <sz val="10"/>
      <color theme="1"/>
      <name val="Calibri"/>
      <family val="2"/>
      <scheme val="minor"/>
    </font>
    <font>
      <b/>
      <u/>
      <sz val="7"/>
      <color rgb="FFFF0000"/>
      <name val="Arial"/>
      <family val="2"/>
    </font>
    <font>
      <sz val="10"/>
      <color rgb="FF0000FF"/>
      <name val="Arial"/>
      <family val="2"/>
    </font>
    <font>
      <sz val="10"/>
      <color theme="3" tint="-0.249977111117893"/>
      <name val="Arial"/>
      <family val="2"/>
    </font>
    <font>
      <b/>
      <sz val="10"/>
      <color rgb="FFFF0000"/>
      <name val="Calibri"/>
      <family val="2"/>
      <scheme val="minor"/>
    </font>
    <font>
      <sz val="8"/>
      <color rgb="FF0000FF"/>
      <name val="Arial"/>
      <family val="2"/>
    </font>
    <font>
      <sz val="10"/>
      <color rgb="FF0000CC"/>
      <name val="Arial"/>
      <family val="2"/>
    </font>
    <font>
      <b/>
      <sz val="12"/>
      <color theme="1"/>
      <name val="Arial"/>
      <family val="2"/>
    </font>
    <font>
      <sz val="11"/>
      <color theme="1"/>
      <name val="Times New Roman"/>
      <family val="1"/>
    </font>
    <font>
      <sz val="8"/>
      <color theme="1"/>
      <name val="Calibri"/>
      <family val="2"/>
      <scheme val="minor"/>
    </font>
    <font>
      <sz val="1"/>
      <color indexed="8"/>
      <name val="Times New Roman"/>
      <family val="1"/>
    </font>
    <font>
      <sz val="11"/>
      <color indexed="8"/>
      <name val="Times New Roman"/>
      <family val="1"/>
    </font>
    <font>
      <b/>
      <sz val="11"/>
      <name val="Calibri"/>
      <family val="2"/>
      <scheme val="minor"/>
    </font>
    <font>
      <b/>
      <sz val="8"/>
      <color rgb="FFFF0000"/>
      <name val="Calibri"/>
      <family val="2"/>
      <scheme val="minor"/>
    </font>
    <font>
      <b/>
      <sz val="8"/>
      <color theme="1"/>
      <name val="Calibri"/>
      <family val="2"/>
      <scheme val="minor"/>
    </font>
    <font>
      <b/>
      <sz val="11"/>
      <color rgb="FFFF0000"/>
      <name val="Calibri"/>
      <family val="2"/>
      <scheme val="minor"/>
    </font>
    <font>
      <sz val="11"/>
      <color rgb="FF222222"/>
      <name val="Calibri"/>
      <family val="2"/>
      <scheme val="minor"/>
    </font>
    <font>
      <u val="singleAccounting"/>
      <sz val="11"/>
      <color theme="1"/>
      <name val="Calibri"/>
      <family val="2"/>
      <scheme val="minor"/>
    </font>
    <font>
      <sz val="9"/>
      <color rgb="FFFF0000"/>
      <name val="Calibri"/>
      <family val="2"/>
      <scheme val="minor"/>
    </font>
    <font>
      <u/>
      <sz val="11"/>
      <color theme="1"/>
      <name val="Calibri"/>
      <family val="2"/>
      <scheme val="minor"/>
    </font>
    <font>
      <sz val="10"/>
      <color rgb="FFFF0000"/>
      <name val="Tahoma"/>
      <family val="2"/>
    </font>
    <font>
      <b/>
      <sz val="10"/>
      <color rgb="FFFF0000"/>
      <name val="Tahoma"/>
      <family val="2"/>
    </font>
    <font>
      <sz val="10"/>
      <color theme="4" tint="-0.249977111117893"/>
      <name val="Tahoma"/>
      <family val="2"/>
    </font>
    <font>
      <b/>
      <sz val="10"/>
      <name val="Tahoma"/>
      <family val="2"/>
    </font>
    <font>
      <b/>
      <sz val="10"/>
      <color theme="0"/>
      <name val="Tahoma"/>
      <family val="2"/>
    </font>
    <font>
      <sz val="10"/>
      <color rgb="FF00B050"/>
      <name val="Arial"/>
      <family val="2"/>
    </font>
    <font>
      <b/>
      <u/>
      <sz val="8"/>
      <name val="Arial"/>
      <family val="2"/>
    </font>
    <font>
      <b/>
      <i/>
      <sz val="10"/>
      <name val="Arial"/>
      <family val="2"/>
    </font>
    <font>
      <sz val="8"/>
      <color indexed="12"/>
      <name val="Arial"/>
      <family val="2"/>
    </font>
    <font>
      <sz val="8"/>
      <name val="Geneva"/>
    </font>
    <font>
      <u/>
      <sz val="8"/>
      <name val="Arial"/>
      <family val="2"/>
    </font>
    <font>
      <b/>
      <sz val="8"/>
      <name val="Arial"/>
      <family val="2"/>
    </font>
    <font>
      <b/>
      <sz val="8"/>
      <name val="Courier"/>
      <family val="3"/>
    </font>
    <font>
      <sz val="8"/>
      <color theme="6" tint="-0.249977111117893"/>
      <name val="Arial"/>
      <family val="2"/>
    </font>
    <font>
      <sz val="8"/>
      <color indexed="12"/>
      <name val="Geneva"/>
    </font>
    <font>
      <sz val="8"/>
      <name val="Arial Narrow"/>
      <family val="2"/>
    </font>
    <font>
      <b/>
      <sz val="8"/>
      <name val="Geneva"/>
    </font>
    <font>
      <b/>
      <sz val="9"/>
      <name val="Arial"/>
      <family val="2"/>
    </font>
    <font>
      <b/>
      <sz val="8"/>
      <color indexed="12"/>
      <name val="Geneva"/>
    </font>
    <font>
      <u/>
      <sz val="8"/>
      <name val="Geneva"/>
    </font>
    <font>
      <b/>
      <sz val="14"/>
      <name val="Arial"/>
      <family val="2"/>
    </font>
    <font>
      <b/>
      <sz val="11"/>
      <color theme="0"/>
      <name val="Calibri"/>
      <family val="2"/>
      <scheme val="minor"/>
    </font>
    <font>
      <b/>
      <sz val="10"/>
      <name val="Tms Rmn"/>
    </font>
    <font>
      <b/>
      <sz val="12"/>
      <name val="Tms Rmn"/>
    </font>
    <font>
      <b/>
      <sz val="11"/>
      <name val="Tms Rmn"/>
    </font>
    <font>
      <sz val="8"/>
      <name val="Calibri"/>
      <family val="2"/>
      <scheme val="minor"/>
    </font>
    <font>
      <b/>
      <i/>
      <sz val="11"/>
      <name val="Calibri"/>
      <family val="2"/>
      <scheme val="minor"/>
    </font>
    <font>
      <b/>
      <u/>
      <sz val="10"/>
      <color theme="1"/>
      <name val="Calibri"/>
      <family val="2"/>
      <scheme val="minor"/>
    </font>
    <font>
      <sz val="9"/>
      <color rgb="FFFF0000"/>
      <name val="Tahoma"/>
      <family val="2"/>
    </font>
    <font>
      <u/>
      <sz val="10"/>
      <color theme="1"/>
      <name val="Tahoma"/>
      <family val="2"/>
    </font>
    <font>
      <b/>
      <sz val="9"/>
      <color rgb="FFFF0000"/>
      <name val="Tahoma"/>
      <family val="2"/>
    </font>
    <font>
      <sz val="8"/>
      <color rgb="FFFF0000"/>
      <name val="Tahoma"/>
      <family val="2"/>
    </font>
    <font>
      <b/>
      <u/>
      <sz val="10"/>
      <color theme="1"/>
      <name val="Tahoma"/>
      <family val="2"/>
    </font>
    <font>
      <sz val="10"/>
      <color indexed="14"/>
      <name val="Times New Roman"/>
      <family val="1"/>
    </font>
    <font>
      <u/>
      <sz val="10"/>
      <color rgb="FF0000FF"/>
      <name val="Times New Roman"/>
      <family val="1"/>
    </font>
    <font>
      <sz val="10"/>
      <color indexed="8"/>
      <name val="MS Sans Serif"/>
      <family val="2"/>
    </font>
    <font>
      <sz val="9"/>
      <name val="Calibri"/>
      <family val="2"/>
      <scheme val="minor"/>
    </font>
    <font>
      <sz val="11"/>
      <color rgb="FF0000FF"/>
      <name val="Calibri"/>
      <family val="2"/>
      <scheme val="minor"/>
    </font>
    <font>
      <u/>
      <sz val="11"/>
      <name val="Calibri"/>
      <family val="2"/>
      <scheme val="minor"/>
    </font>
    <font>
      <b/>
      <u/>
      <sz val="11"/>
      <name val="Calibri"/>
      <family val="2"/>
      <scheme val="minor"/>
    </font>
    <font>
      <i/>
      <sz val="9"/>
      <name val="Calibri"/>
      <family val="2"/>
      <scheme val="minor"/>
    </font>
    <font>
      <sz val="11"/>
      <color indexed="8"/>
      <name val="Calibri"/>
      <family val="2"/>
      <scheme val="minor"/>
    </font>
    <font>
      <b/>
      <sz val="11"/>
      <color indexed="8"/>
      <name val="Calibri"/>
      <family val="2"/>
      <scheme val="minor"/>
    </font>
    <font>
      <b/>
      <sz val="7"/>
      <color rgb="FFFF0000"/>
      <name val="Calibri"/>
      <family val="2"/>
      <scheme val="minor"/>
    </font>
    <font>
      <sz val="10"/>
      <color rgb="FFFF0000"/>
      <name val="Calibri"/>
      <family val="2"/>
      <scheme val="minor"/>
    </font>
    <font>
      <b/>
      <sz val="9"/>
      <color rgb="FFFF0000"/>
      <name val="Calibri"/>
      <family val="2"/>
      <scheme val="minor"/>
    </font>
    <font>
      <sz val="11"/>
      <color rgb="FF3333FF"/>
      <name val="Calibri"/>
      <family val="2"/>
      <scheme val="minor"/>
    </font>
    <font>
      <b/>
      <sz val="14"/>
      <name val="Calibri"/>
      <family val="2"/>
      <scheme val="minor"/>
    </font>
    <font>
      <b/>
      <sz val="10"/>
      <color rgb="FFFF0000"/>
      <name val="Arial"/>
      <family val="2"/>
    </font>
    <font>
      <b/>
      <u val="singleAccounting"/>
      <sz val="9"/>
      <name val="Arial"/>
      <family val="2"/>
    </font>
    <font>
      <b/>
      <sz val="12"/>
      <color rgb="FFFF0000"/>
      <name val="Arial"/>
      <family val="2"/>
    </font>
    <font>
      <b/>
      <i/>
      <sz val="9"/>
      <name val="Arial"/>
      <family val="2"/>
    </font>
    <font>
      <b/>
      <sz val="9"/>
      <color rgb="FFFF0000"/>
      <name val="Arial"/>
      <family val="2"/>
    </font>
    <font>
      <i/>
      <sz val="9"/>
      <name val="Arial"/>
      <family val="2"/>
    </font>
    <font>
      <b/>
      <sz val="7"/>
      <name val="Arial"/>
      <family val="2"/>
    </font>
    <font>
      <i/>
      <sz val="11"/>
      <name val="Calibri"/>
      <family val="2"/>
      <scheme val="minor"/>
    </font>
    <font>
      <b/>
      <u/>
      <sz val="8"/>
      <color rgb="FFFF0000"/>
      <name val="Arial"/>
      <family val="2"/>
    </font>
    <font>
      <b/>
      <u/>
      <sz val="9"/>
      <color rgb="FFFF0000"/>
      <name val="Arial"/>
      <family val="2"/>
    </font>
    <font>
      <u/>
      <sz val="9"/>
      <name val="Arial"/>
      <family val="2"/>
    </font>
    <font>
      <u/>
      <sz val="9"/>
      <color rgb="FFFF0000"/>
      <name val="Arial"/>
      <family val="2"/>
    </font>
    <font>
      <b/>
      <u/>
      <sz val="9"/>
      <name val="Arial"/>
      <family val="2"/>
    </font>
    <font>
      <b/>
      <sz val="8"/>
      <name val="LinePrinter"/>
    </font>
    <font>
      <sz val="11"/>
      <color rgb="FF0070C0"/>
      <name val="Calibri"/>
      <family val="2"/>
      <scheme val="minor"/>
    </font>
    <font>
      <sz val="12"/>
      <color rgb="FF0070C0"/>
      <name val="Times New Roman"/>
      <family val="1"/>
    </font>
    <font>
      <b/>
      <sz val="12"/>
      <color indexed="8"/>
      <name val="Times New Roman"/>
      <family val="1"/>
    </font>
    <font>
      <sz val="12"/>
      <color indexed="8"/>
      <name val="Times New Roman"/>
      <family val="1"/>
    </font>
    <font>
      <b/>
      <sz val="12"/>
      <color rgb="FF0070C0"/>
      <name val="Times New Roman"/>
      <family val="1"/>
    </font>
    <font>
      <b/>
      <sz val="12"/>
      <name val="Arial Narrow"/>
      <family val="2"/>
    </font>
    <font>
      <sz val="12"/>
      <color rgb="FF0070C0"/>
      <name val="Arial Narrow"/>
      <family val="2"/>
    </font>
    <font>
      <sz val="12"/>
      <name val="Arial Narrow"/>
      <family val="2"/>
    </font>
    <font>
      <b/>
      <sz val="12"/>
      <color rgb="FF0070C0"/>
      <name val="Arial Narrow"/>
      <family val="2"/>
    </font>
    <font>
      <sz val="12"/>
      <color theme="4" tint="-0.249977111117893"/>
      <name val="Times New Roman"/>
      <family val="1"/>
    </font>
    <font>
      <b/>
      <u val="double"/>
      <sz val="12"/>
      <color theme="1"/>
      <name val="Times New Roman"/>
      <family val="1"/>
    </font>
    <font>
      <b/>
      <sz val="12"/>
      <color theme="1"/>
      <name val="Times New Roman"/>
      <family val="1"/>
    </font>
    <font>
      <b/>
      <sz val="11"/>
      <name val="Arial"/>
      <family val="2"/>
    </font>
    <font>
      <b/>
      <sz val="11"/>
      <color theme="1"/>
      <name val="Arial"/>
      <family val="2"/>
    </font>
    <font>
      <sz val="11"/>
      <color theme="1"/>
      <name val="Arial"/>
      <family val="2"/>
    </font>
    <font>
      <sz val="11"/>
      <color indexed="10"/>
      <name val="Arial"/>
      <family val="2"/>
    </font>
    <font>
      <sz val="28"/>
      <name val="Arial"/>
      <family val="2"/>
    </font>
    <font>
      <sz val="10"/>
      <color rgb="FF7030A0"/>
      <name val="Arial"/>
      <family val="2"/>
    </font>
    <font>
      <b/>
      <sz val="10"/>
      <color theme="0"/>
      <name val="Arial"/>
      <family val="2"/>
    </font>
    <font>
      <sz val="10"/>
      <color theme="0"/>
      <name val="Arial"/>
      <family val="2"/>
    </font>
    <font>
      <b/>
      <u/>
      <sz val="14"/>
      <color theme="1"/>
      <name val="Calibri"/>
      <family val="2"/>
      <scheme val="minor"/>
    </font>
    <font>
      <b/>
      <sz val="12"/>
      <color theme="1"/>
      <name val="Calibri"/>
      <family val="2"/>
      <scheme val="minor"/>
    </font>
    <font>
      <b/>
      <sz val="11"/>
      <color theme="1"/>
      <name val="Calibri"/>
      <family val="2"/>
    </font>
    <font>
      <sz val="11"/>
      <color rgb="FF6425E3"/>
      <name val="Calibri"/>
      <family val="2"/>
      <scheme val="minor"/>
    </font>
    <font>
      <sz val="11"/>
      <color theme="1"/>
      <name val="Calibri"/>
      <family val="2"/>
    </font>
    <font>
      <b/>
      <i/>
      <sz val="11"/>
      <color theme="1"/>
      <name val="Calibri"/>
      <family val="2"/>
      <scheme val="minor"/>
    </font>
    <font>
      <u/>
      <sz val="11"/>
      <color rgb="FFFF0000"/>
      <name val="Calibri"/>
      <family val="2"/>
      <scheme val="minor"/>
    </font>
    <font>
      <strike/>
      <sz val="11"/>
      <color theme="1"/>
      <name val="Calibri"/>
      <family val="2"/>
      <scheme val="minor"/>
    </font>
    <font>
      <b/>
      <strike/>
      <sz val="11"/>
      <color rgb="FFFF0000"/>
      <name val="Calibri"/>
      <family val="2"/>
      <scheme val="minor"/>
    </font>
  </fonts>
  <fills count="42">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indexed="43"/>
        <bgColor indexed="64"/>
      </patternFill>
    </fill>
    <fill>
      <patternFill patternType="solid">
        <fgColor theme="0" tint="-0.249977111117893"/>
        <bgColor indexed="64"/>
      </patternFill>
    </fill>
    <fill>
      <patternFill patternType="solid">
        <fgColor indexed="2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theme="4" tint="0.7999511703848384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theme="2" tint="-9.9978637043366805E-2"/>
        <bgColor indexed="64"/>
      </patternFill>
    </fill>
    <fill>
      <patternFill patternType="solid">
        <fgColor indexed="42"/>
        <bgColor indexed="64"/>
      </patternFill>
    </fill>
    <fill>
      <patternFill patternType="solid">
        <fgColor indexed="13"/>
        <bgColor indexed="64"/>
      </patternFill>
    </fill>
    <fill>
      <patternFill patternType="solid">
        <fgColor indexed="52"/>
        <bgColor indexed="64"/>
      </patternFill>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indexed="44"/>
        <bgColor indexed="64"/>
      </patternFill>
    </fill>
    <fill>
      <patternFill patternType="solid">
        <fgColor indexed="45"/>
        <bgColor indexed="64"/>
      </patternFill>
    </fill>
    <fill>
      <patternFill patternType="solid">
        <fgColor rgb="FFCCECFF"/>
        <bgColor indexed="64"/>
      </patternFill>
    </fill>
    <fill>
      <patternFill patternType="solid">
        <fgColor theme="8" tint="0.59999389629810485"/>
        <bgColor indexed="64"/>
      </patternFill>
    </fill>
    <fill>
      <patternFill patternType="solid">
        <fgColor rgb="FFFFF2CC"/>
        <bgColor indexed="64"/>
      </patternFill>
    </fill>
    <fill>
      <patternFill patternType="solid">
        <fgColor theme="7" tint="0.39997558519241921"/>
        <bgColor indexed="64"/>
      </patternFill>
    </fill>
  </fills>
  <borders count="1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style="double">
        <color rgb="FFFF0000"/>
      </left>
      <right style="double">
        <color rgb="FFFF0000"/>
      </right>
      <top style="double">
        <color rgb="FFFF0000"/>
      </top>
      <bottom style="double">
        <color rgb="FFFF0000"/>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diagonal/>
    </border>
    <border>
      <left style="thin">
        <color indexed="64"/>
      </left>
      <right style="thin">
        <color indexed="8"/>
      </right>
      <top/>
      <bottom style="thin">
        <color indexed="8"/>
      </bottom>
      <diagonal/>
    </border>
    <border>
      <left/>
      <right/>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8"/>
      </top>
      <bottom/>
      <diagonal/>
    </border>
    <border>
      <left style="medium">
        <color indexed="64"/>
      </left>
      <right/>
      <top style="thin">
        <color indexed="8"/>
      </top>
      <bottom/>
      <diagonal/>
    </border>
    <border>
      <left/>
      <right style="medium">
        <color indexed="64"/>
      </right>
      <top/>
      <bottom style="thin">
        <color indexed="8"/>
      </bottom>
      <diagonal/>
    </border>
    <border>
      <left style="medium">
        <color indexed="64"/>
      </left>
      <right/>
      <top/>
      <bottom style="thin">
        <color indexed="8"/>
      </bottom>
      <diagonal/>
    </border>
    <border>
      <left style="thin">
        <color indexed="8"/>
      </left>
      <right style="thin">
        <color indexed="8"/>
      </right>
      <top style="thin">
        <color indexed="64"/>
      </top>
      <bottom style="thin">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style="thin">
        <color indexed="8"/>
      </left>
      <right/>
      <top style="thin">
        <color indexed="8"/>
      </top>
      <bottom style="thin">
        <color indexed="8"/>
      </bottom>
      <diagonal/>
    </border>
    <border>
      <left style="thick">
        <color rgb="FFFF0000"/>
      </left>
      <right style="thick">
        <color rgb="FFFF0000"/>
      </right>
      <top style="thick">
        <color rgb="FFFF0000"/>
      </top>
      <bottom style="thick">
        <color rgb="FFFF0000"/>
      </bottom>
      <diagonal/>
    </border>
    <border>
      <left/>
      <right/>
      <top/>
      <bottom style="thin">
        <color theme="4" tint="0.39997558519241921"/>
      </bottom>
      <diagonal/>
    </border>
    <border>
      <left style="medium">
        <color indexed="64"/>
      </left>
      <right/>
      <top style="thin">
        <color indexed="64"/>
      </top>
      <bottom style="double">
        <color indexed="64"/>
      </bottom>
      <diagonal/>
    </border>
    <border>
      <left/>
      <right/>
      <top style="thin">
        <color theme="4" tint="0.39997558519241921"/>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double">
        <color indexed="64"/>
      </bottom>
      <diagonal/>
    </border>
    <border>
      <left/>
      <right/>
      <top style="double">
        <color indexed="64"/>
      </top>
      <bottom/>
      <diagonal/>
    </border>
    <border>
      <left style="thin">
        <color rgb="FF999999"/>
      </left>
      <right/>
      <top/>
      <bottom/>
      <diagonal/>
    </border>
    <border>
      <left style="thin">
        <color indexed="8"/>
      </left>
      <right style="thin">
        <color indexed="8"/>
      </right>
      <top style="thin">
        <color indexed="8"/>
      </top>
      <bottom style="thin">
        <color indexed="64"/>
      </bottom>
      <diagonal/>
    </border>
    <border>
      <left style="double">
        <color rgb="FFFF0000"/>
      </left>
      <right style="double">
        <color rgb="FFFF0000"/>
      </right>
      <top style="double">
        <color rgb="FFFF0000"/>
      </top>
      <bottom/>
      <diagonal/>
    </border>
    <border>
      <left style="double">
        <color rgb="FFFF0000"/>
      </left>
      <right style="double">
        <color rgb="FFFF0000"/>
      </right>
      <top/>
      <bottom style="double">
        <color rgb="FFFF0000"/>
      </bottom>
      <diagonal/>
    </border>
    <border>
      <left/>
      <right style="double">
        <color rgb="FFFF0000"/>
      </right>
      <top style="double">
        <color rgb="FFFF0000"/>
      </top>
      <bottom style="double">
        <color rgb="FFFF0000"/>
      </bottom>
      <diagonal/>
    </border>
    <border>
      <left style="thin">
        <color indexed="64"/>
      </left>
      <right style="thin">
        <color indexed="64"/>
      </right>
      <top style="thin">
        <color indexed="64"/>
      </top>
      <bottom style="double">
        <color indexed="64"/>
      </bottom>
      <diagonal/>
    </border>
    <border>
      <left/>
      <right/>
      <top style="thin">
        <color theme="4"/>
      </top>
      <bottom style="double">
        <color theme="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theme="4" tint="-0.249977111117893"/>
      </bottom>
      <diagonal/>
    </border>
    <border>
      <left/>
      <right/>
      <top style="thin">
        <color theme="4" tint="-0.249977111117893"/>
      </top>
      <bottom style="thin">
        <color theme="4" tint="0.79998168889431442"/>
      </bottom>
      <diagonal/>
    </border>
    <border>
      <left/>
      <right/>
      <top style="thin">
        <color theme="4" tint="-0.249977111117893"/>
      </top>
      <bottom style="thin">
        <color theme="4" tint="0.59999389629810485"/>
      </bottom>
      <diagonal/>
    </border>
    <border>
      <left/>
      <right/>
      <top style="thin">
        <color theme="4" tint="0.79998168889431442"/>
      </top>
      <bottom style="thin">
        <color theme="4" tint="0.39997558519241921"/>
      </bottom>
      <diagonal/>
    </border>
    <border>
      <left/>
      <right/>
      <top style="thin">
        <color theme="4" tint="0.79998168889431442"/>
      </top>
      <bottom style="thin">
        <color theme="4" tint="0.79998168889431442"/>
      </bottom>
      <diagonal/>
    </border>
    <border>
      <left/>
      <right/>
      <top style="thin">
        <color theme="4" tint="0.39997558519241921"/>
      </top>
      <bottom style="thin">
        <color theme="4" tint="0.39997558519241921"/>
      </bottom>
      <diagonal/>
    </border>
    <border>
      <left/>
      <right/>
      <top style="thin">
        <color theme="4" tint="0.79998168889431442"/>
      </top>
      <bottom style="thin">
        <color theme="4"/>
      </bottom>
      <diagonal/>
    </border>
    <border>
      <left style="medium">
        <color indexed="64"/>
      </left>
      <right style="medium">
        <color indexed="64"/>
      </right>
      <top style="thin">
        <color indexed="64"/>
      </top>
      <bottom/>
      <diagonal/>
    </border>
    <border>
      <left/>
      <right/>
      <top style="thin">
        <color theme="4" tint="0.39997558519241921"/>
      </top>
      <bottom style="thin">
        <color theme="4" tint="0.79998168889431442"/>
      </bottom>
      <diagonal/>
    </border>
    <border>
      <left/>
      <right/>
      <top style="double">
        <color theme="4" tint="-0.249977111117893"/>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theme="4"/>
      </top>
      <bottom style="double">
        <color theme="4"/>
      </bottom>
      <diagonal/>
    </border>
  </borders>
  <cellStyleXfs count="243">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0" fontId="9" fillId="0" borderId="0"/>
    <xf numFmtId="0" fontId="9" fillId="0" borderId="0"/>
    <xf numFmtId="0" fontId="9" fillId="0" borderId="0"/>
    <xf numFmtId="9" fontId="8" fillId="0" borderId="0" applyFon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 fillId="0" borderId="0"/>
    <xf numFmtId="0" fontId="38" fillId="0" borderId="0"/>
    <xf numFmtId="44" fontId="8" fillId="0" borderId="0" applyFont="0" applyFill="0" applyBorder="0" applyAlignment="0" applyProtection="0"/>
    <xf numFmtId="0" fontId="40" fillId="3" borderId="0"/>
    <xf numFmtId="0" fontId="28" fillId="0" borderId="0"/>
    <xf numFmtId="0" fontId="8" fillId="0" borderId="0"/>
    <xf numFmtId="0" fontId="8" fillId="0" borderId="0"/>
    <xf numFmtId="9" fontId="8" fillId="0" borderId="0" applyFont="0" applyFill="0" applyBorder="0" applyAlignment="0" applyProtection="0"/>
    <xf numFmtId="0" fontId="38" fillId="0" borderId="0"/>
    <xf numFmtId="43" fontId="44" fillId="0" borderId="0" applyFont="0" applyFill="0" applyBorder="0" applyAlignment="0" applyProtection="0"/>
    <xf numFmtId="0" fontId="38"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57" fillId="0" borderId="0"/>
    <xf numFmtId="43" fontId="8" fillId="0" borderId="0" applyFont="0" applyFill="0" applyBorder="0" applyAlignment="0" applyProtection="0"/>
    <xf numFmtId="8" fontId="9" fillId="0" borderId="0" applyFont="0" applyFill="0" applyBorder="0" applyAlignment="0" applyProtection="0"/>
    <xf numFmtId="4" fontId="9" fillId="0" borderId="0" applyFont="0" applyFill="0" applyBorder="0" applyAlignment="0" applyProtection="0"/>
    <xf numFmtId="0" fontId="7" fillId="0" borderId="0"/>
    <xf numFmtId="9" fontId="44" fillId="0" borderId="0" applyFont="0" applyFill="0" applyBorder="0" applyAlignment="0" applyProtection="0"/>
    <xf numFmtId="44" fontId="44" fillId="0" borderId="0" applyFont="0" applyFill="0" applyBorder="0" applyAlignment="0" applyProtection="0"/>
    <xf numFmtId="44" fontId="7" fillId="0" borderId="0" applyFont="0" applyFill="0" applyBorder="0" applyAlignment="0" applyProtection="0"/>
    <xf numFmtId="0" fontId="54" fillId="0" borderId="0"/>
    <xf numFmtId="44" fontId="57" fillId="0" borderId="0" applyFont="0" applyFill="0" applyBorder="0" applyAlignment="0" applyProtection="0"/>
    <xf numFmtId="43" fontId="44" fillId="0" borderId="0" applyFont="0" applyFill="0" applyBorder="0" applyAlignment="0" applyProtection="0"/>
    <xf numFmtId="0" fontId="8" fillId="0" borderId="0"/>
    <xf numFmtId="39" fontId="58" fillId="0" borderId="0"/>
    <xf numFmtId="0" fontId="59" fillId="0" borderId="0"/>
    <xf numFmtId="9" fontId="60" fillId="0" borderId="0" applyFont="0" applyFill="0" applyBorder="0" applyAlignment="0" applyProtection="0"/>
    <xf numFmtId="0" fontId="57" fillId="0" borderId="0"/>
    <xf numFmtId="4" fontId="9" fillId="0" borderId="0" applyFont="0" applyFill="0" applyBorder="0" applyAlignment="0" applyProtection="0"/>
    <xf numFmtId="9" fontId="9" fillId="0" borderId="0" applyFont="0" applyFill="0" applyBorder="0" applyAlignment="0" applyProtection="0"/>
    <xf numFmtId="0" fontId="8" fillId="0" borderId="0"/>
    <xf numFmtId="43" fontId="4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9" fontId="54" fillId="0" borderId="0" applyFont="0" applyFill="0" applyBorder="0" applyAlignment="0" applyProtection="0"/>
    <xf numFmtId="0" fontId="61" fillId="0" borderId="0"/>
    <xf numFmtId="44" fontId="61" fillId="0" borderId="0" applyFont="0" applyFill="0" applyBorder="0" applyAlignment="0" applyProtection="0"/>
    <xf numFmtId="43" fontId="61" fillId="0" borderId="0" applyFont="0" applyFill="0" applyBorder="0" applyAlignment="0" applyProtection="0"/>
    <xf numFmtId="0" fontId="62" fillId="0" borderId="0"/>
    <xf numFmtId="9" fontId="61" fillId="0" borderId="0" applyFont="0" applyFill="0" applyBorder="0" applyAlignment="0" applyProtection="0"/>
    <xf numFmtId="44" fontId="62"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0" fontId="15" fillId="0" borderId="0"/>
    <xf numFmtId="0" fontId="62" fillId="0" borderId="0"/>
    <xf numFmtId="44"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15" fillId="0" borderId="0"/>
    <xf numFmtId="44" fontId="62" fillId="0" borderId="0" applyFont="0" applyFill="0" applyBorder="0" applyAlignment="0" applyProtection="0"/>
    <xf numFmtId="0" fontId="8" fillId="0" borderId="0"/>
    <xf numFmtId="43" fontId="15" fillId="0" borderId="0" applyFont="0" applyFill="0" applyBorder="0" applyAlignment="0" applyProtection="0"/>
    <xf numFmtId="9" fontId="44" fillId="0" borderId="0" applyFont="0" applyFill="0" applyBorder="0" applyAlignment="0" applyProtection="0"/>
    <xf numFmtId="9" fontId="62" fillId="0" borderId="0" applyFont="0" applyFill="0" applyBorder="0" applyAlignment="0" applyProtection="0"/>
    <xf numFmtId="0" fontId="63" fillId="0" borderId="0"/>
    <xf numFmtId="43" fontId="63" fillId="0" borderId="0" applyFont="0" applyFill="0" applyBorder="0" applyAlignment="0" applyProtection="0"/>
    <xf numFmtId="0" fontId="64" fillId="0" borderId="0"/>
    <xf numFmtId="0" fontId="7" fillId="0" borderId="0"/>
    <xf numFmtId="44" fontId="7" fillId="0" borderId="0" applyFont="0" applyFill="0" applyBorder="0" applyAlignment="0" applyProtection="0"/>
    <xf numFmtId="43" fontId="62" fillId="0" borderId="0" applyFont="0" applyFill="0" applyBorder="0" applyAlignment="0" applyProtection="0"/>
    <xf numFmtId="0" fontId="7" fillId="0" borderId="0"/>
    <xf numFmtId="44" fontId="15" fillId="0" borderId="0" applyFont="0" applyFill="0" applyBorder="0" applyAlignment="0" applyProtection="0"/>
    <xf numFmtId="0" fontId="7" fillId="0" borderId="0"/>
    <xf numFmtId="0" fontId="7" fillId="0" borderId="0"/>
    <xf numFmtId="0" fontId="7" fillId="0" borderId="0"/>
    <xf numFmtId="0" fontId="6" fillId="0" borderId="0"/>
    <xf numFmtId="43" fontId="6" fillId="0" borderId="0" applyFont="0" applyFill="0" applyBorder="0" applyAlignment="0" applyProtection="0"/>
    <xf numFmtId="43" fontId="62" fillId="0" borderId="0" applyFont="0" applyFill="0" applyBorder="0" applyAlignment="0" applyProtection="0"/>
    <xf numFmtId="44" fontId="6"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57" fillId="0" borderId="0"/>
    <xf numFmtId="0" fontId="9" fillId="0" borderId="0"/>
    <xf numFmtId="4" fontId="9"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4" fillId="0" borderId="0"/>
    <xf numFmtId="43" fontId="44" fillId="0" borderId="0" applyFont="0" applyFill="0" applyBorder="0" applyAlignment="0" applyProtection="0"/>
    <xf numFmtId="0" fontId="8" fillId="0" borderId="0"/>
    <xf numFmtId="0" fontId="61" fillId="0" borderId="0"/>
    <xf numFmtId="44" fontId="61" fillId="0" borderId="0" applyFont="0" applyFill="0" applyBorder="0" applyAlignment="0" applyProtection="0"/>
    <xf numFmtId="43" fontId="61" fillId="0" borderId="0" applyFont="0" applyFill="0" applyBorder="0" applyAlignment="0" applyProtection="0"/>
    <xf numFmtId="0" fontId="62" fillId="0" borderId="0"/>
    <xf numFmtId="0" fontId="66" fillId="0" borderId="0"/>
    <xf numFmtId="0" fontId="58" fillId="0" borderId="0"/>
    <xf numFmtId="8" fontId="9"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44" fontId="4" fillId="0" borderId="0" applyFont="0" applyFill="0" applyBorder="0" applyAlignment="0" applyProtection="0"/>
    <xf numFmtId="0" fontId="5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9" fontId="62"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64" fillId="0" borderId="0"/>
    <xf numFmtId="0" fontId="4" fillId="0" borderId="0"/>
    <xf numFmtId="44" fontId="4" fillId="0" borderId="0" applyFont="0" applyFill="0" applyBorder="0" applyAlignment="0" applyProtection="0"/>
    <xf numFmtId="44" fontId="57" fillId="0" borderId="0" applyFont="0" applyFill="0" applyBorder="0" applyAlignment="0" applyProtection="0"/>
    <xf numFmtId="39" fontId="58" fillId="0" borderId="0"/>
    <xf numFmtId="43" fontId="9" fillId="0" borderId="0" applyFont="0" applyFill="0" applyBorder="0" applyAlignment="0" applyProtection="0"/>
    <xf numFmtId="43" fontId="8"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4" fillId="0" borderId="0" applyFont="0" applyFill="0" applyBorder="0" applyAlignment="0" applyProtection="0"/>
    <xf numFmtId="0" fontId="59" fillId="0" borderId="0"/>
    <xf numFmtId="44" fontId="60" fillId="0" borderId="0" applyFont="0" applyFill="0" applyBorder="0" applyAlignment="0" applyProtection="0"/>
    <xf numFmtId="9" fontId="60" fillId="0" borderId="0" applyFont="0" applyFill="0" applyBorder="0" applyAlignment="0" applyProtection="0"/>
    <xf numFmtId="0" fontId="63" fillId="0" borderId="0"/>
    <xf numFmtId="43" fontId="63" fillId="0" borderId="0" applyFont="0" applyFill="0" applyBorder="0" applyAlignment="0" applyProtection="0"/>
    <xf numFmtId="0" fontId="57" fillId="0" borderId="0"/>
    <xf numFmtId="0" fontId="57" fillId="0" borderId="0"/>
    <xf numFmtId="44" fontId="8" fillId="0" borderId="0" applyFont="0" applyFill="0" applyBorder="0" applyAlignment="0" applyProtection="0"/>
    <xf numFmtId="4" fontId="9" fillId="0" borderId="0" applyFont="0" applyFill="0" applyBorder="0" applyAlignment="0" applyProtection="0"/>
    <xf numFmtId="9" fontId="8" fillId="0" borderId="0" applyFont="0" applyFill="0" applyBorder="0" applyAlignment="0" applyProtection="0"/>
    <xf numFmtId="8" fontId="9"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5"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9" fillId="0" borderId="0" applyFont="0" applyFill="0" applyBorder="0" applyAlignment="0" applyProtection="0"/>
    <xf numFmtId="0" fontId="9" fillId="0" borderId="0"/>
    <xf numFmtId="8" fontId="9" fillId="0" borderId="0" applyFont="0" applyFill="0" applyBorder="0" applyAlignment="0" applyProtection="0"/>
    <xf numFmtId="0" fontId="57" fillId="0" borderId="0"/>
    <xf numFmtId="0" fontId="57" fillId="0" borderId="0"/>
    <xf numFmtId="39" fontId="58" fillId="0" borderId="0"/>
    <xf numFmtId="0" fontId="8" fillId="0" borderId="0"/>
    <xf numFmtId="0" fontId="80" fillId="0" borderId="119" applyNumberFormat="0" applyFill="0" applyAlignment="0" applyProtection="0"/>
    <xf numFmtId="0" fontId="1" fillId="0" borderId="0"/>
    <xf numFmtId="43" fontId="63" fillId="0" borderId="0" applyFont="0" applyFill="0" applyBorder="0" applyAlignment="0" applyProtection="0"/>
    <xf numFmtId="0" fontId="1" fillId="0" borderId="0"/>
    <xf numFmtId="9" fontId="1" fillId="0" borderId="0" applyFont="0" applyFill="0" applyBorder="0" applyAlignment="0" applyProtection="0"/>
    <xf numFmtId="9"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222" fillId="0" borderId="0"/>
    <xf numFmtId="9" fontId="15" fillId="0" borderId="0" applyFont="0" applyFill="0" applyBorder="0" applyAlignment="0" applyProtection="0"/>
    <xf numFmtId="0" fontId="15" fillId="0" borderId="0"/>
    <xf numFmtId="0" fontId="64" fillId="0" borderId="0"/>
    <xf numFmtId="43" fontId="1" fillId="0" borderId="0" applyFont="0" applyFill="0" applyBorder="0" applyAlignment="0" applyProtection="0"/>
  </cellStyleXfs>
  <cellXfs count="3995">
    <xf numFmtId="0" fontId="0" fillId="0" borderId="0" xfId="0"/>
    <xf numFmtId="0" fontId="10" fillId="0" borderId="0" xfId="6" applyFont="1"/>
    <xf numFmtId="5" fontId="10" fillId="0" borderId="0" xfId="6" applyNumberFormat="1" applyFont="1"/>
    <xf numFmtId="37" fontId="10" fillId="0" borderId="0" xfId="6" applyNumberFormat="1" applyFont="1"/>
    <xf numFmtId="0" fontId="10" fillId="0" borderId="0" xfId="6" applyNumberFormat="1" applyFont="1" applyBorder="1" applyAlignment="1">
      <alignment horizontal="center"/>
    </xf>
    <xf numFmtId="37" fontId="10" fillId="0" borderId="0" xfId="6" applyNumberFormat="1" applyFont="1" applyBorder="1"/>
    <xf numFmtId="10" fontId="10" fillId="0" borderId="0" xfId="7" applyNumberFormat="1" applyFont="1"/>
    <xf numFmtId="0" fontId="11" fillId="0" borderId="0" xfId="0" applyFont="1"/>
    <xf numFmtId="0" fontId="14" fillId="0" borderId="0" xfId="0" applyFont="1" applyAlignment="1">
      <alignment horizontal="center"/>
    </xf>
    <xf numFmtId="37" fontId="10" fillId="0" borderId="0" xfId="0" applyNumberFormat="1" applyFont="1"/>
    <xf numFmtId="5" fontId="18" fillId="0" borderId="12" xfId="0" applyNumberFormat="1" applyFont="1" applyBorder="1"/>
    <xf numFmtId="0" fontId="15" fillId="0" borderId="0" xfId="0" applyFont="1"/>
    <xf numFmtId="0" fontId="15" fillId="0" borderId="0" xfId="0" applyFont="1" applyAlignment="1">
      <alignment horizontal="center"/>
    </xf>
    <xf numFmtId="3" fontId="12" fillId="0" borderId="1" xfId="0" applyNumberFormat="1" applyFont="1" applyBorder="1" applyAlignment="1">
      <alignment horizontal="center"/>
    </xf>
    <xf numFmtId="3" fontId="12" fillId="0" borderId="5" xfId="0" applyNumberFormat="1" applyFont="1" applyBorder="1" applyAlignment="1">
      <alignment horizontal="center"/>
    </xf>
    <xf numFmtId="3" fontId="12" fillId="0" borderId="8" xfId="0" applyNumberFormat="1" applyFont="1" applyBorder="1" applyAlignment="1">
      <alignment horizontal="center"/>
    </xf>
    <xf numFmtId="3" fontId="13" fillId="0" borderId="0" xfId="0" applyNumberFormat="1" applyFont="1" applyAlignment="1">
      <alignment horizontal="center"/>
    </xf>
    <xf numFmtId="5" fontId="10" fillId="0" borderId="0" xfId="0" applyNumberFormat="1" applyFont="1"/>
    <xf numFmtId="0" fontId="15" fillId="0" borderId="0" xfId="0" applyFont="1" applyBorder="1"/>
    <xf numFmtId="37" fontId="15" fillId="0" borderId="0" xfId="0" applyNumberFormat="1" applyFont="1" applyBorder="1"/>
    <xf numFmtId="6" fontId="15" fillId="0" borderId="0" xfId="2" applyNumberFormat="1" applyFont="1" applyBorder="1"/>
    <xf numFmtId="0" fontId="19" fillId="0" borderId="0" xfId="0" applyFont="1"/>
    <xf numFmtId="37" fontId="15" fillId="0" borderId="3" xfId="0" applyNumberFormat="1" applyFont="1" applyBorder="1"/>
    <xf numFmtId="3" fontId="15" fillId="0" borderId="0" xfId="0" applyNumberFormat="1" applyFont="1"/>
    <xf numFmtId="5" fontId="15" fillId="0" borderId="0" xfId="0" applyNumberFormat="1" applyFont="1"/>
    <xf numFmtId="0" fontId="15" fillId="0" borderId="0" xfId="0" applyFont="1" applyFill="1" applyAlignment="1">
      <alignment horizontal="center"/>
    </xf>
    <xf numFmtId="5" fontId="15" fillId="0" borderId="16" xfId="0" applyNumberFormat="1" applyFont="1" applyBorder="1"/>
    <xf numFmtId="0" fontId="20" fillId="0" borderId="0" xfId="0" applyFont="1"/>
    <xf numFmtId="3" fontId="10" fillId="0" borderId="0" xfId="6" applyNumberFormat="1" applyFont="1"/>
    <xf numFmtId="168" fontId="10" fillId="0" borderId="0" xfId="6" applyNumberFormat="1" applyFont="1"/>
    <xf numFmtId="170" fontId="10" fillId="0" borderId="0" xfId="7" applyNumberFormat="1" applyFont="1" applyBorder="1"/>
    <xf numFmtId="0" fontId="10" fillId="0" borderId="0" xfId="5" applyFont="1"/>
    <xf numFmtId="0" fontId="10" fillId="0" borderId="0" xfId="5" applyNumberFormat="1" applyFont="1" applyAlignment="1">
      <alignment horizontal="center"/>
    </xf>
    <xf numFmtId="0" fontId="12" fillId="0" borderId="0" xfId="5" applyNumberFormat="1" applyFont="1" applyAlignment="1">
      <alignment horizontal="center"/>
    </xf>
    <xf numFmtId="0" fontId="12" fillId="0" borderId="0" xfId="5" applyFont="1" applyAlignment="1">
      <alignment horizontal="center"/>
    </xf>
    <xf numFmtId="0" fontId="12" fillId="0" borderId="1" xfId="5" applyNumberFormat="1" applyFont="1" applyBorder="1" applyAlignment="1">
      <alignment horizontal="center"/>
    </xf>
    <xf numFmtId="0" fontId="12" fillId="0" borderId="2" xfId="5" applyNumberFormat="1" applyFont="1" applyBorder="1" applyAlignment="1">
      <alignment horizontal="center"/>
    </xf>
    <xf numFmtId="0" fontId="12" fillId="0" borderId="2" xfId="5" applyFont="1" applyBorder="1" applyAlignment="1">
      <alignment horizontal="center"/>
    </xf>
    <xf numFmtId="0" fontId="12" fillId="0" borderId="3" xfId="5" applyFont="1" applyBorder="1" applyAlignment="1">
      <alignment horizontal="center"/>
    </xf>
    <xf numFmtId="0" fontId="12" fillId="0" borderId="4" xfId="5" applyFont="1" applyBorder="1" applyAlignment="1">
      <alignment horizontal="center"/>
    </xf>
    <xf numFmtId="0" fontId="12" fillId="0" borderId="5" xfId="5" applyNumberFormat="1" applyFont="1" applyBorder="1" applyAlignment="1">
      <alignment horizontal="center"/>
    </xf>
    <xf numFmtId="0" fontId="12" fillId="0" borderId="6" xfId="5" applyNumberFormat="1" applyFont="1" applyBorder="1" applyAlignment="1">
      <alignment horizontal="center"/>
    </xf>
    <xf numFmtId="0" fontId="12" fillId="0" borderId="6" xfId="5" applyFont="1" applyBorder="1" applyAlignment="1">
      <alignment horizontal="center"/>
    </xf>
    <xf numFmtId="0" fontId="12" fillId="0" borderId="0" xfId="5" applyFont="1" applyBorder="1" applyAlignment="1">
      <alignment horizontal="center"/>
    </xf>
    <xf numFmtId="0" fontId="12" fillId="0" borderId="7" xfId="5" applyFont="1" applyBorder="1" applyAlignment="1">
      <alignment horizontal="center"/>
    </xf>
    <xf numFmtId="0" fontId="12" fillId="0" borderId="8" xfId="5" applyNumberFormat="1" applyFont="1" applyBorder="1" applyAlignment="1">
      <alignment horizontal="center"/>
    </xf>
    <xf numFmtId="0" fontId="12" fillId="0" borderId="9" xfId="5" applyNumberFormat="1" applyFont="1" applyBorder="1" applyAlignment="1">
      <alignment horizontal="center"/>
    </xf>
    <xf numFmtId="0" fontId="12" fillId="0" borderId="9" xfId="5" applyFont="1" applyBorder="1" applyAlignment="1">
      <alignment horizontal="center"/>
    </xf>
    <xf numFmtId="0" fontId="12" fillId="0" borderId="10" xfId="5" applyFont="1" applyBorder="1" applyAlignment="1">
      <alignment horizontal="center"/>
    </xf>
    <xf numFmtId="0" fontId="12" fillId="0" borderId="11" xfId="5" applyFont="1" applyBorder="1" applyAlignment="1">
      <alignment horizontal="center"/>
    </xf>
    <xf numFmtId="0" fontId="13" fillId="0" borderId="0" xfId="5" applyNumberFormat="1" applyFont="1" applyAlignment="1">
      <alignment horizontal="center"/>
    </xf>
    <xf numFmtId="0" fontId="13" fillId="0" borderId="0" xfId="5" applyFont="1" applyAlignment="1">
      <alignment horizontal="center"/>
    </xf>
    <xf numFmtId="10" fontId="10" fillId="0" borderId="0" xfId="6" applyNumberFormat="1" applyFont="1"/>
    <xf numFmtId="37" fontId="10" fillId="0" borderId="0" xfId="5" applyNumberFormat="1" applyFont="1" applyBorder="1" applyAlignment="1">
      <alignment horizontal="center"/>
    </xf>
    <xf numFmtId="0" fontId="10" fillId="0" borderId="0" xfId="5" applyFont="1" applyBorder="1"/>
    <xf numFmtId="37" fontId="10" fillId="0" borderId="12" xfId="6" applyNumberFormat="1" applyFont="1" applyBorder="1"/>
    <xf numFmtId="171" fontId="10" fillId="0" borderId="0" xfId="1" applyNumberFormat="1" applyFont="1"/>
    <xf numFmtId="171" fontId="15" fillId="0" borderId="0" xfId="1" applyNumberFormat="1" applyFont="1"/>
    <xf numFmtId="0" fontId="19" fillId="0" borderId="0" xfId="0" applyFont="1" applyFill="1"/>
    <xf numFmtId="0" fontId="15" fillId="0" borderId="0" xfId="0" applyFont="1" applyFill="1" applyBorder="1"/>
    <xf numFmtId="0" fontId="15" fillId="0" borderId="0" xfId="0" applyFont="1" applyFill="1"/>
    <xf numFmtId="0" fontId="20" fillId="0" borderId="0" xfId="0" applyFont="1" applyFill="1"/>
    <xf numFmtId="0" fontId="20" fillId="0" borderId="0" xfId="0" applyFont="1" applyFill="1" applyBorder="1"/>
    <xf numFmtId="3" fontId="26" fillId="0" borderId="0" xfId="0" applyNumberFormat="1" applyFont="1" applyFill="1"/>
    <xf numFmtId="3" fontId="10" fillId="0" borderId="0" xfId="0" applyNumberFormat="1" applyFont="1" applyFill="1"/>
    <xf numFmtId="0" fontId="15" fillId="0" borderId="15" xfId="0" applyFont="1" applyBorder="1"/>
    <xf numFmtId="10" fontId="15" fillId="0" borderId="15" xfId="0" applyNumberFormat="1" applyFont="1" applyBorder="1"/>
    <xf numFmtId="0" fontId="27" fillId="0" borderId="0" xfId="0" applyFont="1"/>
    <xf numFmtId="5" fontId="22" fillId="0" borderId="0" xfId="0" applyNumberFormat="1" applyFont="1"/>
    <xf numFmtId="0" fontId="15" fillId="0" borderId="0" xfId="0" applyFont="1" applyAlignment="1">
      <alignment horizontal="right"/>
    </xf>
    <xf numFmtId="5" fontId="15" fillId="0" borderId="12" xfId="0" applyNumberFormat="1" applyFont="1" applyBorder="1"/>
    <xf numFmtId="0" fontId="26" fillId="0" borderId="0" xfId="0" applyFont="1" applyAlignment="1">
      <alignment horizontal="center"/>
    </xf>
    <xf numFmtId="0" fontId="26" fillId="0" borderId="0" xfId="0" applyFont="1" applyAlignment="1"/>
    <xf numFmtId="0" fontId="28" fillId="0" borderId="0" xfId="0" applyFont="1" applyFill="1"/>
    <xf numFmtId="0" fontId="29" fillId="0" borderId="0" xfId="0" applyFont="1" applyFill="1" applyBorder="1" applyAlignment="1">
      <alignment horizontal="center"/>
    </xf>
    <xf numFmtId="5" fontId="28" fillId="0" borderId="0" xfId="0" applyNumberFormat="1" applyFont="1" applyFill="1" applyBorder="1"/>
    <xf numFmtId="0" fontId="29" fillId="0" borderId="0" xfId="0" applyFont="1" applyFill="1" applyBorder="1"/>
    <xf numFmtId="0" fontId="30" fillId="0" borderId="0" xfId="0" applyFont="1" applyAlignment="1">
      <alignment horizontal="center"/>
    </xf>
    <xf numFmtId="3" fontId="10" fillId="0" borderId="0" xfId="0" applyNumberFormat="1" applyFont="1"/>
    <xf numFmtId="0" fontId="10" fillId="0" borderId="0" xfId="6" applyNumberFormat="1" applyFont="1" applyAlignment="1">
      <alignment horizontal="center"/>
    </xf>
    <xf numFmtId="37" fontId="15" fillId="0" borderId="0" xfId="0" applyNumberFormat="1" applyFont="1"/>
    <xf numFmtId="0" fontId="10" fillId="0" borderId="0" xfId="0" applyFont="1" applyFill="1" applyAlignment="1">
      <alignment horizontal="center"/>
    </xf>
    <xf numFmtId="5" fontId="10" fillId="0" borderId="16" xfId="0" applyNumberFormat="1" applyFont="1" applyBorder="1"/>
    <xf numFmtId="5" fontId="15" fillId="0" borderId="0" xfId="0" applyNumberFormat="1" applyFont="1" applyFill="1" applyBorder="1"/>
    <xf numFmtId="5" fontId="16" fillId="0" borderId="0" xfId="0" applyNumberFormat="1" applyFont="1" applyFill="1" applyBorder="1"/>
    <xf numFmtId="10" fontId="15" fillId="0" borderId="0" xfId="0" applyNumberFormat="1" applyFont="1" applyFill="1" applyBorder="1"/>
    <xf numFmtId="171" fontId="15" fillId="0" borderId="0" xfId="1" applyNumberFormat="1" applyFont="1" applyFill="1" applyBorder="1"/>
    <xf numFmtId="171" fontId="15" fillId="0" borderId="0" xfId="0" applyNumberFormat="1" applyFont="1" applyFill="1" applyBorder="1"/>
    <xf numFmtId="3" fontId="33" fillId="0" borderId="0" xfId="0" applyNumberFormat="1" applyFont="1"/>
    <xf numFmtId="3" fontId="34" fillId="0" borderId="0" xfId="6" applyNumberFormat="1" applyFont="1" applyFill="1"/>
    <xf numFmtId="3" fontId="34" fillId="0" borderId="0" xfId="5" applyNumberFormat="1" applyFont="1" applyFill="1"/>
    <xf numFmtId="0" fontId="34" fillId="0" borderId="0" xfId="6" applyNumberFormat="1" applyFont="1" applyAlignment="1">
      <alignment horizontal="left"/>
    </xf>
    <xf numFmtId="0" fontId="34" fillId="0" borderId="0" xfId="6" applyFont="1"/>
    <xf numFmtId="3" fontId="36" fillId="0" borderId="0" xfId="6" applyNumberFormat="1" applyFont="1" applyFill="1"/>
    <xf numFmtId="3" fontId="34" fillId="0" borderId="0" xfId="6" applyNumberFormat="1" applyFont="1"/>
    <xf numFmtId="3" fontId="35" fillId="0" borderId="0" xfId="6" applyNumberFormat="1" applyFont="1"/>
    <xf numFmtId="3" fontId="37" fillId="0" borderId="0" xfId="6" applyNumberFormat="1" applyFont="1"/>
    <xf numFmtId="3" fontId="35" fillId="0" borderId="0" xfId="6" applyNumberFormat="1" applyFont="1" applyAlignment="1"/>
    <xf numFmtId="0" fontId="35" fillId="0" borderId="0" xfId="6" applyNumberFormat="1" applyFont="1" applyAlignment="1">
      <alignment horizontal="center"/>
    </xf>
    <xf numFmtId="0" fontId="35" fillId="0" borderId="0" xfId="6" applyFont="1" applyAlignment="1">
      <alignment horizontal="center"/>
    </xf>
    <xf numFmtId="3" fontId="35" fillId="0" borderId="0" xfId="6" applyNumberFormat="1" applyFont="1" applyAlignment="1">
      <alignment horizontal="center"/>
    </xf>
    <xf numFmtId="0" fontId="35" fillId="0" borderId="1" xfId="6" applyNumberFormat="1" applyFont="1" applyBorder="1" applyAlignment="1">
      <alignment horizontal="center"/>
    </xf>
    <xf numFmtId="0" fontId="35" fillId="0" borderId="2" xfId="6" applyFont="1" applyBorder="1" applyAlignment="1">
      <alignment horizontal="center"/>
    </xf>
    <xf numFmtId="0" fontId="35" fillId="0" borderId="3" xfId="6" applyFont="1" applyBorder="1" applyAlignment="1">
      <alignment horizontal="center"/>
    </xf>
    <xf numFmtId="0" fontId="34" fillId="0" borderId="4" xfId="6" applyFont="1" applyBorder="1"/>
    <xf numFmtId="3" fontId="35" fillId="0" borderId="1" xfId="6" applyNumberFormat="1" applyFont="1" applyBorder="1" applyAlignment="1">
      <alignment horizontal="center"/>
    </xf>
    <xf numFmtId="0" fontId="35" fillId="0" borderId="5" xfId="6" applyNumberFormat="1" applyFont="1" applyBorder="1" applyAlignment="1">
      <alignment horizontal="center"/>
    </xf>
    <xf numFmtId="0" fontId="35" fillId="0" borderId="6" xfId="6" applyFont="1" applyBorder="1" applyAlignment="1">
      <alignment horizontal="center"/>
    </xf>
    <xf numFmtId="0" fontId="35" fillId="0" borderId="0" xfId="6" applyFont="1" applyBorder="1" applyAlignment="1">
      <alignment horizontal="center"/>
    </xf>
    <xf numFmtId="0" fontId="34" fillId="0" borderId="7" xfId="6" applyFont="1" applyBorder="1"/>
    <xf numFmtId="3" fontId="35" fillId="0" borderId="5" xfId="6" applyNumberFormat="1" applyFont="1" applyBorder="1" applyAlignment="1">
      <alignment horizontal="center"/>
    </xf>
    <xf numFmtId="0" fontId="35" fillId="0" borderId="8" xfId="6" applyNumberFormat="1" applyFont="1" applyBorder="1" applyAlignment="1">
      <alignment horizontal="center"/>
    </xf>
    <xf numFmtId="0" fontId="35" fillId="0" borderId="9" xfId="6" applyFont="1" applyBorder="1" applyAlignment="1">
      <alignment horizontal="center"/>
    </xf>
    <xf numFmtId="0" fontId="35" fillId="0" borderId="10" xfId="6" applyFont="1" applyBorder="1" applyAlignment="1">
      <alignment horizontal="center"/>
    </xf>
    <xf numFmtId="0" fontId="35" fillId="0" borderId="11" xfId="6" applyFont="1" applyBorder="1" applyAlignment="1">
      <alignment horizontal="center"/>
    </xf>
    <xf numFmtId="3" fontId="35" fillId="0" borderId="8" xfId="6" applyNumberFormat="1" applyFont="1" applyBorder="1" applyAlignment="1">
      <alignment horizontal="center"/>
    </xf>
    <xf numFmtId="0" fontId="34" fillId="0" borderId="0" xfId="6" applyNumberFormat="1" applyFont="1" applyAlignment="1">
      <alignment horizontal="center"/>
    </xf>
    <xf numFmtId="5" fontId="34" fillId="0" borderId="0" xfId="6" applyNumberFormat="1" applyFont="1"/>
    <xf numFmtId="37" fontId="34" fillId="0" borderId="0" xfId="6" applyNumberFormat="1" applyFont="1"/>
    <xf numFmtId="0" fontId="34" fillId="0" borderId="0" xfId="6" applyNumberFormat="1" applyFont="1" applyBorder="1" applyAlignment="1">
      <alignment horizontal="center"/>
    </xf>
    <xf numFmtId="37" fontId="34" fillId="0" borderId="0" xfId="6" applyNumberFormat="1" applyFont="1" applyBorder="1"/>
    <xf numFmtId="0" fontId="34" fillId="0" borderId="0" xfId="6" applyFont="1" applyBorder="1"/>
    <xf numFmtId="0" fontId="34" fillId="0" borderId="0" xfId="6" applyNumberFormat="1" applyFont="1" applyFill="1" applyAlignment="1">
      <alignment horizontal="left"/>
    </xf>
    <xf numFmtId="0" fontId="34" fillId="0" borderId="0" xfId="6" applyFont="1" applyFill="1"/>
    <xf numFmtId="0" fontId="34" fillId="0" borderId="0" xfId="5" applyFont="1" applyFill="1"/>
    <xf numFmtId="10" fontId="34" fillId="0" borderId="0" xfId="7" applyNumberFormat="1" applyFont="1" applyFill="1"/>
    <xf numFmtId="0" fontId="34" fillId="0" borderId="0" xfId="6" applyNumberFormat="1" applyFont="1" applyFill="1" applyAlignment="1">
      <alignment horizontal="center"/>
    </xf>
    <xf numFmtId="0" fontId="34" fillId="0" borderId="0" xfId="5" applyFont="1" applyFill="1" applyAlignment="1">
      <alignment horizontal="right"/>
    </xf>
    <xf numFmtId="10" fontId="28" fillId="0" borderId="0" xfId="7" applyNumberFormat="1" applyFont="1" applyFill="1" applyBorder="1"/>
    <xf numFmtId="0" fontId="28" fillId="0" borderId="0" xfId="0" applyFont="1" applyFill="1" applyBorder="1"/>
    <xf numFmtId="37" fontId="28" fillId="0" borderId="0" xfId="3" applyNumberFormat="1" applyFont="1" applyFill="1" applyBorder="1"/>
    <xf numFmtId="0" fontId="34" fillId="0" borderId="0" xfId="6" applyFont="1" applyAlignment="1">
      <alignment horizontal="left"/>
    </xf>
    <xf numFmtId="4" fontId="35" fillId="0" borderId="0" xfId="6" applyNumberFormat="1" applyFont="1" applyAlignment="1">
      <alignment horizontal="center"/>
    </xf>
    <xf numFmtId="4" fontId="15" fillId="0" borderId="0" xfId="0" applyNumberFormat="1" applyFont="1" applyFill="1" applyAlignment="1">
      <alignment horizontal="center"/>
    </xf>
    <xf numFmtId="41" fontId="34" fillId="0" borderId="0" xfId="6" applyNumberFormat="1" applyFont="1"/>
    <xf numFmtId="41" fontId="34" fillId="0" borderId="10" xfId="6" applyNumberFormat="1" applyFont="1" applyBorder="1"/>
    <xf numFmtId="41" fontId="34" fillId="0" borderId="0" xfId="6" applyNumberFormat="1" applyFont="1" applyFill="1"/>
    <xf numFmtId="41" fontId="34" fillId="0" borderId="15" xfId="6" applyNumberFormat="1" applyFont="1" applyBorder="1"/>
    <xf numFmtId="41" fontId="34" fillId="0" borderId="0" xfId="6" applyNumberFormat="1" applyFont="1" applyBorder="1"/>
    <xf numFmtId="41" fontId="34" fillId="0" borderId="0" xfId="5" applyNumberFormat="1" applyFont="1" applyFill="1"/>
    <xf numFmtId="41" fontId="39" fillId="0" borderId="0" xfId="5" applyNumberFormat="1" applyFont="1" applyFill="1"/>
    <xf numFmtId="3" fontId="15" fillId="0" borderId="0" xfId="13" applyNumberFormat="1" applyFont="1"/>
    <xf numFmtId="4" fontId="15" fillId="0" borderId="0" xfId="13" applyNumberFormat="1" applyFont="1" applyBorder="1" applyAlignment="1">
      <alignment horizontal="centerContinuous"/>
    </xf>
    <xf numFmtId="3" fontId="15" fillId="0" borderId="0" xfId="13" applyNumberFormat="1" applyFont="1" applyBorder="1" applyAlignment="1">
      <alignment horizontal="left"/>
    </xf>
    <xf numFmtId="3" fontId="15" fillId="0" borderId="0" xfId="13" applyNumberFormat="1" applyFont="1" applyBorder="1" applyAlignment="1">
      <alignment horizontal="centerContinuous"/>
    </xf>
    <xf numFmtId="0" fontId="15" fillId="0" borderId="0" xfId="13" applyFont="1" applyBorder="1" applyAlignment="1">
      <alignment horizontal="centerContinuous"/>
    </xf>
    <xf numFmtId="3" fontId="15" fillId="0" borderId="0" xfId="13" applyNumberFormat="1" applyFont="1" applyAlignment="1">
      <alignment horizontal="center"/>
    </xf>
    <xf numFmtId="4" fontId="15" fillId="0" borderId="0" xfId="13" applyNumberFormat="1" applyFont="1" applyAlignment="1">
      <alignment horizontal="center"/>
    </xf>
    <xf numFmtId="3" fontId="15" fillId="0" borderId="0" xfId="13" applyNumberFormat="1" applyFont="1" applyAlignment="1">
      <alignment horizontal="left"/>
    </xf>
    <xf numFmtId="0" fontId="15" fillId="0" borderId="0" xfId="13" applyFont="1"/>
    <xf numFmtId="0" fontId="15" fillId="0" borderId="0" xfId="13" applyFont="1" applyAlignment="1">
      <alignment horizontal="center"/>
    </xf>
    <xf numFmtId="3" fontId="15" fillId="0" borderId="10" xfId="13" applyNumberFormat="1" applyFont="1" applyBorder="1" applyAlignment="1">
      <alignment horizontal="left"/>
    </xf>
    <xf numFmtId="0" fontId="15" fillId="0" borderId="10" xfId="13" applyFont="1" applyBorder="1" applyAlignment="1">
      <alignment horizontal="center"/>
    </xf>
    <xf numFmtId="3" fontId="15" fillId="0" borderId="10" xfId="13" applyNumberFormat="1" applyFont="1" applyBorder="1" applyAlignment="1">
      <alignment horizontal="center"/>
    </xf>
    <xf numFmtId="41" fontId="15" fillId="0" borderId="0" xfId="13" applyNumberFormat="1" applyFont="1" applyAlignment="1">
      <alignment horizontal="right"/>
    </xf>
    <xf numFmtId="4" fontId="15" fillId="0" borderId="0" xfId="13" applyNumberFormat="1" applyFont="1" applyAlignment="1">
      <alignment horizontal="left"/>
    </xf>
    <xf numFmtId="0" fontId="15" fillId="0" borderId="0" xfId="13" applyFont="1" applyBorder="1"/>
    <xf numFmtId="0" fontId="15" fillId="0" borderId="0" xfId="0" applyFont="1" applyAlignment="1">
      <alignment horizontal="left"/>
    </xf>
    <xf numFmtId="4" fontId="15" fillId="0" borderId="0" xfId="0" applyNumberFormat="1" applyFont="1" applyFill="1" applyAlignment="1">
      <alignment horizontal="left"/>
    </xf>
    <xf numFmtId="4" fontId="15" fillId="0" borderId="0" xfId="0" applyNumberFormat="1" applyFont="1" applyAlignment="1">
      <alignment horizontal="left"/>
    </xf>
    <xf numFmtId="41" fontId="15" fillId="0" borderId="0" xfId="13" applyNumberFormat="1" applyFont="1"/>
    <xf numFmtId="41" fontId="15" fillId="0" borderId="0" xfId="1" applyNumberFormat="1" applyFont="1"/>
    <xf numFmtId="41" fontId="15" fillId="0" borderId="0" xfId="1" applyNumberFormat="1" applyFont="1" applyAlignment="1">
      <alignment horizontal="right"/>
    </xf>
    <xf numFmtId="41" fontId="22" fillId="0" borderId="0" xfId="1" applyNumberFormat="1" applyFont="1"/>
    <xf numFmtId="41" fontId="15" fillId="0" borderId="10" xfId="1" applyNumberFormat="1" applyFont="1" applyBorder="1"/>
    <xf numFmtId="41" fontId="21" fillId="0" borderId="10" xfId="1" applyNumberFormat="1" applyFont="1" applyFill="1" applyBorder="1"/>
    <xf numFmtId="41" fontId="15" fillId="0" borderId="12" xfId="1" applyNumberFormat="1" applyFont="1" applyBorder="1"/>
    <xf numFmtId="9" fontId="15" fillId="0" borderId="10" xfId="7" applyFont="1" applyBorder="1"/>
    <xf numFmtId="9" fontId="15" fillId="0" borderId="0" xfId="7" applyFont="1"/>
    <xf numFmtId="10" fontId="15" fillId="0" borderId="10" xfId="7" applyNumberFormat="1" applyFont="1" applyBorder="1"/>
    <xf numFmtId="10" fontId="34" fillId="0" borderId="0" xfId="7" applyNumberFormat="1" applyFont="1"/>
    <xf numFmtId="42" fontId="34" fillId="0" borderId="0" xfId="6" applyNumberFormat="1" applyFont="1"/>
    <xf numFmtId="41" fontId="10" fillId="0" borderId="0" xfId="6" applyNumberFormat="1" applyFont="1"/>
    <xf numFmtId="41" fontId="10" fillId="0" borderId="0" xfId="1" applyNumberFormat="1" applyFont="1"/>
    <xf numFmtId="41" fontId="10" fillId="0" borderId="10" xfId="6" applyNumberFormat="1" applyFont="1" applyBorder="1"/>
    <xf numFmtId="41" fontId="10" fillId="0" borderId="10" xfId="6" applyNumberFormat="1" applyFont="1" applyFill="1" applyBorder="1"/>
    <xf numFmtId="41" fontId="10" fillId="0" borderId="0" xfId="1" applyNumberFormat="1" applyFont="1" applyBorder="1"/>
    <xf numFmtId="41" fontId="10" fillId="0" borderId="15" xfId="6" applyNumberFormat="1" applyFont="1" applyBorder="1"/>
    <xf numFmtId="41" fontId="10" fillId="0" borderId="0" xfId="0" applyNumberFormat="1" applyFont="1"/>
    <xf numFmtId="41" fontId="10" fillId="0" borderId="12" xfId="6" applyNumberFormat="1" applyFont="1" applyBorder="1"/>
    <xf numFmtId="41" fontId="10" fillId="0" borderId="0" xfId="6" applyNumberFormat="1" applyFont="1" applyBorder="1"/>
    <xf numFmtId="173"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4" fontId="0" fillId="0" borderId="0" xfId="0" applyNumberFormat="1" applyAlignment="1">
      <alignment horizontal="left"/>
    </xf>
    <xf numFmtId="174" fontId="0" fillId="0" borderId="0" xfId="0" applyNumberFormat="1" applyFill="1" applyAlignment="1">
      <alignment horizontal="left"/>
    </xf>
    <xf numFmtId="3" fontId="0" fillId="0" borderId="0" xfId="0" applyNumberFormat="1" applyFill="1" applyAlignment="1">
      <alignment horizontal="left"/>
    </xf>
    <xf numFmtId="173" fontId="0" fillId="0" borderId="0" xfId="0" quotePrefix="1" applyNumberFormat="1" applyAlignment="1">
      <alignment horizontal="left"/>
    </xf>
    <xf numFmtId="173" fontId="41" fillId="0" borderId="0" xfId="0" applyNumberFormat="1" applyFont="1"/>
    <xf numFmtId="3" fontId="41" fillId="0" borderId="0" xfId="0" applyNumberFormat="1" applyFont="1"/>
    <xf numFmtId="49" fontId="41" fillId="0" borderId="0" xfId="0" applyNumberFormat="1" applyFont="1" applyFill="1" applyAlignment="1">
      <alignment horizontal="center"/>
    </xf>
    <xf numFmtId="3" fontId="41" fillId="0" borderId="0" xfId="0" applyNumberFormat="1" applyFont="1" applyFill="1"/>
    <xf numFmtId="173" fontId="41" fillId="0" borderId="0" xfId="0" applyNumberFormat="1" applyFont="1" applyAlignment="1">
      <alignment horizontal="center"/>
    </xf>
    <xf numFmtId="174" fontId="41" fillId="0" borderId="0" xfId="0" applyNumberFormat="1" applyFont="1"/>
    <xf numFmtId="174" fontId="41" fillId="0" borderId="0" xfId="0" applyNumberFormat="1" applyFont="1" applyAlignment="1">
      <alignment horizontal="center"/>
    </xf>
    <xf numFmtId="0" fontId="41" fillId="0" borderId="0" xfId="0" applyFont="1"/>
    <xf numFmtId="173" fontId="41" fillId="4" borderId="0" xfId="0" applyNumberFormat="1" applyFont="1" applyFill="1"/>
    <xf numFmtId="3" fontId="41" fillId="4" borderId="0" xfId="0" applyNumberFormat="1" applyFont="1" applyFill="1"/>
    <xf numFmtId="174" fontId="41" fillId="4" borderId="0" xfId="0" applyNumberFormat="1" applyFont="1" applyFill="1" applyAlignment="1">
      <alignment horizontal="center"/>
    </xf>
    <xf numFmtId="3" fontId="0" fillId="0" borderId="0" xfId="0" applyNumberFormat="1"/>
    <xf numFmtId="173" fontId="0" fillId="0" borderId="0" xfId="0" applyNumberFormat="1"/>
    <xf numFmtId="0" fontId="10" fillId="0" borderId="0" xfId="6" applyNumberFormat="1" applyFont="1" applyFill="1" applyAlignment="1">
      <alignment horizontal="center"/>
    </xf>
    <xf numFmtId="5" fontId="35" fillId="0" borderId="0" xfId="6" applyNumberFormat="1" applyFont="1"/>
    <xf numFmtId="42" fontId="34" fillId="0" borderId="12" xfId="6" applyNumberFormat="1" applyFont="1" applyBorder="1"/>
    <xf numFmtId="42" fontId="35" fillId="0" borderId="12" xfId="6" applyNumberFormat="1" applyFont="1" applyBorder="1"/>
    <xf numFmtId="41" fontId="21" fillId="0" borderId="0" xfId="1" applyNumberFormat="1" applyFont="1" applyFill="1" applyBorder="1"/>
    <xf numFmtId="41" fontId="15" fillId="0" borderId="0" xfId="1" applyNumberFormat="1" applyFont="1" applyBorder="1"/>
    <xf numFmtId="0" fontId="15" fillId="0" borderId="0" xfId="13" applyFont="1" applyBorder="1" applyAlignment="1">
      <alignment horizontal="center"/>
    </xf>
    <xf numFmtId="0" fontId="21" fillId="0" borderId="0" xfId="0" applyFont="1" applyFill="1"/>
    <xf numFmtId="175" fontId="34" fillId="0" borderId="0" xfId="5" applyNumberFormat="1" applyFont="1" applyFill="1"/>
    <xf numFmtId="10" fontId="34" fillId="2" borderId="0" xfId="7" applyNumberFormat="1" applyFont="1" applyFill="1"/>
    <xf numFmtId="41" fontId="15" fillId="2" borderId="17" xfId="1" applyNumberFormat="1" applyFont="1" applyFill="1" applyBorder="1"/>
    <xf numFmtId="37" fontId="10" fillId="0" borderId="0" xfId="6" applyNumberFormat="1" applyFont="1" applyFill="1"/>
    <xf numFmtId="41" fontId="10" fillId="0" borderId="0" xfId="6" applyNumberFormat="1" applyFont="1" applyFill="1"/>
    <xf numFmtId="0" fontId="16" fillId="0" borderId="0" xfId="0" applyFont="1" applyFill="1"/>
    <xf numFmtId="166" fontId="43" fillId="0" borderId="0" xfId="0" applyNumberFormat="1" applyFont="1" applyFill="1"/>
    <xf numFmtId="0" fontId="15" fillId="0" borderId="0" xfId="0" applyFont="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10" fontId="12" fillId="0" borderId="0" xfId="7" applyNumberFormat="1" applyFont="1"/>
    <xf numFmtId="4" fontId="15" fillId="0" borderId="0" xfId="0" applyNumberFormat="1" applyFont="1" applyAlignment="1">
      <alignment horizontal="center"/>
    </xf>
    <xf numFmtId="37" fontId="15" fillId="0" borderId="0" xfId="0" applyNumberFormat="1" applyFont="1" applyFill="1"/>
    <xf numFmtId="3" fontId="15" fillId="0" borderId="0" xfId="0" applyNumberFormat="1" applyFont="1" applyFill="1"/>
    <xf numFmtId="168" fontId="10" fillId="0" borderId="0" xfId="6" applyNumberFormat="1" applyFont="1" applyFill="1"/>
    <xf numFmtId="0" fontId="10" fillId="0" borderId="0" xfId="0" applyFont="1"/>
    <xf numFmtId="0" fontId="15" fillId="0" borderId="0" xfId="0" applyFont="1"/>
    <xf numFmtId="0" fontId="15" fillId="0" borderId="0" xfId="0" applyFont="1" applyBorder="1"/>
    <xf numFmtId="0" fontId="15" fillId="0" borderId="0" xfId="0" applyFont="1" applyAlignment="1">
      <alignment horizontal="center"/>
    </xf>
    <xf numFmtId="0" fontId="19" fillId="0" borderId="0" xfId="0" applyFont="1"/>
    <xf numFmtId="3" fontId="15" fillId="0" borderId="0" xfId="0" applyNumberFormat="1" applyFont="1"/>
    <xf numFmtId="37" fontId="15" fillId="0" borderId="0" xfId="0" applyNumberFormat="1" applyFont="1"/>
    <xf numFmtId="0" fontId="15" fillId="0" borderId="0" xfId="0" applyFont="1" applyFill="1" applyBorder="1"/>
    <xf numFmtId="0" fontId="15" fillId="0" borderId="0" xfId="0" applyFont="1" applyFill="1"/>
    <xf numFmtId="0" fontId="19" fillId="0" borderId="0" xfId="0" applyFont="1" applyFill="1"/>
    <xf numFmtId="5" fontId="22" fillId="0" borderId="0" xfId="0" applyNumberFormat="1" applyFont="1"/>
    <xf numFmtId="5" fontId="15" fillId="0" borderId="0" xfId="0" applyNumberFormat="1" applyFont="1" applyFill="1"/>
    <xf numFmtId="3" fontId="15" fillId="0" borderId="0" xfId="0" applyNumberFormat="1" applyFont="1" applyFill="1"/>
    <xf numFmtId="4" fontId="15" fillId="0" borderId="0" xfId="0" applyNumberFormat="1" applyFont="1" applyAlignment="1">
      <alignment horizontal="center"/>
    </xf>
    <xf numFmtId="4" fontId="15" fillId="0" borderId="0" xfId="0" applyNumberFormat="1" applyFont="1" applyAlignment="1">
      <alignment horizontal="left"/>
    </xf>
    <xf numFmtId="169" fontId="15" fillId="0" borderId="0" xfId="17" applyNumberFormat="1" applyFont="1"/>
    <xf numFmtId="3" fontId="45" fillId="0" borderId="0" xfId="0" applyNumberFormat="1" applyFont="1" applyAlignment="1">
      <alignment horizontal="left"/>
    </xf>
    <xf numFmtId="3" fontId="45" fillId="0" borderId="0" xfId="0" applyNumberFormat="1" applyFont="1" applyFill="1" applyAlignment="1">
      <alignment horizontal="left"/>
    </xf>
    <xf numFmtId="49" fontId="45" fillId="0" borderId="0" xfId="0" applyNumberFormat="1" applyFont="1" applyAlignment="1">
      <alignment horizontal="left"/>
    </xf>
    <xf numFmtId="3" fontId="45" fillId="0" borderId="0" xfId="0" applyNumberFormat="1" applyFont="1"/>
    <xf numFmtId="0" fontId="45" fillId="0" borderId="0" xfId="0" applyFont="1"/>
    <xf numFmtId="3" fontId="45" fillId="4" borderId="0" xfId="0" applyNumberFormat="1" applyFont="1" applyFill="1"/>
    <xf numFmtId="173" fontId="45" fillId="0" borderId="0" xfId="0" applyNumberFormat="1" applyFont="1"/>
    <xf numFmtId="0" fontId="15" fillId="0" borderId="0" xfId="0" applyFont="1"/>
    <xf numFmtId="0" fontId="15" fillId="0" borderId="0" xfId="0" applyFont="1" applyAlignment="1">
      <alignment horizontal="center"/>
    </xf>
    <xf numFmtId="37" fontId="15" fillId="0" borderId="0" xfId="0" applyNumberFormat="1" applyFont="1"/>
    <xf numFmtId="0" fontId="15" fillId="0" borderId="0" xfId="0" applyFont="1" applyFill="1"/>
    <xf numFmtId="0" fontId="16" fillId="0" borderId="0" xfId="0" applyFont="1" applyBorder="1" applyAlignment="1">
      <alignment horizontal="left"/>
    </xf>
    <xf numFmtId="3" fontId="15" fillId="0" borderId="0" xfId="0" applyNumberFormat="1" applyFont="1" applyFill="1"/>
    <xf numFmtId="4" fontId="15" fillId="0" borderId="0" xfId="0" applyNumberFormat="1" applyFont="1" applyAlignment="1">
      <alignment horizontal="center"/>
    </xf>
    <xf numFmtId="4" fontId="15" fillId="0" borderId="0" xfId="0" applyNumberFormat="1" applyFont="1" applyAlignment="1">
      <alignment horizontal="left"/>
    </xf>
    <xf numFmtId="5" fontId="22" fillId="0" borderId="0" xfId="0" applyNumberFormat="1" applyFont="1" applyBorder="1"/>
    <xf numFmtId="5" fontId="10" fillId="0" borderId="0" xfId="0" applyNumberFormat="1" applyFont="1" applyFill="1"/>
    <xf numFmtId="0" fontId="29" fillId="4" borderId="31" xfId="0" applyFont="1" applyFill="1" applyBorder="1" applyAlignment="1">
      <alignment horizontal="left"/>
    </xf>
    <xf numFmtId="171" fontId="15" fillId="0" borderId="0" xfId="0" applyNumberFormat="1" applyFont="1" applyBorder="1"/>
    <xf numFmtId="1" fontId="15" fillId="0" borderId="0" xfId="0" applyNumberFormat="1" applyFont="1"/>
    <xf numFmtId="0" fontId="15" fillId="0" borderId="0" xfId="0" applyFont="1" applyAlignment="1">
      <alignment horizontal="center"/>
    </xf>
    <xf numFmtId="3" fontId="16" fillId="0" borderId="0" xfId="0" applyNumberFormat="1" applyFont="1" applyFill="1" applyAlignment="1"/>
    <xf numFmtId="10" fontId="16" fillId="0" borderId="0" xfId="0" applyNumberFormat="1" applyFont="1" applyBorder="1" applyAlignment="1">
      <alignment horizontal="center"/>
    </xf>
    <xf numFmtId="37" fontId="33" fillId="0" borderId="0" xfId="5" applyNumberFormat="1" applyFont="1" applyBorder="1" applyAlignment="1">
      <alignment vertical="top"/>
    </xf>
    <xf numFmtId="174" fontId="45" fillId="4" borderId="0" xfId="0" applyNumberFormat="1" applyFont="1" applyFill="1" applyAlignment="1">
      <alignment horizontal="center"/>
    </xf>
    <xf numFmtId="0" fontId="0" fillId="0" borderId="0" xfId="0" applyAlignment="1">
      <alignment shrinkToFit="1"/>
    </xf>
    <xf numFmtId="0" fontId="15" fillId="0" borderId="0" xfId="0" applyFont="1" applyAlignment="1">
      <alignment horizontal="center"/>
    </xf>
    <xf numFmtId="0" fontId="46" fillId="0" borderId="0" xfId="0" applyFont="1" applyFill="1" applyAlignment="1">
      <alignment horizontal="center"/>
    </xf>
    <xf numFmtId="0" fontId="17" fillId="0" borderId="0" xfId="0" applyFont="1" applyFill="1" applyBorder="1" applyAlignment="1">
      <alignment horizontal="center"/>
    </xf>
    <xf numFmtId="0" fontId="17" fillId="0" borderId="0" xfId="0" applyFont="1" applyFill="1" applyBorder="1"/>
    <xf numFmtId="0" fontId="15" fillId="0" borderId="0" xfId="0" applyFont="1" applyFill="1" applyBorder="1" applyAlignment="1">
      <alignment horizontal="right"/>
    </xf>
    <xf numFmtId="0" fontId="43" fillId="0" borderId="0" xfId="5" applyNumberFormat="1" applyFont="1" applyAlignment="1">
      <alignment horizontal="left"/>
    </xf>
    <xf numFmtId="0" fontId="29" fillId="0" borderId="0" xfId="0" applyFont="1" applyAlignment="1">
      <alignment horizontal="centerContinuous"/>
    </xf>
    <xf numFmtId="0" fontId="28" fillId="0" borderId="0" xfId="0" applyFont="1"/>
    <xf numFmtId="0" fontId="48" fillId="0" borderId="0" xfId="0" applyFont="1"/>
    <xf numFmtId="0" fontId="29" fillId="0" borderId="0" xfId="0" applyFont="1" applyAlignment="1"/>
    <xf numFmtId="0" fontId="29" fillId="0" borderId="0" xfId="0" applyFont="1" applyAlignment="1">
      <alignment horizontal="center"/>
    </xf>
    <xf numFmtId="0" fontId="29" fillId="0" borderId="0" xfId="5" applyNumberFormat="1" applyFont="1" applyAlignment="1">
      <alignment horizontal="center"/>
    </xf>
    <xf numFmtId="0" fontId="29" fillId="0" borderId="0" xfId="0" applyFont="1" applyFill="1" applyAlignment="1">
      <alignment horizontal="center"/>
    </xf>
    <xf numFmtId="0" fontId="48" fillId="0" borderId="0" xfId="0" applyFont="1" applyFill="1"/>
    <xf numFmtId="3" fontId="29" fillId="0" borderId="0" xfId="0" applyNumberFormat="1" applyFont="1" applyFill="1" applyAlignment="1"/>
    <xf numFmtId="0" fontId="29" fillId="0" borderId="1" xfId="0" applyFont="1" applyBorder="1" applyAlignment="1">
      <alignment horizontal="center"/>
    </xf>
    <xf numFmtId="0" fontId="29" fillId="0" borderId="0" xfId="0" applyFont="1" applyBorder="1" applyAlignment="1">
      <alignment horizontal="center"/>
    </xf>
    <xf numFmtId="0" fontId="29" fillId="0" borderId="0" xfId="0" applyFont="1" applyFill="1" applyBorder="1" applyAlignment="1">
      <alignment horizontal="center" wrapText="1"/>
    </xf>
    <xf numFmtId="0" fontId="29" fillId="0" borderId="8" xfId="0" applyFont="1" applyBorder="1" applyAlignment="1">
      <alignment horizontal="center"/>
    </xf>
    <xf numFmtId="0" fontId="28" fillId="0" borderId="0" xfId="0" applyFont="1" applyBorder="1"/>
    <xf numFmtId="0" fontId="28" fillId="0" borderId="0" xfId="0" applyFont="1" applyAlignment="1">
      <alignment horizontal="center"/>
    </xf>
    <xf numFmtId="42" fontId="28" fillId="0" borderId="0" xfId="0" applyNumberFormat="1" applyFont="1"/>
    <xf numFmtId="5" fontId="28" fillId="0" borderId="0" xfId="0" applyNumberFormat="1" applyFont="1"/>
    <xf numFmtId="10" fontId="28" fillId="0" borderId="0" xfId="7" applyNumberFormat="1" applyFont="1" applyBorder="1"/>
    <xf numFmtId="170" fontId="28" fillId="0" borderId="0" xfId="7" applyNumberFormat="1" applyFont="1" applyBorder="1"/>
    <xf numFmtId="42" fontId="28" fillId="0" borderId="10" xfId="0" applyNumberFormat="1" applyFont="1" applyBorder="1"/>
    <xf numFmtId="42" fontId="28" fillId="0" borderId="0" xfId="0" applyNumberFormat="1" applyFont="1" applyBorder="1"/>
    <xf numFmtId="37" fontId="28" fillId="0" borderId="0" xfId="20" applyNumberFormat="1" applyFont="1" applyFill="1"/>
    <xf numFmtId="169" fontId="28" fillId="0" borderId="0" xfId="0" applyNumberFormat="1" applyFont="1"/>
    <xf numFmtId="0" fontId="40" fillId="0" borderId="0" xfId="0" applyFont="1" applyAlignment="1">
      <alignment horizontal="right"/>
    </xf>
    <xf numFmtId="10" fontId="29" fillId="0" borderId="0" xfId="7" applyNumberFormat="1" applyFont="1" applyBorder="1"/>
    <xf numFmtId="37" fontId="28" fillId="0" borderId="0" xfId="5" applyNumberFormat="1" applyFont="1"/>
    <xf numFmtId="42" fontId="28" fillId="0" borderId="0" xfId="0" applyNumberFormat="1" applyFont="1" applyFill="1" applyBorder="1"/>
    <xf numFmtId="0" fontId="43" fillId="0" borderId="0" xfId="0" applyFont="1"/>
    <xf numFmtId="0" fontId="29" fillId="0" borderId="0" xfId="0" applyFont="1" applyFill="1" applyBorder="1" applyAlignment="1">
      <alignment horizontal="center"/>
    </xf>
    <xf numFmtId="0" fontId="29" fillId="4" borderId="32" xfId="0" applyFont="1" applyFill="1" applyBorder="1" applyAlignment="1">
      <alignment horizontal="center"/>
    </xf>
    <xf numFmtId="0" fontId="29" fillId="4" borderId="33" xfId="0" applyFont="1" applyFill="1" applyBorder="1" applyAlignment="1">
      <alignment horizontal="center"/>
    </xf>
    <xf numFmtId="37" fontId="28" fillId="4" borderId="21" xfId="20" applyNumberFormat="1" applyFont="1" applyFill="1" applyBorder="1"/>
    <xf numFmtId="37" fontId="28" fillId="4" borderId="0" xfId="20" applyNumberFormat="1" applyFont="1" applyFill="1" applyBorder="1"/>
    <xf numFmtId="0" fontId="29" fillId="4" borderId="0" xfId="0" applyFont="1" applyFill="1" applyBorder="1" applyAlignment="1">
      <alignment horizontal="center"/>
    </xf>
    <xf numFmtId="37" fontId="49" fillId="4" borderId="0" xfId="20" applyNumberFormat="1" applyFont="1" applyFill="1" applyBorder="1"/>
    <xf numFmtId="0" fontId="29" fillId="4" borderId="22" xfId="0" applyFont="1" applyFill="1" applyBorder="1" applyAlignment="1">
      <alignment horizontal="center"/>
    </xf>
    <xf numFmtId="0" fontId="28" fillId="4" borderId="0" xfId="0" applyFont="1" applyFill="1" applyBorder="1"/>
    <xf numFmtId="0" fontId="29" fillId="4" borderId="10" xfId="0" applyFont="1" applyFill="1" applyBorder="1" applyAlignment="1">
      <alignment horizontal="center"/>
    </xf>
    <xf numFmtId="0" fontId="29" fillId="4" borderId="29" xfId="0" applyFont="1" applyFill="1" applyBorder="1" applyAlignment="1">
      <alignment horizontal="center"/>
    </xf>
    <xf numFmtId="37" fontId="28" fillId="0" borderId="0" xfId="20" applyNumberFormat="1" applyFont="1" applyFill="1" applyBorder="1"/>
    <xf numFmtId="37" fontId="28" fillId="4" borderId="22" xfId="20" applyNumberFormat="1" applyFont="1" applyFill="1" applyBorder="1"/>
    <xf numFmtId="167" fontId="28" fillId="4" borderId="0" xfId="7" applyNumberFormat="1" applyFont="1" applyFill="1" applyBorder="1"/>
    <xf numFmtId="10" fontId="28" fillId="4" borderId="22" xfId="7" applyNumberFormat="1" applyFont="1" applyFill="1" applyBorder="1"/>
    <xf numFmtId="10" fontId="28" fillId="4" borderId="0" xfId="7" applyNumberFormat="1" applyFont="1" applyFill="1" applyBorder="1"/>
    <xf numFmtId="170" fontId="49" fillId="4" borderId="0" xfId="7" applyNumberFormat="1" applyFont="1" applyFill="1" applyBorder="1"/>
    <xf numFmtId="10" fontId="28" fillId="4" borderId="16" xfId="7" applyNumberFormat="1" applyFont="1" applyFill="1" applyBorder="1"/>
    <xf numFmtId="10" fontId="28" fillId="4" borderId="30" xfId="7" applyNumberFormat="1" applyFont="1" applyFill="1" applyBorder="1"/>
    <xf numFmtId="37" fontId="28" fillId="4" borderId="23" xfId="20" applyNumberFormat="1" applyFont="1" applyFill="1" applyBorder="1"/>
    <xf numFmtId="0" fontId="28" fillId="4" borderId="24" xfId="0" applyFont="1" applyFill="1" applyBorder="1"/>
    <xf numFmtId="10" fontId="28" fillId="4" borderId="24" xfId="7" applyNumberFormat="1" applyFont="1" applyFill="1" applyBorder="1"/>
    <xf numFmtId="10" fontId="49" fillId="4" borderId="24" xfId="7" applyNumberFormat="1" applyFont="1" applyFill="1" applyBorder="1"/>
    <xf numFmtId="10" fontId="28" fillId="4" borderId="25" xfId="7" applyNumberFormat="1" applyFont="1" applyFill="1" applyBorder="1"/>
    <xf numFmtId="0" fontId="49" fillId="0" borderId="0" xfId="0" applyFont="1"/>
    <xf numFmtId="0" fontId="49" fillId="0" borderId="0" xfId="0" applyFont="1" applyBorder="1"/>
    <xf numFmtId="0" fontId="49" fillId="0" borderId="0" xfId="0" applyFont="1" applyFill="1" applyBorder="1"/>
    <xf numFmtId="10" fontId="49" fillId="0" borderId="0" xfId="7" applyNumberFormat="1" applyFont="1" applyFill="1" applyBorder="1" applyAlignment="1">
      <alignment horizontal="center"/>
    </xf>
    <xf numFmtId="0" fontId="29" fillId="0" borderId="0" xfId="0" applyFont="1" applyFill="1" applyBorder="1" applyAlignment="1">
      <alignment horizontal="left"/>
    </xf>
    <xf numFmtId="37" fontId="49" fillId="0" borderId="0" xfId="20" applyNumberFormat="1" applyFont="1" applyFill="1" applyBorder="1"/>
    <xf numFmtId="0" fontId="28" fillId="0" borderId="0" xfId="0" applyFont="1" applyFill="1" applyBorder="1" applyAlignment="1">
      <alignment horizontal="left"/>
    </xf>
    <xf numFmtId="5" fontId="28" fillId="0" borderId="0" xfId="7" applyNumberFormat="1" applyFont="1" applyFill="1" applyBorder="1"/>
    <xf numFmtId="3" fontId="42" fillId="0" borderId="0" xfId="13" applyNumberFormat="1" applyFont="1" applyFill="1"/>
    <xf numFmtId="0" fontId="29" fillId="0" borderId="0" xfId="0" applyFont="1" applyFill="1" applyAlignment="1"/>
    <xf numFmtId="174" fontId="45" fillId="0" borderId="0" xfId="0" applyNumberFormat="1" applyFont="1" applyAlignment="1">
      <alignment horizontal="left"/>
    </xf>
    <xf numFmtId="3" fontId="0" fillId="2" borderId="0" xfId="0" applyNumberFormat="1" applyFill="1" applyAlignment="1">
      <alignment horizontal="left"/>
    </xf>
    <xf numFmtId="41" fontId="15" fillId="0" borderId="3" xfId="1" applyNumberFormat="1" applyFont="1" applyBorder="1"/>
    <xf numFmtId="10" fontId="15" fillId="0" borderId="36" xfId="7" applyNumberFormat="1" applyFont="1" applyFill="1" applyBorder="1"/>
    <xf numFmtId="0" fontId="29" fillId="0" borderId="0" xfId="0" applyFont="1" applyFill="1" applyBorder="1" applyAlignment="1">
      <alignment horizontal="center"/>
    </xf>
    <xf numFmtId="0" fontId="15" fillId="0" borderId="0" xfId="0" applyFont="1" applyAlignment="1">
      <alignment horizontal="center"/>
    </xf>
    <xf numFmtId="0" fontId="10" fillId="0" borderId="0" xfId="0" applyFont="1" applyAlignment="1">
      <alignment horizontal="center"/>
    </xf>
    <xf numFmtId="165" fontId="10" fillId="0" borderId="0" xfId="0" applyNumberFormat="1" applyFont="1"/>
    <xf numFmtId="166" fontId="10" fillId="0" borderId="0" xfId="0" applyNumberFormat="1" applyFont="1"/>
    <xf numFmtId="165" fontId="10" fillId="0" borderId="0" xfId="0" applyNumberFormat="1" applyFont="1" applyAlignment="1">
      <alignment horizontal="right"/>
    </xf>
    <xf numFmtId="166" fontId="10" fillId="0" borderId="0" xfId="0" applyNumberFormat="1" applyFont="1" applyAlignment="1">
      <alignment horizontal="right"/>
    </xf>
    <xf numFmtId="0" fontId="10" fillId="0" borderId="0" xfId="0" applyFont="1" applyAlignment="1">
      <alignment horizontal="centerContinuous"/>
    </xf>
    <xf numFmtId="3" fontId="10" fillId="0" borderId="0" xfId="0" applyNumberFormat="1" applyFont="1" applyAlignment="1">
      <alignment horizontal="centerContinuous"/>
    </xf>
    <xf numFmtId="165" fontId="10" fillId="0" borderId="10" xfId="0" applyNumberFormat="1" applyFont="1" applyBorder="1" applyAlignment="1">
      <alignment horizontal="right"/>
    </xf>
    <xf numFmtId="166" fontId="12" fillId="0" borderId="10" xfId="0" applyNumberFormat="1" applyFont="1" applyBorder="1" applyAlignment="1">
      <alignment horizontal="center"/>
    </xf>
    <xf numFmtId="166" fontId="10" fillId="0" borderId="0" xfId="0" applyNumberFormat="1" applyFont="1" applyAlignment="1">
      <alignment horizontal="center"/>
    </xf>
    <xf numFmtId="0" fontId="10" fillId="0" borderId="0" xfId="0" applyFont="1" applyBorder="1" applyAlignment="1">
      <alignment horizontal="center"/>
    </xf>
    <xf numFmtId="0" fontId="10" fillId="0" borderId="10" xfId="0" applyFont="1" applyBorder="1" applyAlignment="1">
      <alignment horizontal="centerContinuous"/>
    </xf>
    <xf numFmtId="165" fontId="10" fillId="0" borderId="10" xfId="0" applyNumberFormat="1" applyFont="1" applyBorder="1" applyAlignment="1">
      <alignment horizontal="center"/>
    </xf>
    <xf numFmtId="166" fontId="10" fillId="0" borderId="10" xfId="0" applyNumberFormat="1" applyFont="1" applyBorder="1" applyAlignment="1">
      <alignment horizontal="center"/>
    </xf>
    <xf numFmtId="165" fontId="10" fillId="0" borderId="0" xfId="0" applyNumberFormat="1" applyFont="1" applyAlignment="1">
      <alignment horizontal="center"/>
    </xf>
    <xf numFmtId="171" fontId="10" fillId="0" borderId="0" xfId="1" applyNumberFormat="1" applyFont="1" applyAlignment="1">
      <alignment horizontal="center"/>
    </xf>
    <xf numFmtId="164" fontId="10" fillId="0" borderId="0" xfId="0" applyNumberFormat="1" applyFont="1"/>
    <xf numFmtId="37" fontId="10" fillId="0" borderId="0" xfId="0" applyNumberFormat="1" applyFont="1" applyFill="1"/>
    <xf numFmtId="37" fontId="10" fillId="0" borderId="10" xfId="0" applyNumberFormat="1" applyFont="1" applyBorder="1"/>
    <xf numFmtId="37" fontId="10" fillId="0" borderId="10" xfId="0" applyNumberFormat="1" applyFont="1" applyFill="1" applyBorder="1"/>
    <xf numFmtId="164" fontId="10" fillId="0" borderId="0" xfId="0" applyNumberFormat="1" applyFont="1" applyFill="1"/>
    <xf numFmtId="3" fontId="10" fillId="0" borderId="0" xfId="0" applyNumberFormat="1" applyFont="1" applyAlignment="1">
      <alignment horizontal="left"/>
    </xf>
    <xf numFmtId="167" fontId="10" fillId="0" borderId="0" xfId="0" applyNumberFormat="1" applyFont="1"/>
    <xf numFmtId="164" fontId="10" fillId="0" borderId="0" xfId="0" applyNumberFormat="1" applyFont="1" applyAlignment="1">
      <alignment horizontal="left"/>
    </xf>
    <xf numFmtId="37" fontId="10" fillId="0" borderId="15" xfId="0" applyNumberFormat="1" applyFont="1" applyBorder="1"/>
    <xf numFmtId="41" fontId="10" fillId="0" borderId="10" xfId="0" applyNumberFormat="1" applyFont="1" applyBorder="1"/>
    <xf numFmtId="5" fontId="10" fillId="0" borderId="12" xfId="0" applyNumberFormat="1" applyFont="1" applyBorder="1"/>
    <xf numFmtId="0" fontId="10" fillId="2" borderId="0" xfId="0" applyFont="1" applyFill="1"/>
    <xf numFmtId="165" fontId="10" fillId="2" borderId="0" xfId="0" applyNumberFormat="1" applyFont="1" applyFill="1"/>
    <xf numFmtId="166" fontId="10" fillId="2" borderId="0" xfId="0" applyNumberFormat="1" applyFont="1" applyFill="1"/>
    <xf numFmtId="171" fontId="10" fillId="2" borderId="0" xfId="1" applyNumberFormat="1" applyFont="1" applyFill="1"/>
    <xf numFmtId="174" fontId="45" fillId="0" borderId="0" xfId="0" applyNumberFormat="1" applyFont="1" applyAlignment="1">
      <alignment horizontal="center"/>
    </xf>
    <xf numFmtId="0" fontId="49" fillId="0" borderId="0" xfId="0" applyFont="1" applyFill="1"/>
    <xf numFmtId="14" fontId="51" fillId="0" borderId="0" xfId="0" applyNumberFormat="1" applyFont="1" applyFill="1" applyBorder="1"/>
    <xf numFmtId="14" fontId="28" fillId="0" borderId="0" xfId="0" applyNumberFormat="1" applyFont="1" applyFill="1" applyBorder="1"/>
    <xf numFmtId="0" fontId="28" fillId="0" borderId="0" xfId="0" applyFont="1" applyFill="1" applyBorder="1" applyAlignment="1">
      <alignment horizontal="center"/>
    </xf>
    <xf numFmtId="5" fontId="47" fillId="0" borderId="0" xfId="0" applyNumberFormat="1" applyFont="1" applyFill="1" applyBorder="1"/>
    <xf numFmtId="0" fontId="48" fillId="0" borderId="0" xfId="0" applyFont="1" applyBorder="1"/>
    <xf numFmtId="0" fontId="53" fillId="0" borderId="0" xfId="0" applyFont="1"/>
    <xf numFmtId="41" fontId="12" fillId="0" borderId="1" xfId="0" applyNumberFormat="1" applyFont="1" applyBorder="1" applyAlignment="1">
      <alignment horizontal="center"/>
    </xf>
    <xf numFmtId="41" fontId="12" fillId="0" borderId="5" xfId="0" applyNumberFormat="1" applyFont="1" applyBorder="1" applyAlignment="1">
      <alignment horizontal="center"/>
    </xf>
    <xf numFmtId="41" fontId="12" fillId="0" borderId="8" xfId="0" applyNumberFormat="1" applyFont="1" applyBorder="1" applyAlignment="1">
      <alignment horizontal="center"/>
    </xf>
    <xf numFmtId="3" fontId="13" fillId="0" borderId="0" xfId="0" quotePrefix="1" applyNumberFormat="1" applyFont="1" applyAlignment="1">
      <alignment horizontal="center"/>
    </xf>
    <xf numFmtId="169" fontId="16" fillId="0" borderId="0" xfId="17" applyNumberFormat="1" applyFont="1"/>
    <xf numFmtId="14" fontId="16" fillId="0" borderId="0" xfId="17" applyNumberFormat="1" applyFont="1"/>
    <xf numFmtId="0" fontId="16" fillId="0" borderId="0" xfId="17" applyFont="1"/>
    <xf numFmtId="169" fontId="16" fillId="0" borderId="0" xfId="17" applyNumberFormat="1" applyFont="1" applyAlignment="1">
      <alignment horizontal="right"/>
    </xf>
    <xf numFmtId="0" fontId="15" fillId="0" borderId="0" xfId="17" applyFont="1"/>
    <xf numFmtId="169" fontId="15" fillId="0" borderId="15" xfId="17" applyNumberFormat="1" applyFont="1" applyBorder="1"/>
    <xf numFmtId="0" fontId="55" fillId="0" borderId="0" xfId="17" applyFont="1"/>
    <xf numFmtId="4" fontId="56" fillId="0" borderId="0" xfId="17" applyNumberFormat="1" applyFont="1" applyAlignment="1">
      <alignment horizontal="left"/>
    </xf>
    <xf numFmtId="169" fontId="15" fillId="7" borderId="15" xfId="17" applyNumberFormat="1" applyFont="1" applyFill="1" applyBorder="1"/>
    <xf numFmtId="4" fontId="56" fillId="0" borderId="0" xfId="17" applyNumberFormat="1" applyFont="1" applyAlignment="1">
      <alignment horizontal="right"/>
    </xf>
    <xf numFmtId="169" fontId="15" fillId="0" borderId="10" xfId="17" applyNumberFormat="1" applyFont="1" applyBorder="1"/>
    <xf numFmtId="5" fontId="29" fillId="0" borderId="17" xfId="0" applyNumberFormat="1" applyFont="1" applyFill="1" applyBorder="1"/>
    <xf numFmtId="172" fontId="15" fillId="0" borderId="0" xfId="2" applyNumberFormat="1" applyFont="1" applyBorder="1"/>
    <xf numFmtId="172" fontId="15" fillId="0" borderId="0" xfId="2" applyNumberFormat="1" applyFont="1" applyFill="1" applyBorder="1"/>
    <xf numFmtId="172" fontId="17" fillId="0" borderId="0" xfId="2" applyNumberFormat="1" applyFont="1" applyFill="1" applyBorder="1" applyAlignment="1">
      <alignment horizontal="center"/>
    </xf>
    <xf numFmtId="172" fontId="15" fillId="0" borderId="0" xfId="2" applyNumberFormat="1" applyFont="1" applyFill="1" applyBorder="1" applyAlignment="1">
      <alignment horizontal="center"/>
    </xf>
    <xf numFmtId="3" fontId="12" fillId="0" borderId="0" xfId="0" applyNumberFormat="1" applyFont="1" applyFill="1"/>
    <xf numFmtId="41" fontId="12" fillId="0" borderId="1" xfId="0" quotePrefix="1" applyNumberFormat="1" applyFont="1" applyFill="1" applyBorder="1" applyAlignment="1">
      <alignment horizontal="center"/>
    </xf>
    <xf numFmtId="41" fontId="12" fillId="0" borderId="1" xfId="0" applyNumberFormat="1" applyFont="1" applyFill="1" applyBorder="1" applyAlignment="1">
      <alignment horizontal="center"/>
    </xf>
    <xf numFmtId="3" fontId="12" fillId="0" borderId="1" xfId="0" applyNumberFormat="1" applyFont="1" applyFill="1" applyBorder="1" applyAlignment="1">
      <alignment horizontal="center"/>
    </xf>
    <xf numFmtId="41" fontId="12" fillId="0" borderId="5" xfId="0" applyNumberFormat="1" applyFont="1" applyFill="1" applyBorder="1" applyAlignment="1">
      <alignment horizontal="center"/>
    </xf>
    <xf numFmtId="3" fontId="12" fillId="0" borderId="5" xfId="0" applyNumberFormat="1" applyFont="1" applyFill="1" applyBorder="1" applyAlignment="1">
      <alignment horizontal="center"/>
    </xf>
    <xf numFmtId="41" fontId="12" fillId="0" borderId="8" xfId="0" applyNumberFormat="1" applyFont="1" applyFill="1" applyBorder="1" applyAlignment="1">
      <alignment horizontal="center"/>
    </xf>
    <xf numFmtId="3" fontId="12" fillId="0" borderId="8" xfId="0" applyNumberFormat="1" applyFont="1" applyFill="1" applyBorder="1" applyAlignment="1">
      <alignment horizontal="center"/>
    </xf>
    <xf numFmtId="0" fontId="15" fillId="0" borderId="0" xfId="0" applyFont="1" applyAlignment="1">
      <alignment horizontal="center"/>
    </xf>
    <xf numFmtId="173" fontId="45" fillId="0" borderId="0" xfId="0" applyNumberFormat="1" applyFont="1" applyAlignment="1">
      <alignment horizontal="left"/>
    </xf>
    <xf numFmtId="166" fontId="10" fillId="0" borderId="10" xfId="0" applyNumberFormat="1" applyFont="1" applyBorder="1"/>
    <xf numFmtId="0" fontId="15" fillId="0" borderId="0" xfId="0" applyFont="1" applyAlignment="1">
      <alignment horizontal="center"/>
    </xf>
    <xf numFmtId="171" fontId="10" fillId="0" borderId="0" xfId="1" applyNumberFormat="1" applyFont="1" applyFill="1"/>
    <xf numFmtId="0" fontId="15" fillId="0" borderId="0" xfId="13" applyFont="1" applyAlignment="1">
      <alignment horizontal="right"/>
    </xf>
    <xf numFmtId="4" fontId="15" fillId="2" borderId="37" xfId="13" applyNumberFormat="1" applyFont="1" applyFill="1" applyBorder="1" applyAlignment="1">
      <alignment horizontal="center"/>
    </xf>
    <xf numFmtId="0" fontId="15" fillId="2" borderId="36" xfId="13" applyFont="1" applyFill="1" applyBorder="1" applyAlignment="1">
      <alignment horizontal="center"/>
    </xf>
    <xf numFmtId="0" fontId="29" fillId="0" borderId="0" xfId="0" applyFont="1" applyFill="1" applyAlignment="1">
      <alignment horizontal="centerContinuous"/>
    </xf>
    <xf numFmtId="0" fontId="29" fillId="0" borderId="0" xfId="5" applyNumberFormat="1" applyFont="1" applyFill="1" applyAlignment="1">
      <alignment horizontal="center"/>
    </xf>
    <xf numFmtId="0" fontId="28" fillId="0" borderId="0" xfId="0" applyFont="1" applyFill="1" applyAlignment="1">
      <alignment horizontal="center"/>
    </xf>
    <xf numFmtId="0" fontId="28" fillId="0" borderId="10" xfId="0" applyFont="1" applyFill="1" applyBorder="1" applyAlignment="1">
      <alignment horizontal="center"/>
    </xf>
    <xf numFmtId="42" fontId="28" fillId="0" borderId="0" xfId="0" applyNumberFormat="1" applyFont="1" applyFill="1"/>
    <xf numFmtId="5" fontId="28" fillId="0" borderId="0" xfId="0" applyNumberFormat="1" applyFont="1" applyFill="1"/>
    <xf numFmtId="170" fontId="28" fillId="0" borderId="0" xfId="7" applyNumberFormat="1" applyFont="1" applyFill="1" applyBorder="1"/>
    <xf numFmtId="169" fontId="28" fillId="0" borderId="0" xfId="0" applyNumberFormat="1" applyFont="1" applyFill="1"/>
    <xf numFmtId="0" fontId="29" fillId="0" borderId="0" xfId="0" applyFont="1" applyFill="1"/>
    <xf numFmtId="42" fontId="29" fillId="0" borderId="0" xfId="0" applyNumberFormat="1" applyFont="1" applyFill="1" applyBorder="1"/>
    <xf numFmtId="37" fontId="29" fillId="0" borderId="0" xfId="5" applyNumberFormat="1" applyFont="1" applyFill="1"/>
    <xf numFmtId="10" fontId="29" fillId="0" borderId="0" xfId="7" applyNumberFormat="1" applyFont="1" applyFill="1" applyBorder="1"/>
    <xf numFmtId="44" fontId="29" fillId="0" borderId="0" xfId="2" applyNumberFormat="1" applyFont="1" applyFill="1" applyBorder="1"/>
    <xf numFmtId="167" fontId="29" fillId="0" borderId="0" xfId="7" applyNumberFormat="1" applyFont="1" applyFill="1" applyBorder="1"/>
    <xf numFmtId="172" fontId="28" fillId="0" borderId="0" xfId="2" applyNumberFormat="1" applyFont="1"/>
    <xf numFmtId="178" fontId="28" fillId="0" borderId="0" xfId="0" applyNumberFormat="1" applyFont="1"/>
    <xf numFmtId="5" fontId="29" fillId="0" borderId="17" xfId="0" applyNumberFormat="1" applyFont="1" applyBorder="1"/>
    <xf numFmtId="0" fontId="28" fillId="0" borderId="0" xfId="20" applyFont="1"/>
    <xf numFmtId="37" fontId="28" fillId="0" borderId="0" xfId="5" applyNumberFormat="1" applyFont="1" applyFill="1" applyBorder="1"/>
    <xf numFmtId="41" fontId="12" fillId="0" borderId="1" xfId="96" quotePrefix="1" applyNumberFormat="1" applyFont="1" applyBorder="1" applyAlignment="1">
      <alignment horizontal="center"/>
    </xf>
    <xf numFmtId="41" fontId="12" fillId="0" borderId="5" xfId="96" applyNumberFormat="1" applyFont="1" applyBorder="1" applyAlignment="1">
      <alignment horizontal="center"/>
    </xf>
    <xf numFmtId="41" fontId="12" fillId="0" borderId="8" xfId="96" applyNumberFormat="1" applyFont="1" applyBorder="1" applyAlignment="1">
      <alignment horizontal="center"/>
    </xf>
    <xf numFmtId="41" fontId="12" fillId="0" borderId="13" xfId="96" applyNumberFormat="1" applyFont="1" applyBorder="1" applyAlignment="1">
      <alignment horizontal="centerContinuous"/>
    </xf>
    <xf numFmtId="41" fontId="12" fillId="0" borderId="1" xfId="96" applyNumberFormat="1" applyFont="1" applyBorder="1" applyAlignment="1">
      <alignment horizontal="center"/>
    </xf>
    <xf numFmtId="171" fontId="10" fillId="0" borderId="10" xfId="1" applyNumberFormat="1" applyFont="1" applyBorder="1"/>
    <xf numFmtId="0" fontId="15" fillId="0" borderId="0" xfId="0" applyFont="1" applyAlignment="1">
      <alignment horizontal="center"/>
    </xf>
    <xf numFmtId="0" fontId="15" fillId="0" borderId="0" xfId="0" applyFont="1" applyAlignment="1">
      <alignment horizontal="center"/>
    </xf>
    <xf numFmtId="41" fontId="12" fillId="0" borderId="1" xfId="0" quotePrefix="1" applyNumberFormat="1" applyFont="1" applyBorder="1" applyAlignment="1">
      <alignment horizontal="center"/>
    </xf>
    <xf numFmtId="172" fontId="49" fillId="0" borderId="0" xfId="7" applyNumberFormat="1" applyFont="1" applyFill="1" applyBorder="1" applyAlignment="1">
      <alignment horizontal="center"/>
    </xf>
    <xf numFmtId="10" fontId="28" fillId="0" borderId="10" xfId="7" applyNumberFormat="1" applyFont="1" applyFill="1" applyBorder="1"/>
    <xf numFmtId="10" fontId="48" fillId="0" borderId="0" xfId="0" applyNumberFormat="1" applyFont="1"/>
    <xf numFmtId="0" fontId="15" fillId="0" borderId="0" xfId="0" applyFont="1" applyBorder="1" applyAlignment="1">
      <alignment horizontal="center"/>
    </xf>
    <xf numFmtId="41" fontId="12" fillId="0" borderId="15" xfId="96" applyNumberFormat="1" applyFont="1" applyBorder="1" applyAlignment="1">
      <alignment horizontal="centerContinuous"/>
    </xf>
    <xf numFmtId="41" fontId="12" fillId="0" borderId="14" xfId="96" applyNumberFormat="1" applyFont="1" applyBorder="1" applyAlignment="1">
      <alignment horizontal="centerContinuous"/>
    </xf>
    <xf numFmtId="41" fontId="12" fillId="0" borderId="39" xfId="96" applyNumberFormat="1" applyFont="1" applyBorder="1" applyAlignment="1">
      <alignment horizontal="centerContinuous"/>
    </xf>
    <xf numFmtId="10" fontId="15" fillId="0" borderId="10" xfId="0" applyNumberFormat="1" applyFont="1" applyBorder="1" applyAlignment="1">
      <alignment horizontal="center" vertical="center"/>
    </xf>
    <xf numFmtId="0" fontId="15" fillId="0" borderId="10" xfId="0" applyFont="1" applyBorder="1" applyAlignment="1">
      <alignment horizontal="center"/>
    </xf>
    <xf numFmtId="41" fontId="15" fillId="0" borderId="10" xfId="0" applyNumberFormat="1" applyFont="1" applyBorder="1" applyAlignment="1">
      <alignment horizontal="center" wrapText="1"/>
    </xf>
    <xf numFmtId="0" fontId="15" fillId="0" borderId="16" xfId="0" applyFont="1" applyBorder="1"/>
    <xf numFmtId="10" fontId="16" fillId="0" borderId="15" xfId="0" applyNumberFormat="1" applyFont="1" applyBorder="1" applyAlignment="1">
      <alignment horizontal="center"/>
    </xf>
    <xf numFmtId="5" fontId="15" fillId="0" borderId="15" xfId="0" applyNumberFormat="1" applyFont="1" applyBorder="1"/>
    <xf numFmtId="5" fontId="15" fillId="0" borderId="40" xfId="0" applyNumberFormat="1" applyFont="1" applyBorder="1"/>
    <xf numFmtId="10" fontId="16" fillId="0" borderId="16" xfId="0" applyNumberFormat="1" applyFont="1" applyBorder="1" applyAlignment="1">
      <alignment horizontal="center"/>
    </xf>
    <xf numFmtId="0" fontId="16" fillId="0" borderId="0" xfId="0" applyFont="1" applyFill="1" applyAlignment="1">
      <alignment horizontal="left"/>
    </xf>
    <xf numFmtId="0" fontId="16" fillId="0" borderId="0" xfId="0" applyFont="1" applyFill="1" applyAlignment="1">
      <alignment horizontal="left"/>
    </xf>
    <xf numFmtId="0" fontId="15" fillId="0" borderId="0" xfId="0" applyFont="1" applyBorder="1" applyAlignment="1">
      <alignment horizontal="left"/>
    </xf>
    <xf numFmtId="0" fontId="15" fillId="0" borderId="0" xfId="0" applyFont="1"/>
    <xf numFmtId="0" fontId="15" fillId="0" borderId="0" xfId="0" applyFont="1" applyBorder="1"/>
    <xf numFmtId="5" fontId="15" fillId="0" borderId="0" xfId="0" applyNumberFormat="1" applyFont="1"/>
    <xf numFmtId="0" fontId="27" fillId="0" borderId="0" xfId="0" applyFont="1"/>
    <xf numFmtId="0" fontId="15" fillId="0" borderId="0" xfId="0" applyFont="1" applyBorder="1" applyAlignment="1">
      <alignment horizontal="left"/>
    </xf>
    <xf numFmtId="171" fontId="15" fillId="0" borderId="0" xfId="1" applyNumberFormat="1" applyFont="1"/>
    <xf numFmtId="0" fontId="15" fillId="0" borderId="0" xfId="0" applyFont="1" applyFill="1" applyBorder="1"/>
    <xf numFmtId="0" fontId="15" fillId="0" borderId="0" xfId="0" applyFont="1" applyFill="1"/>
    <xf numFmtId="171" fontId="15" fillId="0" borderId="0" xfId="1" applyNumberFormat="1" applyFont="1" applyFill="1" applyBorder="1"/>
    <xf numFmtId="5" fontId="22" fillId="0" borderId="0" xfId="0" applyNumberFormat="1" applyFont="1"/>
    <xf numFmtId="5" fontId="15" fillId="0" borderId="0" xfId="0" applyNumberFormat="1" applyFont="1" applyFill="1"/>
    <xf numFmtId="5" fontId="15" fillId="0" borderId="0" xfId="0" applyNumberFormat="1" applyFont="1" applyFill="1" applyBorder="1"/>
    <xf numFmtId="172" fontId="15" fillId="0" borderId="0" xfId="2" applyNumberFormat="1" applyFont="1" applyFill="1" applyBorder="1"/>
    <xf numFmtId="0" fontId="15" fillId="0" borderId="0" xfId="0" applyFont="1" applyFill="1" applyAlignment="1">
      <alignment horizontal="right"/>
    </xf>
    <xf numFmtId="172" fontId="15" fillId="0" borderId="0" xfId="2" applyNumberFormat="1" applyFont="1" applyBorder="1"/>
    <xf numFmtId="2" fontId="15" fillId="0" borderId="0" xfId="0" applyNumberFormat="1" applyFont="1"/>
    <xf numFmtId="0" fontId="0" fillId="0" borderId="0" xfId="0"/>
    <xf numFmtId="0" fontId="15" fillId="0" borderId="0" xfId="0" applyFont="1"/>
    <xf numFmtId="0" fontId="21" fillId="0" borderId="0" xfId="0" applyFont="1"/>
    <xf numFmtId="5" fontId="21" fillId="0" borderId="0" xfId="0" applyNumberFormat="1" applyFont="1"/>
    <xf numFmtId="6" fontId="15" fillId="0" borderId="0" xfId="0" applyNumberFormat="1" applyFont="1"/>
    <xf numFmtId="0" fontId="15" fillId="0" borderId="0" xfId="0" applyFont="1" applyFill="1" applyBorder="1"/>
    <xf numFmtId="0" fontId="15" fillId="0" borderId="0" xfId="0" applyFont="1" applyFill="1"/>
    <xf numFmtId="5" fontId="22" fillId="0" borderId="0" xfId="0" applyNumberFormat="1" applyFont="1"/>
    <xf numFmtId="5" fontId="15" fillId="0" borderId="0" xfId="0" applyNumberFormat="1" applyFont="1" applyFill="1"/>
    <xf numFmtId="5" fontId="15" fillId="0" borderId="0" xfId="0" applyNumberFormat="1" applyFont="1" applyFill="1" applyAlignment="1">
      <alignment horizontal="right"/>
    </xf>
    <xf numFmtId="5" fontId="15" fillId="0" borderId="0" xfId="0" applyNumberFormat="1" applyFont="1" applyBorder="1" applyAlignment="1">
      <alignment horizontal="right"/>
    </xf>
    <xf numFmtId="5" fontId="15" fillId="0" borderId="0" xfId="0" applyNumberFormat="1" applyFont="1" applyAlignment="1">
      <alignment horizontal="right"/>
    </xf>
    <xf numFmtId="5" fontId="15" fillId="0" borderId="16" xfId="2" applyNumberFormat="1" applyFont="1" applyFill="1" applyBorder="1"/>
    <xf numFmtId="5" fontId="67" fillId="0" borderId="16" xfId="0" applyNumberFormat="1" applyFont="1" applyFill="1" applyBorder="1"/>
    <xf numFmtId="5" fontId="15" fillId="0" borderId="0" xfId="0" applyNumberFormat="1" applyFont="1" applyFill="1" applyBorder="1"/>
    <xf numFmtId="171" fontId="67" fillId="0" borderId="0" xfId="0" applyNumberFormat="1" applyFont="1" applyFill="1"/>
    <xf numFmtId="0" fontId="15" fillId="0" borderId="0" xfId="0" applyFont="1" applyFill="1"/>
    <xf numFmtId="0" fontId="15" fillId="0" borderId="0" xfId="0" applyFont="1" applyAlignment="1">
      <alignment horizontal="center"/>
    </xf>
    <xf numFmtId="0" fontId="15" fillId="0" borderId="0" xfId="0" applyFont="1" applyBorder="1" applyAlignment="1">
      <alignment horizontal="center"/>
    </xf>
    <xf numFmtId="0" fontId="15" fillId="0" borderId="0" xfId="0" applyFont="1" applyAlignment="1">
      <alignment horizontal="center"/>
    </xf>
    <xf numFmtId="3" fontId="10" fillId="0" borderId="0" xfId="5" applyNumberFormat="1" applyFont="1"/>
    <xf numFmtId="3" fontId="15" fillId="0" borderId="0" xfId="0" applyNumberFormat="1" applyFont="1" applyBorder="1"/>
    <xf numFmtId="0" fontId="17" fillId="0" borderId="0" xfId="0" applyFont="1" applyBorder="1"/>
    <xf numFmtId="0" fontId="15" fillId="0" borderId="0" xfId="0" applyFont="1" applyFill="1" applyBorder="1" applyAlignment="1">
      <alignment horizontal="center"/>
    </xf>
    <xf numFmtId="0" fontId="17" fillId="0" borderId="0" xfId="0" applyFont="1" applyBorder="1" applyAlignment="1">
      <alignment horizontal="center"/>
    </xf>
    <xf numFmtId="0" fontId="15" fillId="0" borderId="0" xfId="17" applyFont="1" applyAlignment="1">
      <alignment horizontal="center"/>
    </xf>
    <xf numFmtId="174" fontId="0" fillId="2" borderId="0" xfId="0" applyNumberFormat="1" applyFill="1" applyAlignment="1">
      <alignment horizontal="left"/>
    </xf>
    <xf numFmtId="173" fontId="0" fillId="0" borderId="0" xfId="0" applyNumberFormat="1" applyFill="1" applyAlignment="1">
      <alignment horizontal="left"/>
    </xf>
    <xf numFmtId="0" fontId="0" fillId="0" borderId="0" xfId="0" applyFill="1" applyAlignment="1">
      <alignment horizontal="left"/>
    </xf>
    <xf numFmtId="0" fontId="10" fillId="0" borderId="0" xfId="0" applyFont="1" applyFill="1"/>
    <xf numFmtId="165" fontId="10" fillId="0" borderId="0" xfId="0" applyNumberFormat="1" applyFont="1" applyFill="1"/>
    <xf numFmtId="166" fontId="10" fillId="0" borderId="0" xfId="0" applyNumberFormat="1" applyFont="1" applyFill="1"/>
    <xf numFmtId="0" fontId="11" fillId="0" borderId="0" xfId="0" applyFont="1" applyFill="1"/>
    <xf numFmtId="49" fontId="45" fillId="0" borderId="0" xfId="0" applyNumberFormat="1" applyFont="1" applyFill="1" applyAlignment="1">
      <alignment horizontal="left"/>
    </xf>
    <xf numFmtId="0" fontId="0" fillId="0" borderId="0" xfId="0" applyFill="1"/>
    <xf numFmtId="173" fontId="41" fillId="0" borderId="0" xfId="0" applyNumberFormat="1" applyFont="1" applyFill="1"/>
    <xf numFmtId="173" fontId="0" fillId="0" borderId="0" xfId="0" applyNumberFormat="1" applyFill="1" applyAlignment="1">
      <alignment horizontal="center"/>
    </xf>
    <xf numFmtId="3" fontId="0" fillId="0" borderId="0" xfId="0" applyNumberFormat="1" applyFill="1"/>
    <xf numFmtId="171" fontId="0" fillId="0" borderId="0" xfId="1" applyNumberFormat="1" applyFont="1"/>
    <xf numFmtId="171" fontId="0" fillId="0" borderId="0" xfId="1" applyNumberFormat="1" applyFont="1" applyFill="1"/>
    <xf numFmtId="0" fontId="15" fillId="0" borderId="0" xfId="0" applyFont="1" applyAlignment="1">
      <alignment horizontal="center"/>
    </xf>
    <xf numFmtId="171" fontId="24" fillId="0" borderId="0" xfId="1" applyNumberFormat="1" applyFont="1"/>
    <xf numFmtId="169" fontId="50" fillId="0" borderId="0" xfId="17" applyNumberFormat="1" applyFont="1"/>
    <xf numFmtId="171" fontId="50" fillId="0" borderId="0" xfId="1" applyNumberFormat="1" applyFont="1"/>
    <xf numFmtId="171" fontId="50" fillId="0" borderId="10" xfId="1" applyNumberFormat="1" applyFont="1" applyBorder="1"/>
    <xf numFmtId="10" fontId="50" fillId="0" borderId="0" xfId="17" applyNumberFormat="1" applyFont="1"/>
    <xf numFmtId="169" fontId="70" fillId="0" borderId="0" xfId="17" applyNumberFormat="1"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68" fillId="0" borderId="0" xfId="0"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171" fontId="15" fillId="0" borderId="0" xfId="1" applyNumberFormat="1" applyFont="1" applyFill="1"/>
    <xf numFmtId="0" fontId="15" fillId="0" borderId="0" xfId="17" applyFont="1" applyFill="1" applyAlignment="1">
      <alignment horizontal="center"/>
    </xf>
    <xf numFmtId="41" fontId="50" fillId="0" borderId="10" xfId="1" applyNumberFormat="1" applyFont="1" applyFill="1" applyBorder="1"/>
    <xf numFmtId="3" fontId="71" fillId="0" borderId="0" xfId="13" applyNumberFormat="1" applyFont="1"/>
    <xf numFmtId="43" fontId="47" fillId="0" borderId="0" xfId="1"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5" fontId="48" fillId="0" borderId="0" xfId="0" applyNumberFormat="1" applyFont="1"/>
    <xf numFmtId="172" fontId="43" fillId="0" borderId="0" xfId="2" applyNumberFormat="1" applyFont="1" applyFill="1" applyBorder="1" applyAlignment="1">
      <alignment horizontal="right"/>
    </xf>
    <xf numFmtId="5" fontId="28" fillId="0" borderId="10" xfId="0" applyNumberFormat="1" applyFont="1" applyFill="1" applyBorder="1"/>
    <xf numFmtId="0" fontId="28" fillId="0" borderId="0" xfId="0" applyFont="1" applyFill="1" applyAlignment="1">
      <alignment horizontal="right"/>
    </xf>
    <xf numFmtId="5" fontId="28" fillId="0" borderId="16" xfId="0" applyNumberFormat="1" applyFont="1" applyFill="1" applyBorder="1"/>
    <xf numFmtId="5" fontId="28" fillId="0" borderId="0" xfId="0" applyNumberFormat="1" applyFont="1" applyFill="1" applyAlignment="1">
      <alignment horizontal="right"/>
    </xf>
    <xf numFmtId="5" fontId="28" fillId="0" borderId="10" xfId="0" applyNumberFormat="1" applyFont="1" applyFill="1" applyBorder="1" applyAlignment="1">
      <alignment horizontal="right"/>
    </xf>
    <xf numFmtId="0" fontId="29" fillId="0" borderId="0" xfId="0" applyFont="1" applyFill="1" applyBorder="1" applyAlignment="1">
      <alignment horizontal="center"/>
    </xf>
    <xf numFmtId="5" fontId="28" fillId="0" borderId="0" xfId="0" applyNumberFormat="1" applyFont="1" applyFill="1" applyAlignment="1">
      <alignment horizontal="left"/>
    </xf>
    <xf numFmtId="179" fontId="15" fillId="0" borderId="0" xfId="7" applyNumberFormat="1" applyFont="1" applyFill="1" applyBorder="1" applyAlignment="1">
      <alignment horizontal="right"/>
    </xf>
    <xf numFmtId="0" fontId="13" fillId="0" borderId="0" xfId="0" applyFont="1" applyFill="1" applyBorder="1" applyAlignment="1">
      <alignment horizontal="center"/>
    </xf>
    <xf numFmtId="0" fontId="15" fillId="0" borderId="0" xfId="0" applyFont="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0" fontId="26" fillId="0" borderId="0" xfId="0" applyFont="1" applyAlignment="1">
      <alignment horizontal="center"/>
    </xf>
    <xf numFmtId="41" fontId="52" fillId="0" borderId="0" xfId="6" applyNumberFormat="1" applyFont="1" applyFill="1"/>
    <xf numFmtId="4" fontId="15" fillId="0" borderId="21" xfId="0" applyNumberFormat="1" applyFont="1" applyFill="1" applyBorder="1" applyAlignment="1">
      <alignment horizontal="center"/>
    </xf>
    <xf numFmtId="3" fontId="15" fillId="0" borderId="0" xfId="0" applyNumberFormat="1" applyFont="1" applyFill="1" applyBorder="1"/>
    <xf numFmtId="37" fontId="15" fillId="0" borderId="0" xfId="0" applyNumberFormat="1" applyFont="1" applyFill="1" applyBorder="1"/>
    <xf numFmtId="5" fontId="15" fillId="0" borderId="0" xfId="0" applyNumberFormat="1" applyFont="1" applyBorder="1"/>
    <xf numFmtId="3" fontId="15" fillId="0" borderId="0" xfId="0" applyNumberFormat="1" applyFont="1" applyFill="1" applyAlignment="1">
      <alignment horizontal="left"/>
    </xf>
    <xf numFmtId="10" fontId="15" fillId="0" borderId="0" xfId="7" applyNumberFormat="1" applyFont="1" applyAlignment="1">
      <alignment horizontal="center"/>
    </xf>
    <xf numFmtId="3" fontId="15" fillId="0" borderId="0" xfId="0" applyNumberFormat="1" applyFont="1" applyFill="1" applyAlignment="1">
      <alignment horizontal="center"/>
    </xf>
    <xf numFmtId="3" fontId="15" fillId="0" borderId="0" xfId="0" applyNumberFormat="1" applyFont="1" applyAlignment="1">
      <alignment horizontal="center"/>
    </xf>
    <xf numFmtId="5" fontId="15" fillId="0" borderId="0" xfId="2" applyNumberFormat="1" applyFont="1" applyFill="1"/>
    <xf numFmtId="0" fontId="29" fillId="0" borderId="2" xfId="0" applyFont="1" applyBorder="1" applyAlignment="1">
      <alignment horizontal="center"/>
    </xf>
    <xf numFmtId="0" fontId="29" fillId="0" borderId="9" xfId="0" applyFont="1" applyBorder="1" applyAlignment="1">
      <alignment horizontal="center"/>
    </xf>
    <xf numFmtId="0" fontId="29" fillId="0" borderId="0" xfId="5" applyNumberFormat="1" applyFont="1" applyAlignment="1">
      <alignment horizontal="center"/>
    </xf>
    <xf numFmtId="0" fontId="29" fillId="0" borderId="0" xfId="0" applyFont="1" applyAlignment="1">
      <alignment horizontal="center"/>
    </xf>
    <xf numFmtId="0" fontId="16" fillId="0" borderId="0" xfId="0" applyFont="1" applyFill="1" applyAlignment="1">
      <alignment horizontal="center"/>
    </xf>
    <xf numFmtId="0" fontId="17"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xf>
    <xf numFmtId="0" fontId="10" fillId="0" borderId="0" xfId="0" applyFont="1" applyAlignment="1">
      <alignment horizontal="center"/>
    </xf>
    <xf numFmtId="169" fontId="29" fillId="0" borderId="0" xfId="0" applyNumberFormat="1" applyFont="1" applyAlignment="1">
      <alignment horizontal="center"/>
    </xf>
    <xf numFmtId="169" fontId="29" fillId="0" borderId="0" xfId="0" applyNumberFormat="1" applyFont="1"/>
    <xf numFmtId="14" fontId="29" fillId="0" borderId="0" xfId="0" applyNumberFormat="1" applyFont="1"/>
    <xf numFmtId="0" fontId="29" fillId="0" borderId="0" xfId="0" applyFont="1"/>
    <xf numFmtId="169" fontId="29" fillId="0" borderId="0" xfId="0" applyNumberFormat="1" applyFont="1" applyAlignment="1">
      <alignment horizontal="right"/>
    </xf>
    <xf numFmtId="169" fontId="29" fillId="0" borderId="0" xfId="0" applyNumberFormat="1" applyFont="1" applyAlignment="1"/>
    <xf numFmtId="0" fontId="51" fillId="0" borderId="0" xfId="0" applyFont="1"/>
    <xf numFmtId="169" fontId="72" fillId="0" borderId="0" xfId="0" applyNumberFormat="1" applyFont="1" applyAlignment="1">
      <alignment horizontal="center"/>
    </xf>
    <xf numFmtId="169" fontId="29" fillId="0" borderId="0" xfId="0" applyNumberFormat="1" applyFont="1" applyFill="1" applyAlignment="1">
      <alignment horizontal="center"/>
    </xf>
    <xf numFmtId="0" fontId="29" fillId="0" borderId="10" xfId="0" applyFont="1" applyBorder="1" applyAlignment="1">
      <alignment horizontal="center"/>
    </xf>
    <xf numFmtId="169" fontId="29" fillId="0" borderId="0" xfId="0" applyNumberFormat="1" applyFont="1" applyFill="1"/>
    <xf numFmtId="5" fontId="28" fillId="0" borderId="0" xfId="1" applyNumberFormat="1" applyFont="1"/>
    <xf numFmtId="5" fontId="28" fillId="0" borderId="0" xfId="1" applyNumberFormat="1" applyFont="1" applyBorder="1"/>
    <xf numFmtId="169" fontId="28" fillId="0" borderId="0" xfId="17" applyNumberFormat="1" applyFont="1" applyFill="1"/>
    <xf numFmtId="169" fontId="28" fillId="0" borderId="0" xfId="17" applyNumberFormat="1" applyFont="1"/>
    <xf numFmtId="171" fontId="28" fillId="0" borderId="0" xfId="1" applyNumberFormat="1" applyFont="1"/>
    <xf numFmtId="171" fontId="28" fillId="0" borderId="0" xfId="1" applyNumberFormat="1" applyFont="1" applyBorder="1"/>
    <xf numFmtId="169" fontId="49" fillId="0" borderId="0" xfId="0" applyNumberFormat="1" applyFont="1" applyFill="1"/>
    <xf numFmtId="169" fontId="28" fillId="0" borderId="15" xfId="0" applyNumberFormat="1" applyFont="1" applyFill="1" applyBorder="1"/>
    <xf numFmtId="171" fontId="28" fillId="0" borderId="15" xfId="1" applyNumberFormat="1" applyFont="1" applyBorder="1"/>
    <xf numFmtId="10" fontId="73" fillId="0" borderId="0" xfId="0" applyNumberFormat="1" applyFont="1" applyFill="1"/>
    <xf numFmtId="169" fontId="28" fillId="0" borderId="10" xfId="0" applyNumberFormat="1" applyFont="1" applyFill="1" applyBorder="1"/>
    <xf numFmtId="171" fontId="28" fillId="0" borderId="10" xfId="1" applyNumberFormat="1" applyFont="1" applyBorder="1"/>
    <xf numFmtId="169" fontId="28" fillId="0" borderId="12" xfId="0" applyNumberFormat="1" applyFont="1" applyFill="1" applyBorder="1"/>
    <xf numFmtId="164" fontId="28" fillId="0" borderId="12" xfId="1" applyNumberFormat="1" applyFont="1" applyBorder="1"/>
    <xf numFmtId="164" fontId="28" fillId="0" borderId="0" xfId="1" applyNumberFormat="1" applyFont="1" applyBorder="1"/>
    <xf numFmtId="0" fontId="28" fillId="0" borderId="0" xfId="0" applyFont="1" applyAlignment="1">
      <alignment vertical="top" wrapText="1"/>
    </xf>
    <xf numFmtId="171" fontId="28" fillId="0" borderId="0" xfId="0" applyNumberFormat="1" applyFont="1"/>
    <xf numFmtId="0" fontId="29" fillId="5" borderId="2" xfId="0" applyFont="1" applyFill="1" applyBorder="1" applyAlignment="1">
      <alignment horizontal="center"/>
    </xf>
    <xf numFmtId="0" fontId="29" fillId="5" borderId="6" xfId="0" applyFont="1" applyFill="1" applyBorder="1" applyAlignment="1">
      <alignment horizontal="center"/>
    </xf>
    <xf numFmtId="14" fontId="29" fillId="5" borderId="9" xfId="0" quotePrefix="1" applyNumberFormat="1" applyFont="1" applyFill="1" applyBorder="1" applyAlignment="1">
      <alignment horizontal="center"/>
    </xf>
    <xf numFmtId="14" fontId="29" fillId="5" borderId="11" xfId="0" quotePrefix="1" applyNumberFormat="1" applyFont="1" applyFill="1" applyBorder="1" applyAlignment="1">
      <alignment horizontal="center"/>
    </xf>
    <xf numFmtId="0" fontId="29" fillId="5" borderId="7" xfId="0" applyFont="1" applyFill="1" applyBorder="1" applyAlignment="1">
      <alignment horizontal="center"/>
    </xf>
    <xf numFmtId="0" fontId="29" fillId="5" borderId="9" xfId="0" applyFont="1" applyFill="1" applyBorder="1" applyAlignment="1">
      <alignment horizontal="center"/>
    </xf>
    <xf numFmtId="0" fontId="29" fillId="5" borderId="11" xfId="0" applyFont="1" applyFill="1" applyBorder="1" applyAlignment="1">
      <alignment horizontal="center"/>
    </xf>
    <xf numFmtId="0" fontId="28" fillId="0" borderId="1" xfId="0" applyFont="1" applyFill="1" applyBorder="1" applyAlignment="1">
      <alignment horizontal="center"/>
    </xf>
    <xf numFmtId="0" fontId="28" fillId="0" borderId="5" xfId="0" applyFont="1" applyFill="1" applyBorder="1" applyAlignment="1">
      <alignment horizontal="center"/>
    </xf>
    <xf numFmtId="14" fontId="28" fillId="0" borderId="8" xfId="0" quotePrefix="1" applyNumberFormat="1" applyFont="1" applyFill="1" applyBorder="1" applyAlignment="1">
      <alignment horizontal="center"/>
    </xf>
    <xf numFmtId="0" fontId="28" fillId="0" borderId="8" xfId="0" applyFont="1" applyFill="1" applyBorder="1" applyAlignment="1">
      <alignment horizontal="center"/>
    </xf>
    <xf numFmtId="0" fontId="15" fillId="0" borderId="0" xfId="6" applyNumberFormat="1" applyFont="1" applyAlignment="1">
      <alignment horizontal="center"/>
    </xf>
    <xf numFmtId="0" fontId="15" fillId="0" borderId="0" xfId="6" applyFont="1"/>
    <xf numFmtId="3" fontId="15" fillId="0" borderId="0" xfId="6" applyNumberFormat="1" applyFont="1"/>
    <xf numFmtId="41" fontId="15" fillId="0" borderId="0" xfId="5" applyNumberFormat="1" applyFont="1" applyFill="1"/>
    <xf numFmtId="3" fontId="15" fillId="0" borderId="0" xfId="6" applyNumberFormat="1" applyFont="1" applyFill="1"/>
    <xf numFmtId="3" fontId="65" fillId="0" borderId="0" xfId="6" applyNumberFormat="1" applyFont="1" applyFill="1"/>
    <xf numFmtId="3" fontId="74" fillId="0" borderId="0" xfId="6" applyNumberFormat="1" applyFont="1" applyFill="1"/>
    <xf numFmtId="3" fontId="16" fillId="0" borderId="0" xfId="6" applyNumberFormat="1" applyFont="1" applyFill="1"/>
    <xf numFmtId="3" fontId="75" fillId="0" borderId="0" xfId="6" applyNumberFormat="1" applyFont="1" applyFill="1"/>
    <xf numFmtId="3" fontId="16" fillId="0" borderId="0" xfId="6" applyNumberFormat="1" applyFont="1"/>
    <xf numFmtId="3" fontId="16" fillId="0" borderId="0" xfId="6" applyNumberFormat="1" applyFont="1" applyFill="1" applyBorder="1"/>
    <xf numFmtId="0" fontId="15" fillId="0" borderId="0" xfId="6" applyFont="1" applyFill="1" applyBorder="1"/>
    <xf numFmtId="0" fontId="8" fillId="0" borderId="0" xfId="0" applyFont="1"/>
    <xf numFmtId="3" fontId="76" fillId="0" borderId="0" xfId="22" applyNumberFormat="1" applyFont="1" applyFill="1"/>
    <xf numFmtId="3" fontId="16" fillId="0" borderId="0" xfId="6" applyNumberFormat="1" applyFont="1" applyFill="1" applyAlignment="1">
      <alignment horizontal="center"/>
    </xf>
    <xf numFmtId="3" fontId="16" fillId="0" borderId="0" xfId="6" applyNumberFormat="1" applyFont="1" applyFill="1" applyAlignment="1">
      <alignment vertical="center" wrapText="1"/>
    </xf>
    <xf numFmtId="41" fontId="16" fillId="0" borderId="0" xfId="20" applyNumberFormat="1" applyFont="1" applyFill="1" applyAlignment="1">
      <alignment wrapText="1"/>
    </xf>
    <xf numFmtId="41" fontId="16" fillId="0" borderId="0" xfId="20" applyNumberFormat="1" applyFont="1" applyFill="1" applyAlignment="1">
      <alignment horizontal="center"/>
    </xf>
    <xf numFmtId="41" fontId="16" fillId="0" borderId="0" xfId="20" applyNumberFormat="1" applyFont="1" applyFill="1" applyBorder="1" applyAlignment="1">
      <alignment wrapText="1"/>
    </xf>
    <xf numFmtId="41" fontId="16" fillId="0" borderId="0" xfId="20" applyNumberFormat="1" applyFont="1" applyFill="1" applyBorder="1" applyAlignment="1">
      <alignment horizontal="center"/>
    </xf>
    <xf numFmtId="41" fontId="75" fillId="0" borderId="0" xfId="22" applyNumberFormat="1" applyFont="1" applyFill="1" applyAlignment="1">
      <alignment horizontal="center"/>
    </xf>
    <xf numFmtId="3" fontId="16" fillId="0" borderId="0" xfId="6" applyNumberFormat="1" applyFont="1" applyAlignment="1">
      <alignment horizontal="center"/>
    </xf>
    <xf numFmtId="3" fontId="16" fillId="0" borderId="0" xfId="22" applyNumberFormat="1" applyFont="1" applyFill="1" applyAlignment="1">
      <alignment horizontal="center"/>
    </xf>
    <xf numFmtId="3" fontId="16" fillId="0" borderId="0" xfId="6" applyNumberFormat="1" applyFont="1" applyFill="1" applyAlignment="1">
      <alignment wrapText="1"/>
    </xf>
    <xf numFmtId="41" fontId="16" fillId="0" borderId="0" xfId="20" applyNumberFormat="1" applyFont="1" applyFill="1"/>
    <xf numFmtId="41" fontId="74" fillId="0" borderId="0" xfId="20" applyNumberFormat="1" applyFont="1" applyFill="1" applyBorder="1" applyAlignment="1">
      <alignment horizontal="center" vertical="center"/>
    </xf>
    <xf numFmtId="0" fontId="16" fillId="0" borderId="0" xfId="6" applyNumberFormat="1" applyFont="1" applyFill="1" applyAlignment="1">
      <alignment wrapText="1"/>
    </xf>
    <xf numFmtId="41" fontId="16" fillId="0" borderId="0" xfId="22" applyNumberFormat="1" applyFont="1" applyFill="1" applyBorder="1" applyAlignment="1">
      <alignment horizontal="center"/>
    </xf>
    <xf numFmtId="41" fontId="16" fillId="0" borderId="0" xfId="20" applyNumberFormat="1" applyFont="1" applyFill="1" applyBorder="1" applyAlignment="1">
      <alignment horizontal="center" wrapText="1"/>
    </xf>
    <xf numFmtId="3" fontId="16" fillId="0" borderId="0" xfId="6" applyNumberFormat="1" applyFont="1" applyFill="1" applyAlignment="1">
      <alignment horizontal="center" vertical="center" wrapText="1"/>
    </xf>
    <xf numFmtId="41" fontId="16" fillId="0" borderId="0" xfId="20" quotePrefix="1" applyNumberFormat="1" applyFont="1" applyFill="1" applyAlignment="1">
      <alignment horizontal="center"/>
    </xf>
    <xf numFmtId="3" fontId="76" fillId="0" borderId="0" xfId="6" applyNumberFormat="1" applyFont="1" applyAlignment="1">
      <alignment horizontal="center"/>
    </xf>
    <xf numFmtId="41" fontId="74" fillId="0" borderId="0" xfId="22" applyNumberFormat="1" applyFont="1" applyFill="1" applyAlignment="1">
      <alignment horizontal="center"/>
    </xf>
    <xf numFmtId="41" fontId="74" fillId="0" borderId="0" xfId="20" applyNumberFormat="1" applyFont="1" applyFill="1" applyAlignment="1">
      <alignment horizontal="center"/>
    </xf>
    <xf numFmtId="41" fontId="16" fillId="0" borderId="0" xfId="22" applyNumberFormat="1" applyFont="1" applyFill="1" applyAlignment="1">
      <alignment horizontal="center"/>
    </xf>
    <xf numFmtId="0" fontId="16" fillId="0" borderId="0" xfId="6" applyNumberFormat="1" applyFont="1" applyFill="1" applyAlignment="1">
      <alignment horizontal="center" wrapText="1"/>
    </xf>
    <xf numFmtId="0" fontId="16" fillId="0" borderId="0" xfId="6" applyNumberFormat="1" applyFont="1" applyFill="1" applyAlignment="1">
      <alignment horizontal="center"/>
    </xf>
    <xf numFmtId="0" fontId="75" fillId="0" borderId="0" xfId="6" applyNumberFormat="1" applyFont="1" applyFill="1" applyAlignment="1">
      <alignment horizontal="center"/>
    </xf>
    <xf numFmtId="41" fontId="16" fillId="7" borderId="1" xfId="20" applyNumberFormat="1" applyFont="1" applyFill="1" applyBorder="1" applyAlignment="1">
      <alignment horizontal="center"/>
    </xf>
    <xf numFmtId="0" fontId="15" fillId="0" borderId="0" xfId="6" applyFont="1" applyFill="1" applyBorder="1" applyAlignment="1">
      <alignment horizontal="center"/>
    </xf>
    <xf numFmtId="0" fontId="15" fillId="0" borderId="0" xfId="6" applyNumberFormat="1" applyFont="1" applyFill="1" applyAlignment="1">
      <alignment horizontal="center"/>
    </xf>
    <xf numFmtId="0" fontId="15" fillId="0" borderId="0" xfId="6" applyFont="1" applyFill="1" applyAlignment="1">
      <alignment horizontal="center"/>
    </xf>
    <xf numFmtId="3" fontId="15" fillId="0" borderId="0" xfId="6" applyNumberFormat="1" applyFont="1" applyFill="1" applyAlignment="1">
      <alignment horizontal="center"/>
    </xf>
    <xf numFmtId="3" fontId="65" fillId="0" borderId="0" xfId="6" quotePrefix="1" applyNumberFormat="1" applyFont="1" applyFill="1" applyAlignment="1">
      <alignment horizontal="center"/>
    </xf>
    <xf numFmtId="3" fontId="65" fillId="0" borderId="0" xfId="6" applyNumberFormat="1" applyFont="1" applyFill="1" applyAlignment="1">
      <alignment horizontal="center"/>
    </xf>
    <xf numFmtId="3" fontId="77" fillId="0" borderId="0" xfId="6" applyNumberFormat="1" applyFont="1" applyFill="1" applyAlignment="1">
      <alignment horizontal="center"/>
    </xf>
    <xf numFmtId="0" fontId="15" fillId="0" borderId="0" xfId="20" applyFont="1" applyFill="1" applyAlignment="1">
      <alignment horizontal="center"/>
    </xf>
    <xf numFmtId="3" fontId="15" fillId="0" borderId="10" xfId="6" applyNumberFormat="1" applyFont="1" applyFill="1" applyBorder="1" applyAlignment="1">
      <alignment wrapText="1"/>
    </xf>
    <xf numFmtId="41" fontId="16" fillId="5" borderId="0" xfId="20" applyNumberFormat="1" applyFont="1" applyFill="1" applyAlignment="1">
      <alignment horizontal="center"/>
    </xf>
    <xf numFmtId="3" fontId="15" fillId="0" borderId="0" xfId="6" applyNumberFormat="1" applyFont="1" applyFill="1" applyBorder="1" applyAlignment="1">
      <alignment horizontal="center"/>
    </xf>
    <xf numFmtId="41" fontId="16" fillId="7" borderId="8" xfId="20" applyNumberFormat="1" applyFont="1" applyFill="1" applyBorder="1" applyAlignment="1">
      <alignment horizontal="center"/>
    </xf>
    <xf numFmtId="0" fontId="16" fillId="0" borderId="1" xfId="6" applyNumberFormat="1" applyFont="1" applyFill="1" applyBorder="1" applyAlignment="1">
      <alignment horizontal="center"/>
    </xf>
    <xf numFmtId="0" fontId="16" fillId="0" borderId="2" xfId="6" applyFont="1" applyFill="1" applyBorder="1" applyAlignment="1">
      <alignment horizontal="center"/>
    </xf>
    <xf numFmtId="0" fontId="16" fillId="0" borderId="3" xfId="6" applyFont="1" applyFill="1" applyBorder="1" applyAlignment="1">
      <alignment horizontal="center"/>
    </xf>
    <xf numFmtId="3" fontId="16" fillId="0" borderId="1" xfId="6" applyNumberFormat="1" applyFont="1" applyFill="1" applyBorder="1" applyAlignment="1">
      <alignment horizontal="center"/>
    </xf>
    <xf numFmtId="41" fontId="16" fillId="0" borderId="1" xfId="22" applyNumberFormat="1" applyFont="1" applyFill="1" applyBorder="1" applyAlignment="1">
      <alignment horizontal="center"/>
    </xf>
    <xf numFmtId="41" fontId="74" fillId="0" borderId="1" xfId="22" applyNumberFormat="1" applyFont="1" applyFill="1" applyBorder="1" applyAlignment="1">
      <alignment horizontal="center"/>
    </xf>
    <xf numFmtId="3" fontId="74" fillId="0" borderId="1" xfId="6" applyNumberFormat="1" applyFont="1" applyFill="1" applyBorder="1" applyAlignment="1">
      <alignment horizontal="center"/>
    </xf>
    <xf numFmtId="41" fontId="16" fillId="0" borderId="1" xfId="20" applyNumberFormat="1" applyFont="1" applyFill="1" applyBorder="1" applyAlignment="1">
      <alignment horizontal="center"/>
    </xf>
    <xf numFmtId="41" fontId="16" fillId="5" borderId="1" xfId="20" applyNumberFormat="1" applyFont="1" applyFill="1" applyBorder="1" applyAlignment="1">
      <alignment horizontal="center"/>
    </xf>
    <xf numFmtId="3" fontId="16" fillId="0" borderId="4" xfId="6" applyNumberFormat="1" applyFont="1" applyFill="1" applyBorder="1" applyAlignment="1">
      <alignment horizontal="center"/>
    </xf>
    <xf numFmtId="3" fontId="16" fillId="0" borderId="1" xfId="20" applyNumberFormat="1" applyFont="1" applyBorder="1" applyAlignment="1">
      <alignment horizontal="center"/>
    </xf>
    <xf numFmtId="41" fontId="16" fillId="0" borderId="1" xfId="20" applyNumberFormat="1" applyFont="1" applyBorder="1" applyAlignment="1">
      <alignment horizontal="center"/>
    </xf>
    <xf numFmtId="3" fontId="16" fillId="0" borderId="1" xfId="22" applyNumberFormat="1" applyFont="1" applyBorder="1" applyAlignment="1">
      <alignment horizontal="center"/>
    </xf>
    <xf numFmtId="49" fontId="16" fillId="5" borderId="2" xfId="20" quotePrefix="1" applyNumberFormat="1" applyFont="1" applyFill="1" applyBorder="1" applyAlignment="1">
      <alignment horizontal="center"/>
    </xf>
    <xf numFmtId="41" fontId="16" fillId="0" borderId="0" xfId="4" applyNumberFormat="1" applyFont="1" applyFill="1" applyBorder="1" applyAlignment="1">
      <alignment horizontal="center"/>
    </xf>
    <xf numFmtId="49" fontId="16" fillId="0" borderId="1" xfId="22" applyNumberFormat="1" applyFont="1" applyBorder="1" applyAlignment="1">
      <alignment horizontal="center"/>
    </xf>
    <xf numFmtId="49" fontId="16" fillId="5" borderId="1" xfId="20" quotePrefix="1" applyNumberFormat="1" applyFont="1" applyFill="1" applyBorder="1" applyAlignment="1">
      <alignment horizontal="center"/>
    </xf>
    <xf numFmtId="0" fontId="16" fillId="0" borderId="0" xfId="6" applyFont="1" applyFill="1" applyBorder="1" applyAlignment="1">
      <alignment horizontal="center"/>
    </xf>
    <xf numFmtId="0" fontId="16" fillId="0" borderId="0" xfId="6" applyFont="1" applyFill="1" applyAlignment="1">
      <alignment horizontal="center"/>
    </xf>
    <xf numFmtId="0" fontId="16" fillId="0" borderId="5" xfId="6" applyNumberFormat="1" applyFont="1" applyFill="1" applyBorder="1" applyAlignment="1">
      <alignment horizontal="center"/>
    </xf>
    <xf numFmtId="0" fontId="16" fillId="0" borderId="6" xfId="6" applyFont="1" applyFill="1" applyBorder="1" applyAlignment="1">
      <alignment horizontal="center"/>
    </xf>
    <xf numFmtId="3" fontId="16" fillId="0" borderId="5" xfId="6" applyNumberFormat="1" applyFont="1" applyFill="1" applyBorder="1" applyAlignment="1">
      <alignment horizontal="center"/>
    </xf>
    <xf numFmtId="41" fontId="16" fillId="0" borderId="5" xfId="22" applyNumberFormat="1" applyFont="1" applyFill="1" applyBorder="1" applyAlignment="1">
      <alignment horizontal="center"/>
    </xf>
    <xf numFmtId="41" fontId="74" fillId="0" borderId="5" xfId="22" applyNumberFormat="1" applyFont="1" applyFill="1" applyBorder="1" applyAlignment="1">
      <alignment horizontal="center"/>
    </xf>
    <xf numFmtId="3" fontId="74" fillId="0" borderId="5" xfId="5" applyNumberFormat="1" applyFont="1" applyFill="1" applyBorder="1" applyAlignment="1">
      <alignment horizontal="center"/>
    </xf>
    <xf numFmtId="41" fontId="16" fillId="0" borderId="5" xfId="20" quotePrefix="1" applyNumberFormat="1" applyFont="1" applyFill="1" applyBorder="1" applyAlignment="1">
      <alignment horizontal="center"/>
    </xf>
    <xf numFmtId="41" fontId="16" fillId="5" borderId="5" xfId="20" applyNumberFormat="1" applyFont="1" applyFill="1" applyBorder="1" applyAlignment="1">
      <alignment horizontal="center"/>
    </xf>
    <xf numFmtId="3" fontId="16" fillId="0" borderId="7" xfId="6" applyNumberFormat="1" applyFont="1" applyFill="1" applyBorder="1" applyAlignment="1">
      <alignment horizontal="center"/>
    </xf>
    <xf numFmtId="41" fontId="16" fillId="0" borderId="5" xfId="20" applyNumberFormat="1" applyFont="1" applyFill="1" applyBorder="1" applyAlignment="1">
      <alignment horizontal="center"/>
    </xf>
    <xf numFmtId="3" fontId="16" fillId="0" borderId="5" xfId="5" applyNumberFormat="1" applyFont="1" applyFill="1" applyBorder="1" applyAlignment="1">
      <alignment horizontal="center"/>
    </xf>
    <xf numFmtId="3" fontId="16" fillId="0" borderId="5" xfId="20" applyNumberFormat="1" applyFont="1" applyBorder="1" applyAlignment="1">
      <alignment horizontal="center"/>
    </xf>
    <xf numFmtId="3" fontId="16" fillId="0" borderId="5" xfId="22" applyNumberFormat="1" applyFont="1" applyBorder="1" applyAlignment="1">
      <alignment horizontal="center"/>
    </xf>
    <xf numFmtId="41" fontId="16" fillId="0" borderId="5" xfId="20" applyNumberFormat="1" applyFont="1" applyBorder="1" applyAlignment="1">
      <alignment horizontal="center"/>
    </xf>
    <xf numFmtId="41" fontId="16" fillId="5" borderId="6" xfId="20" applyNumberFormat="1" applyFont="1" applyFill="1" applyBorder="1" applyAlignment="1">
      <alignment horizontal="center"/>
    </xf>
    <xf numFmtId="41" fontId="16" fillId="7" borderId="5" xfId="20" applyNumberFormat="1" applyFont="1" applyFill="1" applyBorder="1" applyAlignment="1">
      <alignment horizontal="center"/>
    </xf>
    <xf numFmtId="0" fontId="16" fillId="0" borderId="8" xfId="6" applyNumberFormat="1" applyFont="1" applyFill="1" applyBorder="1" applyAlignment="1">
      <alignment horizontal="center"/>
    </xf>
    <xf numFmtId="0" fontId="16" fillId="0" borderId="9" xfId="6" applyFont="1" applyFill="1" applyBorder="1" applyAlignment="1">
      <alignment horizontal="center"/>
    </xf>
    <xf numFmtId="0" fontId="16" fillId="0" borderId="10" xfId="6" applyFont="1" applyFill="1" applyBorder="1" applyAlignment="1">
      <alignment horizontal="center"/>
    </xf>
    <xf numFmtId="0" fontId="16" fillId="0" borderId="11" xfId="6" applyFont="1" applyFill="1" applyBorder="1" applyAlignment="1">
      <alignment horizontal="center"/>
    </xf>
    <xf numFmtId="3" fontId="16" fillId="0" borderId="8" xfId="6" applyNumberFormat="1" applyFont="1" applyFill="1" applyBorder="1" applyAlignment="1">
      <alignment horizontal="center"/>
    </xf>
    <xf numFmtId="41" fontId="16" fillId="0" borderId="8" xfId="22" applyNumberFormat="1" applyFont="1" applyFill="1" applyBorder="1" applyAlignment="1">
      <alignment horizontal="center"/>
    </xf>
    <xf numFmtId="41" fontId="74" fillId="0" borderId="8" xfId="22" applyNumberFormat="1" applyFont="1" applyFill="1" applyBorder="1" applyAlignment="1">
      <alignment horizontal="center"/>
    </xf>
    <xf numFmtId="3" fontId="74" fillId="0" borderId="8" xfId="5" applyNumberFormat="1" applyFont="1" applyFill="1" applyBorder="1" applyAlignment="1">
      <alignment horizontal="center"/>
    </xf>
    <xf numFmtId="41" fontId="16" fillId="0" borderId="8" xfId="20" applyNumberFormat="1" applyFont="1" applyFill="1" applyBorder="1" applyAlignment="1">
      <alignment horizontal="center"/>
    </xf>
    <xf numFmtId="3" fontId="16" fillId="5" borderId="8" xfId="6" quotePrefix="1" applyNumberFormat="1" applyFont="1" applyFill="1" applyBorder="1" applyAlignment="1">
      <alignment horizontal="center"/>
    </xf>
    <xf numFmtId="3" fontId="16" fillId="0" borderId="11" xfId="6" applyNumberFormat="1" applyFont="1" applyFill="1" applyBorder="1" applyAlignment="1">
      <alignment horizontal="center"/>
    </xf>
    <xf numFmtId="41" fontId="16" fillId="0" borderId="8" xfId="20" applyNumberFormat="1" applyFont="1" applyBorder="1" applyAlignment="1">
      <alignment horizontal="center"/>
    </xf>
    <xf numFmtId="3" fontId="16" fillId="0" borderId="8" xfId="20" applyNumberFormat="1" applyFont="1" applyBorder="1" applyAlignment="1">
      <alignment horizontal="center"/>
    </xf>
    <xf numFmtId="3" fontId="16" fillId="0" borderId="8" xfId="5" applyNumberFormat="1" applyFont="1" applyFill="1" applyBorder="1" applyAlignment="1">
      <alignment horizontal="center"/>
    </xf>
    <xf numFmtId="3" fontId="16" fillId="0" borderId="8" xfId="22" applyNumberFormat="1" applyFont="1" applyBorder="1" applyAlignment="1">
      <alignment horizontal="center"/>
    </xf>
    <xf numFmtId="41" fontId="16" fillId="5" borderId="9" xfId="20" applyNumberFormat="1" applyFont="1" applyFill="1" applyBorder="1" applyAlignment="1">
      <alignment horizontal="center"/>
    </xf>
    <xf numFmtId="3" fontId="16" fillId="0" borderId="0" xfId="6" applyNumberFormat="1" applyFont="1" applyFill="1" applyBorder="1" applyAlignment="1">
      <alignment horizontal="center"/>
    </xf>
    <xf numFmtId="41" fontId="16" fillId="5" borderId="8" xfId="20" applyNumberFormat="1" applyFont="1" applyFill="1" applyBorder="1" applyAlignment="1">
      <alignment horizontal="center"/>
    </xf>
    <xf numFmtId="4" fontId="16" fillId="0" borderId="0" xfId="6" applyNumberFormat="1" applyFont="1" applyFill="1" applyAlignment="1">
      <alignment horizontal="center"/>
    </xf>
    <xf numFmtId="4" fontId="16" fillId="0" borderId="0" xfId="6" applyNumberFormat="1" applyFont="1" applyFill="1" applyBorder="1" applyAlignment="1">
      <alignment horizontal="center"/>
    </xf>
    <xf numFmtId="4" fontId="74" fillId="0" borderId="0" xfId="6" applyNumberFormat="1" applyFont="1" applyFill="1" applyBorder="1" applyAlignment="1">
      <alignment horizontal="center"/>
    </xf>
    <xf numFmtId="3" fontId="16" fillId="5" borderId="0" xfId="6" applyNumberFormat="1" applyFont="1" applyFill="1" applyAlignment="1">
      <alignment horizontal="center"/>
    </xf>
    <xf numFmtId="4" fontId="75" fillId="0" borderId="0" xfId="6" applyNumberFormat="1" applyFont="1" applyFill="1" applyBorder="1" applyAlignment="1">
      <alignment horizontal="center"/>
    </xf>
    <xf numFmtId="2" fontId="16" fillId="0" borderId="0" xfId="10" applyNumberFormat="1" applyFont="1" applyFill="1" applyAlignment="1" applyProtection="1">
      <alignment horizontal="center"/>
    </xf>
    <xf numFmtId="2" fontId="16" fillId="0" borderId="3" xfId="10" applyNumberFormat="1" applyFont="1" applyFill="1" applyBorder="1" applyAlignment="1" applyProtection="1">
      <alignment horizontal="center"/>
    </xf>
    <xf numFmtId="2" fontId="16" fillId="0" borderId="0" xfId="10" applyNumberFormat="1" applyFont="1" applyFill="1" applyBorder="1" applyAlignment="1" applyProtection="1">
      <alignment horizontal="center"/>
    </xf>
    <xf numFmtId="3" fontId="16" fillId="5" borderId="6" xfId="6" applyNumberFormat="1" applyFont="1" applyFill="1" applyBorder="1" applyAlignment="1">
      <alignment horizontal="center"/>
    </xf>
    <xf numFmtId="2" fontId="16" fillId="5" borderId="5" xfId="20" applyNumberFormat="1" applyFont="1" applyFill="1" applyBorder="1" applyAlignment="1">
      <alignment horizontal="center"/>
    </xf>
    <xf numFmtId="2" fontId="16" fillId="7" borderId="0" xfId="20" applyNumberFormat="1" applyFont="1" applyFill="1" applyAlignment="1">
      <alignment horizontal="center"/>
    </xf>
    <xf numFmtId="3" fontId="74" fillId="0" borderId="0" xfId="6" applyNumberFormat="1" applyFont="1" applyFill="1" applyAlignment="1">
      <alignment horizontal="center"/>
    </xf>
    <xf numFmtId="3" fontId="75" fillId="0" borderId="0" xfId="6" applyNumberFormat="1" applyFont="1" applyFill="1" applyAlignment="1">
      <alignment horizontal="center"/>
    </xf>
    <xf numFmtId="2" fontId="16" fillId="5" borderId="6" xfId="20" applyNumberFormat="1" applyFont="1" applyFill="1" applyBorder="1" applyAlignment="1">
      <alignment horizontal="center"/>
    </xf>
    <xf numFmtId="0" fontId="15" fillId="0" borderId="0" xfId="6" applyFont="1" applyFill="1"/>
    <xf numFmtId="3" fontId="16" fillId="5" borderId="0" xfId="6" applyNumberFormat="1" applyFont="1" applyFill="1"/>
    <xf numFmtId="3" fontId="77" fillId="0" borderId="0" xfId="6" applyNumberFormat="1" applyFont="1" applyFill="1"/>
    <xf numFmtId="3" fontId="15" fillId="0" borderId="0" xfId="6" applyNumberFormat="1" applyFont="1" applyFill="1" applyBorder="1"/>
    <xf numFmtId="3" fontId="16" fillId="5" borderId="6" xfId="6" applyNumberFormat="1" applyFont="1" applyFill="1" applyBorder="1"/>
    <xf numFmtId="3" fontId="16" fillId="6" borderId="0" xfId="6" applyNumberFormat="1" applyFont="1" applyFill="1"/>
    <xf numFmtId="5" fontId="15" fillId="0" borderId="0" xfId="6" applyNumberFormat="1" applyFont="1"/>
    <xf numFmtId="42" fontId="15" fillId="0" borderId="0" xfId="6" applyNumberFormat="1" applyFont="1"/>
    <xf numFmtId="42" fontId="15" fillId="0" borderId="0" xfId="4" applyNumberFormat="1" applyFont="1" applyFill="1"/>
    <xf numFmtId="41" fontId="15" fillId="0" borderId="0" xfId="4" applyNumberFormat="1" applyFont="1" applyFill="1"/>
    <xf numFmtId="42" fontId="65" fillId="0" borderId="0" xfId="4" applyNumberFormat="1" applyFont="1" applyFill="1"/>
    <xf numFmtId="42" fontId="16" fillId="5" borderId="0" xfId="6" applyNumberFormat="1" applyFont="1" applyFill="1"/>
    <xf numFmtId="42" fontId="77" fillId="0" borderId="0" xfId="4" applyNumberFormat="1" applyFont="1" applyFill="1"/>
    <xf numFmtId="42" fontId="15" fillId="0" borderId="0" xfId="4" applyNumberFormat="1" applyFont="1" applyFill="1" applyBorder="1"/>
    <xf numFmtId="42" fontId="16" fillId="5" borderId="6" xfId="6" applyNumberFormat="1" applyFont="1" applyFill="1" applyBorder="1"/>
    <xf numFmtId="42" fontId="16" fillId="0" borderId="0" xfId="6" applyNumberFormat="1" applyFont="1" applyFill="1" applyBorder="1"/>
    <xf numFmtId="42" fontId="16" fillId="6" borderId="0" xfId="4" applyNumberFormat="1" applyFont="1" applyFill="1"/>
    <xf numFmtId="5" fontId="15" fillId="0" borderId="0" xfId="6" applyNumberFormat="1" applyFont="1" applyFill="1" applyBorder="1"/>
    <xf numFmtId="37" fontId="15" fillId="0" borderId="0" xfId="6" applyNumberFormat="1" applyFont="1"/>
    <xf numFmtId="41" fontId="15" fillId="0" borderId="0" xfId="6" applyNumberFormat="1" applyFont="1"/>
    <xf numFmtId="41" fontId="65" fillId="0" borderId="0" xfId="4" applyNumberFormat="1" applyFont="1" applyFill="1"/>
    <xf numFmtId="41" fontId="16" fillId="5" borderId="0" xfId="6" applyNumberFormat="1" applyFont="1" applyFill="1"/>
    <xf numFmtId="41" fontId="77" fillId="0" borderId="0" xfId="4" applyNumberFormat="1" applyFont="1" applyFill="1"/>
    <xf numFmtId="41" fontId="15" fillId="0" borderId="0" xfId="4" applyNumberFormat="1" applyFont="1" applyFill="1" applyBorder="1"/>
    <xf numFmtId="41" fontId="16" fillId="5" borderId="6" xfId="6" applyNumberFormat="1" applyFont="1" applyFill="1" applyBorder="1"/>
    <xf numFmtId="41" fontId="16" fillId="0" borderId="0" xfId="6" applyNumberFormat="1" applyFont="1" applyFill="1" applyBorder="1"/>
    <xf numFmtId="171" fontId="16" fillId="6" borderId="0" xfId="1" applyNumberFormat="1" applyFont="1" applyFill="1"/>
    <xf numFmtId="41" fontId="15" fillId="0" borderId="10" xfId="6" applyNumberFormat="1" applyFont="1" applyBorder="1"/>
    <xf numFmtId="41" fontId="15" fillId="0" borderId="10" xfId="4" applyNumberFormat="1" applyFont="1" applyFill="1" applyBorder="1"/>
    <xf numFmtId="41" fontId="65" fillId="0" borderId="10" xfId="4" applyNumberFormat="1" applyFont="1" applyFill="1" applyBorder="1"/>
    <xf numFmtId="41" fontId="16" fillId="5" borderId="10" xfId="6" applyNumberFormat="1" applyFont="1" applyFill="1" applyBorder="1"/>
    <xf numFmtId="41" fontId="77" fillId="0" borderId="10" xfId="4" applyNumberFormat="1" applyFont="1" applyFill="1" applyBorder="1"/>
    <xf numFmtId="41" fontId="16" fillId="5" borderId="9" xfId="6" applyNumberFormat="1" applyFont="1" applyFill="1" applyBorder="1"/>
    <xf numFmtId="171" fontId="16" fillId="6" borderId="10" xfId="1" applyNumberFormat="1" applyFont="1" applyFill="1" applyBorder="1"/>
    <xf numFmtId="171" fontId="15" fillId="0" borderId="10" xfId="1" applyNumberFormat="1" applyFont="1" applyFill="1" applyBorder="1"/>
    <xf numFmtId="41" fontId="15" fillId="0" borderId="0" xfId="6" applyNumberFormat="1" applyFont="1" applyFill="1"/>
    <xf numFmtId="41" fontId="65" fillId="0" borderId="0" xfId="6" applyNumberFormat="1" applyFont="1" applyFill="1"/>
    <xf numFmtId="41" fontId="77" fillId="0" borderId="0" xfId="6" applyNumberFormat="1" applyFont="1" applyFill="1"/>
    <xf numFmtId="41" fontId="15" fillId="0" borderId="0" xfId="6" applyNumberFormat="1" applyFont="1" applyFill="1" applyBorder="1"/>
    <xf numFmtId="41" fontId="16" fillId="6" borderId="0" xfId="6" applyNumberFormat="1" applyFont="1" applyFill="1"/>
    <xf numFmtId="41" fontId="16" fillId="6" borderId="0" xfId="4" applyNumberFormat="1" applyFont="1" applyFill="1"/>
    <xf numFmtId="37" fontId="15" fillId="0" borderId="0" xfId="6" applyNumberFormat="1" applyFont="1" applyFill="1"/>
    <xf numFmtId="41" fontId="15" fillId="0" borderId="10" xfId="6" applyNumberFormat="1" applyFont="1" applyFill="1" applyBorder="1"/>
    <xf numFmtId="41" fontId="65" fillId="0" borderId="10" xfId="6" applyNumberFormat="1" applyFont="1" applyFill="1" applyBorder="1"/>
    <xf numFmtId="41" fontId="77" fillId="0" borderId="10" xfId="6" applyNumberFormat="1" applyFont="1" applyFill="1" applyBorder="1"/>
    <xf numFmtId="41" fontId="16" fillId="6" borderId="10" xfId="6" applyNumberFormat="1" applyFont="1" applyFill="1" applyBorder="1"/>
    <xf numFmtId="42" fontId="15" fillId="0" borderId="12" xfId="6" applyNumberFormat="1" applyFont="1" applyBorder="1"/>
    <xf numFmtId="42" fontId="15" fillId="0" borderId="12" xfId="6" applyNumberFormat="1" applyFont="1" applyFill="1" applyBorder="1"/>
    <xf numFmtId="42" fontId="65" fillId="0" borderId="12" xfId="6" applyNumberFormat="1" applyFont="1" applyFill="1" applyBorder="1"/>
    <xf numFmtId="42" fontId="16" fillId="5" borderId="12" xfId="6" applyNumberFormat="1" applyFont="1" applyFill="1" applyBorder="1"/>
    <xf numFmtId="42" fontId="77" fillId="0" borderId="12" xfId="6" applyNumberFormat="1" applyFont="1" applyFill="1" applyBorder="1"/>
    <xf numFmtId="42" fontId="16" fillId="5" borderId="38" xfId="6" applyNumberFormat="1" applyFont="1" applyFill="1" applyBorder="1"/>
    <xf numFmtId="42" fontId="16" fillId="6" borderId="12" xfId="6" applyNumberFormat="1" applyFont="1" applyFill="1" applyBorder="1"/>
    <xf numFmtId="41" fontId="74" fillId="0" borderId="0" xfId="6" applyNumberFormat="1" applyFont="1" applyFill="1"/>
    <xf numFmtId="41" fontId="75" fillId="0" borderId="0" xfId="6" applyNumberFormat="1" applyFont="1" applyFill="1"/>
    <xf numFmtId="41" fontId="16" fillId="0" borderId="0" xfId="6" applyNumberFormat="1" applyFont="1" applyFill="1"/>
    <xf numFmtId="41" fontId="74" fillId="0" borderId="0" xfId="4" applyNumberFormat="1" applyFont="1" applyFill="1"/>
    <xf numFmtId="41" fontId="75" fillId="0" borderId="0" xfId="4" applyNumberFormat="1" applyFont="1" applyFill="1"/>
    <xf numFmtId="41" fontId="16" fillId="0" borderId="0" xfId="4" applyNumberFormat="1" applyFont="1" applyFill="1"/>
    <xf numFmtId="42" fontId="74" fillId="0" borderId="0" xfId="4" applyNumberFormat="1" applyFont="1" applyFill="1"/>
    <xf numFmtId="42" fontId="75" fillId="0" borderId="0" xfId="4" applyNumberFormat="1" applyFont="1" applyFill="1"/>
    <xf numFmtId="42" fontId="16" fillId="0" borderId="0" xfId="4" applyNumberFormat="1" applyFont="1" applyFill="1"/>
    <xf numFmtId="41" fontId="74" fillId="0" borderId="10" xfId="4" applyNumberFormat="1" applyFont="1" applyFill="1" applyBorder="1"/>
    <xf numFmtId="41" fontId="75" fillId="0" borderId="10" xfId="4" applyNumberFormat="1" applyFont="1" applyFill="1" applyBorder="1"/>
    <xf numFmtId="41" fontId="16" fillId="0" borderId="10" xfId="4" applyNumberFormat="1" applyFont="1" applyFill="1" applyBorder="1"/>
    <xf numFmtId="41" fontId="15" fillId="0" borderId="15" xfId="6" applyNumberFormat="1" applyFont="1" applyBorder="1"/>
    <xf numFmtId="41" fontId="15" fillId="0" borderId="15" xfId="6" applyNumberFormat="1" applyFont="1" applyFill="1" applyBorder="1"/>
    <xf numFmtId="41" fontId="65" fillId="0" borderId="15" xfId="6" applyNumberFormat="1" applyFont="1" applyFill="1" applyBorder="1"/>
    <xf numFmtId="41" fontId="16" fillId="5" borderId="15" xfId="6" applyNumberFormat="1" applyFont="1" applyFill="1" applyBorder="1"/>
    <xf numFmtId="41" fontId="77" fillId="0" borderId="15" xfId="6" applyNumberFormat="1" applyFont="1" applyFill="1" applyBorder="1"/>
    <xf numFmtId="41" fontId="16" fillId="5" borderId="13" xfId="6" applyNumberFormat="1" applyFont="1" applyFill="1" applyBorder="1"/>
    <xf numFmtId="41" fontId="16" fillId="6" borderId="15" xfId="6" applyNumberFormat="1" applyFont="1" applyFill="1" applyBorder="1"/>
    <xf numFmtId="41" fontId="15" fillId="0" borderId="0" xfId="6" applyNumberFormat="1" applyFont="1" applyBorder="1"/>
    <xf numFmtId="41" fontId="65" fillId="0" borderId="0" xfId="6" applyNumberFormat="1" applyFont="1" applyFill="1" applyBorder="1"/>
    <xf numFmtId="41" fontId="16" fillId="5" borderId="0" xfId="6" applyNumberFormat="1" applyFont="1" applyFill="1" applyBorder="1"/>
    <xf numFmtId="41" fontId="77" fillId="0" borderId="0" xfId="6" applyNumberFormat="1" applyFont="1" applyFill="1" applyBorder="1"/>
    <xf numFmtId="41" fontId="16" fillId="6" borderId="0" xfId="6" applyNumberFormat="1" applyFont="1" applyFill="1" applyBorder="1"/>
    <xf numFmtId="0" fontId="15" fillId="0" borderId="0" xfId="6" applyNumberFormat="1" applyFont="1" applyBorder="1" applyAlignment="1">
      <alignment horizontal="center"/>
    </xf>
    <xf numFmtId="37" fontId="15" fillId="0" borderId="0" xfId="6" applyNumberFormat="1" applyFont="1" applyBorder="1"/>
    <xf numFmtId="0" fontId="15" fillId="0" borderId="0" xfId="6" applyFont="1" applyBorder="1"/>
    <xf numFmtId="41" fontId="65" fillId="0" borderId="0" xfId="4" applyNumberFormat="1" applyFont="1" applyFill="1" applyBorder="1"/>
    <xf numFmtId="0" fontId="16" fillId="0" borderId="0" xfId="6" applyNumberFormat="1" applyFont="1" applyAlignment="1">
      <alignment horizontal="center"/>
    </xf>
    <xf numFmtId="5" fontId="16" fillId="0" borderId="0" xfId="6" applyNumberFormat="1" applyFont="1"/>
    <xf numFmtId="42" fontId="16" fillId="0" borderId="12" xfId="6" applyNumberFormat="1" applyFont="1" applyBorder="1"/>
    <xf numFmtId="42" fontId="16" fillId="0" borderId="12" xfId="6" applyNumberFormat="1" applyFont="1" applyFill="1" applyBorder="1"/>
    <xf numFmtId="42" fontId="74" fillId="0" borderId="12" xfId="6" applyNumberFormat="1" applyFont="1" applyFill="1" applyBorder="1"/>
    <xf numFmtId="42" fontId="75" fillId="0" borderId="12" xfId="6" applyNumberFormat="1" applyFont="1" applyFill="1" applyBorder="1"/>
    <xf numFmtId="5" fontId="16" fillId="0" borderId="0" xfId="6" applyNumberFormat="1" applyFont="1" applyFill="1" applyBorder="1"/>
    <xf numFmtId="10" fontId="15" fillId="0" borderId="0" xfId="7" applyNumberFormat="1" applyFont="1"/>
    <xf numFmtId="10" fontId="16" fillId="0" borderId="0" xfId="7" quotePrefix="1" applyNumberFormat="1" applyFont="1" applyFill="1" applyAlignment="1">
      <alignment horizontal="center"/>
    </xf>
    <xf numFmtId="10" fontId="16" fillId="5" borderId="0" xfId="7" applyNumberFormat="1" applyFont="1" applyFill="1"/>
    <xf numFmtId="10" fontId="16" fillId="0" borderId="0" xfId="7" applyNumberFormat="1" applyFont="1" applyFill="1" applyBorder="1"/>
    <xf numFmtId="3" fontId="16" fillId="5" borderId="13" xfId="6" applyNumberFormat="1" applyFont="1" applyFill="1" applyBorder="1"/>
    <xf numFmtId="41" fontId="16" fillId="6" borderId="13" xfId="7" applyNumberFormat="1" applyFont="1" applyFill="1" applyBorder="1"/>
    <xf numFmtId="41" fontId="15" fillId="0" borderId="13" xfId="7" applyNumberFormat="1" applyFont="1" applyFill="1" applyBorder="1"/>
    <xf numFmtId="41" fontId="70" fillId="0" borderId="0" xfId="6" applyNumberFormat="1" applyFont="1" applyFill="1" applyAlignment="1">
      <alignment vertical="top" wrapText="1"/>
    </xf>
    <xf numFmtId="41" fontId="16" fillId="0" borderId="0" xfId="6" applyNumberFormat="1" applyFont="1" applyFill="1" applyAlignment="1">
      <alignment vertical="top" wrapText="1"/>
    </xf>
    <xf numFmtId="177" fontId="15" fillId="0" borderId="0" xfId="6" applyNumberFormat="1" applyFont="1" applyFill="1"/>
    <xf numFmtId="0" fontId="15" fillId="0" borderId="0" xfId="6" applyNumberFormat="1" applyFont="1" applyFill="1" applyAlignment="1">
      <alignment horizontal="left"/>
    </xf>
    <xf numFmtId="0" fontId="15" fillId="0" borderId="0" xfId="5" applyFont="1" applyFill="1"/>
    <xf numFmtId="10" fontId="15" fillId="0" borderId="0" xfId="7" applyNumberFormat="1" applyFont="1" applyFill="1"/>
    <xf numFmtId="176" fontId="15" fillId="0" borderId="0" xfId="5" applyNumberFormat="1" applyFont="1" applyFill="1"/>
    <xf numFmtId="41" fontId="65" fillId="0" borderId="0" xfId="5" applyNumberFormat="1" applyFont="1" applyFill="1"/>
    <xf numFmtId="41" fontId="77" fillId="0" borderId="0" xfId="5" applyNumberFormat="1" applyFont="1" applyFill="1"/>
    <xf numFmtId="41" fontId="16" fillId="0" borderId="0" xfId="5" applyNumberFormat="1" applyFont="1" applyFill="1"/>
    <xf numFmtId="41" fontId="16" fillId="0" borderId="0" xfId="5" applyNumberFormat="1" applyFont="1" applyFill="1" applyBorder="1"/>
    <xf numFmtId="3" fontId="15" fillId="0" borderId="0" xfId="5" applyNumberFormat="1" applyFont="1" applyFill="1"/>
    <xf numFmtId="3" fontId="65" fillId="0" borderId="0" xfId="5" applyNumberFormat="1" applyFont="1" applyFill="1"/>
    <xf numFmtId="3" fontId="77" fillId="0" borderId="0" xfId="5" applyNumberFormat="1" applyFont="1" applyFill="1"/>
    <xf numFmtId="3" fontId="16" fillId="0" borderId="0" xfId="5" applyNumberFormat="1" applyFont="1" applyFill="1"/>
    <xf numFmtId="3" fontId="16" fillId="0" borderId="0" xfId="5" applyNumberFormat="1" applyFont="1" applyFill="1" applyBorder="1"/>
    <xf numFmtId="0" fontId="15" fillId="0" borderId="0" xfId="6" applyNumberFormat="1" applyFont="1" applyFill="1" applyBorder="1" applyAlignment="1">
      <alignment horizontal="center"/>
    </xf>
    <xf numFmtId="0" fontId="15" fillId="0" borderId="0" xfId="5" applyFont="1" applyFill="1" applyBorder="1"/>
    <xf numFmtId="3" fontId="15" fillId="0" borderId="0" xfId="5" applyNumberFormat="1" applyFont="1" applyFill="1" applyBorder="1"/>
    <xf numFmtId="3" fontId="65" fillId="0" borderId="0" xfId="5" applyNumberFormat="1" applyFont="1" applyFill="1" applyBorder="1"/>
    <xf numFmtId="3" fontId="77" fillId="0" borderId="0" xfId="5" applyNumberFormat="1" applyFont="1" applyFill="1" applyBorder="1"/>
    <xf numFmtId="0" fontId="78" fillId="0" borderId="0" xfId="0" applyFont="1" applyFill="1" applyBorder="1" applyAlignment="1">
      <alignment horizontal="left"/>
    </xf>
    <xf numFmtId="0" fontId="16" fillId="0" borderId="4" xfId="6" applyFont="1" applyFill="1" applyBorder="1"/>
    <xf numFmtId="0" fontId="16" fillId="0" borderId="7" xfId="6" applyFont="1" applyFill="1" applyBorder="1"/>
    <xf numFmtId="0" fontId="16" fillId="0" borderId="0" xfId="6" applyNumberFormat="1" applyFont="1" applyAlignment="1">
      <alignment horizontal="left"/>
    </xf>
    <xf numFmtId="0" fontId="16" fillId="0" borderId="0" xfId="6" applyFont="1"/>
    <xf numFmtId="0" fontId="16" fillId="0" borderId="0" xfId="6" applyFont="1" applyFill="1" applyAlignment="1">
      <alignment vertical="top" wrapText="1"/>
    </xf>
    <xf numFmtId="0" fontId="74" fillId="0" borderId="0" xfId="0" applyFont="1" applyFill="1"/>
    <xf numFmtId="0" fontId="16" fillId="0" borderId="0" xfId="0" applyFont="1" applyFill="1" applyAlignment="1">
      <alignment vertical="top"/>
    </xf>
    <xf numFmtId="0" fontId="75" fillId="0" borderId="0" xfId="0" applyFont="1" applyFill="1" applyAlignment="1">
      <alignment vertical="top"/>
    </xf>
    <xf numFmtId="0" fontId="16" fillId="0" borderId="0" xfId="6" applyFont="1" applyFill="1" applyBorder="1"/>
    <xf numFmtId="41" fontId="16" fillId="0" borderId="0" xfId="20" applyNumberFormat="1" applyFont="1" applyFill="1" applyBorder="1" applyAlignment="1">
      <alignment vertical="top" wrapText="1"/>
    </xf>
    <xf numFmtId="41" fontId="16" fillId="0" borderId="0" xfId="20" applyNumberFormat="1" applyFont="1" applyFill="1" applyAlignment="1">
      <alignment vertical="top" wrapText="1"/>
    </xf>
    <xf numFmtId="0" fontId="74" fillId="0" borderId="0" xfId="0" applyFont="1" applyFill="1" applyAlignment="1">
      <alignment horizontal="right"/>
    </xf>
    <xf numFmtId="41" fontId="16" fillId="0" borderId="0" xfId="5" applyNumberFormat="1" applyFont="1" applyFill="1" applyAlignment="1">
      <alignment horizontal="center"/>
    </xf>
    <xf numFmtId="0" fontId="75" fillId="0" borderId="0" xfId="0" applyFont="1" applyFill="1" applyAlignment="1"/>
    <xf numFmtId="41" fontId="16" fillId="0" borderId="0" xfId="5" applyNumberFormat="1" applyFont="1" applyFill="1" applyBorder="1" applyAlignment="1">
      <alignment horizontal="center"/>
    </xf>
    <xf numFmtId="0" fontId="16" fillId="0" borderId="0" xfId="6" applyFont="1" applyAlignment="1">
      <alignment horizontal="center"/>
    </xf>
    <xf numFmtId="3" fontId="15" fillId="0" borderId="0" xfId="0" applyNumberFormat="1" applyFont="1" applyFill="1" applyAlignment="1">
      <alignment horizontal="right" indent="1"/>
    </xf>
    <xf numFmtId="41" fontId="15" fillId="0" borderId="10" xfId="20" applyNumberFormat="1" applyFont="1" applyFill="1" applyBorder="1" applyAlignment="1">
      <alignment wrapText="1"/>
    </xf>
    <xf numFmtId="0" fontId="16" fillId="0" borderId="0" xfId="6" applyFont="1" applyFill="1" applyAlignment="1">
      <alignment horizontal="left"/>
    </xf>
    <xf numFmtId="41" fontId="16" fillId="7" borderId="1" xfId="20" quotePrefix="1" applyNumberFormat="1" applyFont="1" applyFill="1" applyBorder="1" applyAlignment="1">
      <alignment horizontal="center"/>
    </xf>
    <xf numFmtId="2" fontId="16" fillId="7" borderId="6" xfId="20" applyNumberFormat="1" applyFont="1" applyFill="1" applyBorder="1" applyAlignment="1">
      <alignment horizontal="center"/>
    </xf>
    <xf numFmtId="37" fontId="68" fillId="0" borderId="0" xfId="0" applyNumberFormat="1" applyFont="1"/>
    <xf numFmtId="37" fontId="0" fillId="0" borderId="0" xfId="0" applyNumberFormat="1"/>
    <xf numFmtId="0" fontId="0" fillId="0" borderId="0" xfId="0" applyAlignment="1">
      <alignment horizontal="center"/>
    </xf>
    <xf numFmtId="179" fontId="8" fillId="0" borderId="0" xfId="104" applyNumberFormat="1" applyFont="1"/>
    <xf numFmtId="37" fontId="0" fillId="8" borderId="12" xfId="0" applyNumberFormat="1" applyFill="1" applyBorder="1"/>
    <xf numFmtId="170" fontId="0" fillId="0" borderId="0" xfId="104" applyNumberFormat="1" applyFont="1" applyFill="1"/>
    <xf numFmtId="179" fontId="0" fillId="0" borderId="0" xfId="104" applyNumberFormat="1" applyFont="1" applyFill="1"/>
    <xf numFmtId="37" fontId="0" fillId="0" borderId="15" xfId="0" applyNumberFormat="1" applyBorder="1"/>
    <xf numFmtId="0" fontId="83" fillId="0" borderId="0" xfId="0" applyFont="1" applyAlignment="1">
      <alignment horizontal="left"/>
    </xf>
    <xf numFmtId="0" fontId="8" fillId="0" borderId="0" xfId="0" applyFont="1" applyAlignment="1">
      <alignment horizontal="left"/>
    </xf>
    <xf numFmtId="171" fontId="0" fillId="0" borderId="0" xfId="0" applyNumberFormat="1"/>
    <xf numFmtId="37" fontId="0" fillId="0" borderId="10" xfId="0" applyNumberFormat="1" applyBorder="1"/>
    <xf numFmtId="0" fontId="0" fillId="0" borderId="0" xfId="0" applyAlignment="1">
      <alignment horizontal="right"/>
    </xf>
    <xf numFmtId="0" fontId="83" fillId="0" borderId="0" xfId="0" applyFont="1" applyAlignment="1">
      <alignment horizontal="center"/>
    </xf>
    <xf numFmtId="0" fontId="87" fillId="0" borderId="0" xfId="0" applyFont="1" applyAlignment="1">
      <alignment horizontal="center"/>
    </xf>
    <xf numFmtId="0" fontId="87" fillId="0" borderId="0" xfId="0" applyFont="1"/>
    <xf numFmtId="0" fontId="86" fillId="0" borderId="0" xfId="0" applyFont="1"/>
    <xf numFmtId="0" fontId="88" fillId="0" borderId="0" xfId="0" applyFont="1" applyAlignment="1">
      <alignment horizontal="center"/>
    </xf>
    <xf numFmtId="0" fontId="89" fillId="0" borderId="0" xfId="0" applyFont="1"/>
    <xf numFmtId="170" fontId="9" fillId="0" borderId="0" xfId="104" applyNumberFormat="1" applyFont="1" applyFill="1"/>
    <xf numFmtId="170" fontId="88" fillId="0" borderId="0" xfId="104" applyNumberFormat="1" applyFont="1" applyFill="1"/>
    <xf numFmtId="0" fontId="88" fillId="0" borderId="0" xfId="0" applyFont="1"/>
    <xf numFmtId="37" fontId="86" fillId="7" borderId="41" xfId="0" applyNumberFormat="1" applyFont="1" applyFill="1" applyBorder="1"/>
    <xf numFmtId="0" fontId="89" fillId="0" borderId="0" xfId="0" applyFont="1" applyAlignment="1">
      <alignment horizontal="left"/>
    </xf>
    <xf numFmtId="37" fontId="86" fillId="0" borderId="0" xfId="0" applyNumberFormat="1" applyFont="1"/>
    <xf numFmtId="0" fontId="90" fillId="0" borderId="0" xfId="0" applyFont="1"/>
    <xf numFmtId="170" fontId="0" fillId="0" borderId="0" xfId="104" applyNumberFormat="1" applyFont="1"/>
    <xf numFmtId="10" fontId="0" fillId="0" borderId="0" xfId="104" applyNumberFormat="1" applyFont="1" applyFill="1"/>
    <xf numFmtId="0" fontId="85" fillId="0" borderId="0" xfId="0" applyFont="1" applyAlignment="1">
      <alignment horizontal="center"/>
    </xf>
    <xf numFmtId="37" fontId="0" fillId="5" borderId="12" xfId="0" applyNumberFormat="1" applyFill="1" applyBorder="1"/>
    <xf numFmtId="37" fontId="86" fillId="5" borderId="12" xfId="0" applyNumberFormat="1" applyFont="1" applyFill="1" applyBorder="1"/>
    <xf numFmtId="179" fontId="0" fillId="0" borderId="0" xfId="0" applyNumberFormat="1"/>
    <xf numFmtId="179" fontId="0" fillId="0" borderId="0" xfId="104" applyNumberFormat="1" applyFont="1" applyFill="1" applyBorder="1"/>
    <xf numFmtId="37" fontId="0" fillId="0" borderId="12" xfId="0" applyNumberFormat="1" applyBorder="1"/>
    <xf numFmtId="0" fontId="85" fillId="0" borderId="0" xfId="0" applyFont="1" applyAlignment="1">
      <alignment horizontal="right"/>
    </xf>
    <xf numFmtId="3" fontId="85" fillId="0" borderId="0" xfId="0" applyNumberFormat="1" applyFont="1" applyAlignment="1">
      <alignment horizontal="right"/>
    </xf>
    <xf numFmtId="3" fontId="85" fillId="0" borderId="0" xfId="0" applyNumberFormat="1" applyFont="1" applyAlignment="1">
      <alignment horizontal="center"/>
    </xf>
    <xf numFmtId="37" fontId="9" fillId="0" borderId="3" xfId="0" applyNumberFormat="1" applyFont="1" applyBorder="1"/>
    <xf numFmtId="7" fontId="0" fillId="0" borderId="0" xfId="0" applyNumberFormat="1" applyAlignment="1">
      <alignment horizontal="left"/>
    </xf>
    <xf numFmtId="3" fontId="9" fillId="0" borderId="0" xfId="0" applyNumberFormat="1" applyFont="1" applyAlignment="1">
      <alignment horizontal="left"/>
    </xf>
    <xf numFmtId="171" fontId="88" fillId="0" borderId="0" xfId="0" applyNumberFormat="1" applyFont="1"/>
    <xf numFmtId="44" fontId="91" fillId="0" borderId="42" xfId="2" applyFont="1" applyFill="1" applyBorder="1" applyAlignment="1">
      <alignment horizontal="left" vertical="top"/>
    </xf>
    <xf numFmtId="44" fontId="91" fillId="0" borderId="43" xfId="2" applyFont="1" applyFill="1" applyBorder="1" applyAlignment="1">
      <alignment horizontal="left" vertical="top"/>
    </xf>
    <xf numFmtId="44" fontId="91" fillId="0" borderId="10" xfId="2" applyFont="1" applyFill="1" applyBorder="1" applyAlignment="1">
      <alignment horizontal="left" vertical="top"/>
    </xf>
    <xf numFmtId="0" fontId="91" fillId="0" borderId="44" xfId="0" applyFont="1" applyBorder="1" applyAlignment="1">
      <alignment horizontal="left" vertical="top"/>
    </xf>
    <xf numFmtId="171" fontId="9" fillId="0" borderId="0" xfId="0" applyNumberFormat="1" applyFont="1"/>
    <xf numFmtId="44" fontId="0" fillId="0" borderId="0" xfId="0" applyNumberFormat="1"/>
    <xf numFmtId="44" fontId="92" fillId="0" borderId="45" xfId="2" applyFont="1" applyFill="1" applyBorder="1" applyAlignment="1">
      <alignment horizontal="right" vertical="center"/>
    </xf>
    <xf numFmtId="43" fontId="92" fillId="0" borderId="46" xfId="0" applyNumberFormat="1" applyFont="1" applyBorder="1" applyAlignment="1">
      <alignment horizontal="center" vertical="center" wrapText="1"/>
    </xf>
    <xf numFmtId="44" fontId="92" fillId="0" borderId="46" xfId="2" applyFont="1" applyFill="1" applyBorder="1" applyAlignment="1">
      <alignment horizontal="right" vertical="center"/>
    </xf>
    <xf numFmtId="0" fontId="92" fillId="0" borderId="47" xfId="0" applyFont="1" applyBorder="1" applyAlignment="1">
      <alignment horizontal="left" vertical="center"/>
    </xf>
    <xf numFmtId="43" fontId="0" fillId="0" borderId="0" xfId="0" applyNumberFormat="1"/>
    <xf numFmtId="37" fontId="85" fillId="0" borderId="0" xfId="0" applyNumberFormat="1" applyFont="1" applyAlignment="1">
      <alignment horizontal="center"/>
    </xf>
    <xf numFmtId="37" fontId="86" fillId="0" borderId="10" xfId="0" applyNumberFormat="1" applyFont="1" applyBorder="1"/>
    <xf numFmtId="37" fontId="9" fillId="0" borderId="0" xfId="0" applyNumberFormat="1" applyFont="1"/>
    <xf numFmtId="17" fontId="93" fillId="0" borderId="0" xfId="0" applyNumberFormat="1" applyFont="1" applyAlignment="1">
      <alignment horizontal="left"/>
    </xf>
    <xf numFmtId="37" fontId="0" fillId="0" borderId="3" xfId="0" applyNumberFormat="1" applyBorder="1"/>
    <xf numFmtId="3" fontId="87" fillId="0" borderId="0" xfId="0" applyNumberFormat="1" applyFont="1" applyAlignment="1">
      <alignment horizontal="center"/>
    </xf>
    <xf numFmtId="0" fontId="0" fillId="0" borderId="10" xfId="0" applyBorder="1" applyAlignment="1">
      <alignment horizontal="center"/>
    </xf>
    <xf numFmtId="0" fontId="86" fillId="0" borderId="0" xfId="0" quotePrefix="1" applyFont="1"/>
    <xf numFmtId="1" fontId="87" fillId="0" borderId="0" xfId="0" applyNumberFormat="1" applyFont="1" applyAlignment="1">
      <alignment horizontal="center"/>
    </xf>
    <xf numFmtId="0" fontId="92" fillId="0" borderId="46" xfId="0" applyFont="1" applyBorder="1" applyAlignment="1">
      <alignment horizontal="center" vertical="center" wrapText="1"/>
    </xf>
    <xf numFmtId="3" fontId="0" fillId="0" borderId="0" xfId="0" applyNumberFormat="1" applyAlignment="1">
      <alignment horizontal="center"/>
    </xf>
    <xf numFmtId="0" fontId="92" fillId="0" borderId="0" xfId="0" applyFont="1" applyAlignment="1">
      <alignment horizontal="center" vertical="center" wrapText="1"/>
    </xf>
    <xf numFmtId="0" fontId="92" fillId="0" borderId="45" xfId="0" applyFont="1" applyBorder="1" applyAlignment="1">
      <alignment horizontal="center" vertical="center" wrapText="1"/>
    </xf>
    <xf numFmtId="0" fontId="92" fillId="0" borderId="47" xfId="0" applyFont="1" applyBorder="1" applyAlignment="1">
      <alignment horizontal="center" vertical="center" wrapText="1"/>
    </xf>
    <xf numFmtId="0" fontId="0" fillId="0" borderId="0" xfId="0" applyAlignment="1">
      <alignment horizontal="center" wrapText="1"/>
    </xf>
    <xf numFmtId="3" fontId="0" fillId="0" borderId="0" xfId="0" applyNumberFormat="1" applyAlignment="1">
      <alignment horizontal="center" wrapText="1"/>
    </xf>
    <xf numFmtId="0" fontId="0" fillId="0" borderId="7" xfId="0" applyBorder="1"/>
    <xf numFmtId="0" fontId="94" fillId="0" borderId="0" xfId="0" applyFont="1"/>
    <xf numFmtId="0" fontId="0" fillId="0" borderId="6" xfId="0" applyBorder="1"/>
    <xf numFmtId="0" fontId="0" fillId="0" borderId="11" xfId="0" applyBorder="1"/>
    <xf numFmtId="0" fontId="0" fillId="0" borderId="10" xfId="0" applyBorder="1"/>
    <xf numFmtId="0" fontId="0" fillId="0" borderId="8" xfId="0" applyBorder="1"/>
    <xf numFmtId="0" fontId="0" fillId="0" borderId="9" xfId="0" applyBorder="1"/>
    <xf numFmtId="3" fontId="0" fillId="0" borderId="0" xfId="0" applyNumberFormat="1" applyAlignment="1">
      <alignment horizontal="centerContinuous"/>
    </xf>
    <xf numFmtId="0" fontId="0" fillId="0" borderId="0" xfId="0" applyAlignment="1">
      <alignment horizontal="center"/>
    </xf>
    <xf numFmtId="0" fontId="92" fillId="0" borderId="48" xfId="0" applyFont="1" applyBorder="1" applyAlignment="1">
      <alignment horizontal="left" vertical="top"/>
    </xf>
    <xf numFmtId="0" fontId="91" fillId="0" borderId="49" xfId="0" applyFont="1" applyBorder="1" applyAlignment="1">
      <alignment horizontal="center" vertical="center" wrapText="1"/>
    </xf>
    <xf numFmtId="0" fontId="95" fillId="0" borderId="50" xfId="0" applyFont="1" applyBorder="1" applyAlignment="1">
      <alignment horizontal="center" vertical="center" wrapText="1"/>
    </xf>
    <xf numFmtId="17" fontId="0" fillId="0" borderId="0" xfId="0" applyNumberFormat="1" applyAlignment="1">
      <alignment horizontal="right"/>
    </xf>
    <xf numFmtId="0" fontId="9" fillId="0" borderId="0" xfId="0" applyFont="1" applyAlignment="1">
      <alignment horizontal="center"/>
    </xf>
    <xf numFmtId="0" fontId="10" fillId="0" borderId="0" xfId="20" applyFont="1"/>
    <xf numFmtId="171" fontId="88" fillId="0" borderId="0" xfId="30" applyNumberFormat="1" applyFont="1" applyFill="1"/>
    <xf numFmtId="182" fontId="0" fillId="0" borderId="10" xfId="104" applyNumberFormat="1" applyFont="1" applyFill="1" applyBorder="1"/>
    <xf numFmtId="171" fontId="9" fillId="0" borderId="10" xfId="30" applyNumberFormat="1" applyFont="1" applyFill="1" applyBorder="1"/>
    <xf numFmtId="182" fontId="0" fillId="0" borderId="0" xfId="104" applyNumberFormat="1" applyFont="1" applyFill="1"/>
    <xf numFmtId="171" fontId="9" fillId="0" borderId="0" xfId="30" applyNumberFormat="1" applyFont="1" applyFill="1"/>
    <xf numFmtId="0" fontId="96" fillId="0" borderId="0" xfId="0" applyFont="1" applyFill="1"/>
    <xf numFmtId="37" fontId="0" fillId="0" borderId="0" xfId="0" applyNumberFormat="1" applyFill="1"/>
    <xf numFmtId="37" fontId="88" fillId="0" borderId="0" xfId="0" applyNumberFormat="1" applyFont="1" applyFill="1"/>
    <xf numFmtId="37" fontId="0" fillId="0" borderId="10" xfId="0" applyNumberFormat="1" applyFill="1" applyBorder="1"/>
    <xf numFmtId="37" fontId="88" fillId="0" borderId="10" xfId="0" applyNumberFormat="1" applyFont="1" applyFill="1" applyBorder="1"/>
    <xf numFmtId="0" fontId="0" fillId="0" borderId="0" xfId="0" applyFill="1" applyAlignment="1">
      <alignment horizontal="center"/>
    </xf>
    <xf numFmtId="0" fontId="0" fillId="9" borderId="0" xfId="0" applyFill="1"/>
    <xf numFmtId="171" fontId="0" fillId="0" borderId="0" xfId="30" applyNumberFormat="1" applyFont="1"/>
    <xf numFmtId="171" fontId="0" fillId="0" borderId="24" xfId="30" applyNumberFormat="1" applyFont="1" applyBorder="1"/>
    <xf numFmtId="171" fontId="85" fillId="0" borderId="0" xfId="30" applyNumberFormat="1" applyFont="1" applyAlignment="1">
      <alignment horizontal="center"/>
    </xf>
    <xf numFmtId="171" fontId="86" fillId="0" borderId="24" xfId="30" applyNumberFormat="1" applyFont="1" applyBorder="1"/>
    <xf numFmtId="171" fontId="0" fillId="0" borderId="10" xfId="30" applyNumberFormat="1" applyFont="1" applyBorder="1"/>
    <xf numFmtId="171" fontId="0" fillId="0" borderId="0" xfId="30" applyNumberFormat="1" applyFont="1" applyBorder="1"/>
    <xf numFmtId="0" fontId="86" fillId="2" borderId="0" xfId="0" applyFont="1" applyFill="1"/>
    <xf numFmtId="171" fontId="0" fillId="0" borderId="3" xfId="30" applyNumberFormat="1" applyFont="1" applyBorder="1"/>
    <xf numFmtId="171" fontId="0" fillId="0" borderId="0" xfId="30" applyNumberFormat="1" applyFont="1" applyFill="1"/>
    <xf numFmtId="171" fontId="0" fillId="0" borderId="10" xfId="30" applyNumberFormat="1" applyFont="1" applyFill="1" applyBorder="1"/>
    <xf numFmtId="171" fontId="84" fillId="0" borderId="0" xfId="30" applyNumberFormat="1" applyFont="1"/>
    <xf numFmtId="171" fontId="9" fillId="0" borderId="0" xfId="30" applyNumberFormat="1" applyFont="1"/>
    <xf numFmtId="37" fontId="97" fillId="0" borderId="0" xfId="0" applyNumberFormat="1" applyFont="1"/>
    <xf numFmtId="49" fontId="0" fillId="0" borderId="0" xfId="0" applyNumberFormat="1"/>
    <xf numFmtId="0" fontId="0" fillId="0" borderId="0" xfId="0" applyAlignment="1">
      <alignment wrapText="1"/>
    </xf>
    <xf numFmtId="43" fontId="92" fillId="0" borderId="46" xfId="30" applyFont="1" applyFill="1" applyBorder="1" applyAlignment="1">
      <alignment horizontal="right" vertical="center" wrapText="1"/>
    </xf>
    <xf numFmtId="43" fontId="92" fillId="0" borderId="46" xfId="30" applyFont="1" applyFill="1" applyBorder="1" applyAlignment="1">
      <alignment horizontal="right" vertical="center"/>
    </xf>
    <xf numFmtId="43" fontId="0" fillId="0" borderId="0" xfId="30" applyFont="1" applyFill="1"/>
    <xf numFmtId="43" fontId="92" fillId="0" borderId="46" xfId="30" applyFont="1" applyFill="1" applyBorder="1" applyAlignment="1">
      <alignment horizontal="center" vertical="center" wrapText="1"/>
    </xf>
    <xf numFmtId="171" fontId="8" fillId="0" borderId="0" xfId="30" applyNumberFormat="1" applyFont="1" applyFill="1"/>
    <xf numFmtId="171" fontId="8" fillId="0" borderId="0" xfId="30" applyNumberFormat="1" applyFont="1"/>
    <xf numFmtId="171" fontId="8" fillId="0" borderId="10" xfId="30" applyNumberFormat="1" applyFont="1" applyFill="1" applyBorder="1"/>
    <xf numFmtId="171" fontId="82" fillId="0" borderId="0" xfId="30" applyNumberFormat="1" applyFont="1" applyFill="1"/>
    <xf numFmtId="183" fontId="8" fillId="0" borderId="0" xfId="104" applyNumberFormat="1" applyFont="1"/>
    <xf numFmtId="37" fontId="0" fillId="8" borderId="0" xfId="0" applyNumberFormat="1" applyFill="1"/>
    <xf numFmtId="171" fontId="15" fillId="0" borderId="0" xfId="0" applyNumberFormat="1" applyFont="1"/>
    <xf numFmtId="170" fontId="15" fillId="0" borderId="0" xfId="0" applyNumberFormat="1" applyFont="1"/>
    <xf numFmtId="170" fontId="15" fillId="0" borderId="0" xfId="104" applyNumberFormat="1" applyFont="1" applyFill="1"/>
    <xf numFmtId="171" fontId="15" fillId="0" borderId="0" xfId="30" applyNumberFormat="1" applyFont="1" applyFill="1"/>
    <xf numFmtId="171" fontId="15" fillId="0" borderId="51" xfId="30" applyNumberFormat="1" applyFont="1" applyFill="1" applyBorder="1"/>
    <xf numFmtId="171" fontId="98" fillId="0" borderId="0" xfId="30" applyNumberFormat="1" applyFont="1" applyFill="1"/>
    <xf numFmtId="171" fontId="99" fillId="0" borderId="0" xfId="30" applyNumberFormat="1" applyFont="1" applyFill="1"/>
    <xf numFmtId="171" fontId="15" fillId="0" borderId="3" xfId="30" applyNumberFormat="1" applyFont="1" applyFill="1" applyBorder="1"/>
    <xf numFmtId="174" fontId="15" fillId="0" borderId="0" xfId="0" applyNumberFormat="1" applyFont="1" applyAlignment="1">
      <alignment horizontal="center"/>
    </xf>
    <xf numFmtId="43" fontId="8" fillId="0" borderId="0" xfId="1"/>
    <xf numFmtId="0" fontId="0" fillId="5" borderId="0" xfId="0" applyFill="1"/>
    <xf numFmtId="0" fontId="8" fillId="0" borderId="0" xfId="17"/>
    <xf numFmtId="4" fontId="8" fillId="0" borderId="0" xfId="103" applyFont="1"/>
    <xf numFmtId="4" fontId="8" fillId="0" borderId="0" xfId="103" applyFont="1" applyBorder="1"/>
    <xf numFmtId="166" fontId="15" fillId="0" borderId="0" xfId="0" applyNumberFormat="1" applyFont="1"/>
    <xf numFmtId="7" fontId="28" fillId="0" borderId="0" xfId="0" applyNumberFormat="1" applyFont="1"/>
    <xf numFmtId="5" fontId="43" fillId="0" borderId="52" xfId="0" applyNumberFormat="1" applyFont="1" applyBorder="1"/>
    <xf numFmtId="5" fontId="30" fillId="0" borderId="53" xfId="0" applyNumberFormat="1" applyFont="1" applyBorder="1"/>
    <xf numFmtId="5" fontId="43" fillId="0" borderId="53" xfId="0" applyNumberFormat="1" applyFont="1" applyBorder="1"/>
    <xf numFmtId="5" fontId="43" fillId="0" borderId="54" xfId="0" applyNumberFormat="1" applyFont="1" applyBorder="1"/>
    <xf numFmtId="0" fontId="43" fillId="0" borderId="23" xfId="0" applyFont="1" applyBorder="1"/>
    <xf numFmtId="3" fontId="43" fillId="0" borderId="22" xfId="0" applyNumberFormat="1" applyFont="1" applyBorder="1"/>
    <xf numFmtId="3" fontId="43" fillId="0" borderId="0" xfId="0" applyNumberFormat="1" applyFont="1"/>
    <xf numFmtId="0" fontId="43" fillId="0" borderId="21" xfId="0" applyFont="1" applyBorder="1"/>
    <xf numFmtId="3" fontId="43" fillId="0" borderId="55" xfId="0" applyNumberFormat="1" applyFont="1" applyBorder="1"/>
    <xf numFmtId="3" fontId="43" fillId="0" borderId="3" xfId="0" applyNumberFormat="1" applyFont="1" applyBorder="1"/>
    <xf numFmtId="2" fontId="43" fillId="0" borderId="21" xfId="0" applyNumberFormat="1" applyFont="1" applyBorder="1" applyAlignment="1">
      <alignment horizontal="center"/>
    </xf>
    <xf numFmtId="37" fontId="15" fillId="0" borderId="22" xfId="221" applyNumberFormat="1" applyFont="1" applyBorder="1"/>
    <xf numFmtId="37" fontId="15" fillId="0" borderId="0" xfId="221" applyNumberFormat="1" applyFont="1"/>
    <xf numFmtId="2" fontId="43" fillId="0" borderId="21" xfId="0" applyNumberFormat="1" applyFont="1" applyBorder="1" applyAlignment="1">
      <alignment horizontal="left"/>
    </xf>
    <xf numFmtId="0" fontId="0" fillId="0" borderId="22" xfId="0" applyBorder="1"/>
    <xf numFmtId="0" fontId="43" fillId="0" borderId="56" xfId="0" applyFont="1" applyBorder="1" applyAlignment="1">
      <alignment horizontal="center"/>
    </xf>
    <xf numFmtId="0" fontId="43" fillId="0" borderId="8" xfId="0" applyFont="1" applyBorder="1" applyAlignment="1">
      <alignment horizontal="center"/>
    </xf>
    <xf numFmtId="0" fontId="43" fillId="0" borderId="9" xfId="0" applyFont="1" applyBorder="1" applyAlignment="1">
      <alignment horizontal="center"/>
    </xf>
    <xf numFmtId="0" fontId="43" fillId="0" borderId="11" xfId="0" applyFont="1" applyBorder="1" applyAlignment="1">
      <alignment horizontal="center"/>
    </xf>
    <xf numFmtId="0" fontId="43" fillId="0" borderId="57" xfId="0" applyFont="1" applyBorder="1" applyAlignment="1">
      <alignment horizontal="center"/>
    </xf>
    <xf numFmtId="0" fontId="43" fillId="0" borderId="55" xfId="0" applyFont="1" applyBorder="1" applyAlignment="1">
      <alignment horizontal="center"/>
    </xf>
    <xf numFmtId="0" fontId="30" fillId="0" borderId="1" xfId="0" applyFont="1" applyBorder="1"/>
    <xf numFmtId="0" fontId="43" fillId="0" borderId="4" xfId="0" applyFont="1" applyBorder="1" applyAlignment="1">
      <alignment horizontal="center"/>
    </xf>
    <xf numFmtId="0" fontId="43" fillId="0" borderId="7" xfId="0" applyFont="1" applyBorder="1" applyAlignment="1">
      <alignment horizontal="center"/>
    </xf>
    <xf numFmtId="0" fontId="43" fillId="0" borderId="58" xfId="0" applyFont="1" applyBorder="1" applyAlignment="1">
      <alignment horizontal="center"/>
    </xf>
    <xf numFmtId="0" fontId="43" fillId="0" borderId="20" xfId="0" applyFont="1" applyBorder="1" applyAlignment="1">
      <alignment horizontal="centerContinuous"/>
    </xf>
    <xf numFmtId="0" fontId="30" fillId="0" borderId="59" xfId="0" applyFont="1" applyBorder="1" applyAlignment="1">
      <alignment horizontal="centerContinuous"/>
    </xf>
    <xf numFmtId="0" fontId="43" fillId="0" borderId="19" xfId="0" applyFont="1" applyBorder="1" applyAlignment="1">
      <alignment horizontal="centerContinuous"/>
    </xf>
    <xf numFmtId="0" fontId="43" fillId="0" borderId="60" xfId="0" applyFont="1" applyBorder="1" applyAlignment="1">
      <alignment horizontal="center"/>
    </xf>
    <xf numFmtId="0" fontId="43" fillId="0" borderId="61" xfId="0" applyFont="1" applyBorder="1"/>
    <xf numFmtId="0" fontId="16" fillId="0" borderId="0" xfId="0" applyFont="1"/>
    <xf numFmtId="37" fontId="16" fillId="0" borderId="3" xfId="222" applyNumberFormat="1" applyFont="1" applyBorder="1" applyAlignment="1"/>
    <xf numFmtId="37" fontId="16" fillId="0" borderId="0" xfId="221" applyNumberFormat="1" applyFont="1" applyAlignment="1">
      <alignment horizontal="left"/>
    </xf>
    <xf numFmtId="167" fontId="15" fillId="0" borderId="3" xfId="221" applyNumberFormat="1" applyFont="1" applyBorder="1"/>
    <xf numFmtId="37" fontId="15" fillId="0" borderId="3" xfId="221" applyNumberFormat="1" applyFont="1" applyBorder="1"/>
    <xf numFmtId="3" fontId="15" fillId="0" borderId="0" xfId="221" applyNumberFormat="1" applyFont="1"/>
    <xf numFmtId="3" fontId="16" fillId="0" borderId="0" xfId="221" applyNumberFormat="1" applyFont="1"/>
    <xf numFmtId="166" fontId="15" fillId="0" borderId="0" xfId="0" applyNumberFormat="1" applyFont="1" applyAlignment="1">
      <alignment horizontal="center"/>
    </xf>
    <xf numFmtId="10" fontId="15" fillId="0" borderId="0" xfId="221" applyNumberFormat="1" applyFont="1"/>
    <xf numFmtId="37" fontId="22" fillId="0" borderId="0" xfId="221" applyNumberFormat="1" applyFont="1"/>
    <xf numFmtId="37" fontId="50" fillId="0" borderId="0" xfId="221" applyNumberFormat="1" applyFont="1"/>
    <xf numFmtId="2" fontId="16" fillId="0" borderId="0" xfId="0" applyNumberFormat="1" applyFont="1" applyAlignment="1">
      <alignment horizontal="center"/>
    </xf>
    <xf numFmtId="10" fontId="15" fillId="0" borderId="0" xfId="0" applyNumberFormat="1" applyFont="1" applyAlignment="1">
      <alignment horizontal="center"/>
    </xf>
    <xf numFmtId="3" fontId="16" fillId="0" borderId="0" xfId="221" applyNumberFormat="1" applyFont="1" applyAlignment="1">
      <alignment horizontal="center"/>
    </xf>
    <xf numFmtId="39" fontId="16" fillId="0" borderId="0" xfId="221" applyNumberFormat="1" applyFont="1" applyAlignment="1">
      <alignment horizontal="center"/>
    </xf>
    <xf numFmtId="0" fontId="16" fillId="0" borderId="0" xfId="0" applyFont="1" applyAlignment="1">
      <alignment horizontal="centerContinuous"/>
    </xf>
    <xf numFmtId="166" fontId="15" fillId="0" borderId="11" xfId="0" applyNumberFormat="1" applyFont="1" applyBorder="1"/>
    <xf numFmtId="166" fontId="15" fillId="0" borderId="10" xfId="0" applyNumberFormat="1" applyFont="1" applyBorder="1"/>
    <xf numFmtId="166" fontId="15" fillId="0" borderId="9" xfId="0" applyNumberFormat="1" applyFont="1" applyBorder="1"/>
    <xf numFmtId="0" fontId="15" fillId="0" borderId="7" xfId="0" applyFont="1" applyBorder="1" applyAlignment="1">
      <alignment horizontal="center"/>
    </xf>
    <xf numFmtId="166" fontId="15" fillId="0" borderId="4" xfId="0" applyNumberFormat="1" applyFont="1" applyBorder="1"/>
    <xf numFmtId="166" fontId="15" fillId="0" borderId="3" xfId="0" applyNumberFormat="1" applyFont="1" applyBorder="1"/>
    <xf numFmtId="166" fontId="15" fillId="0" borderId="2" xfId="0" applyNumberFormat="1" applyFont="1" applyBorder="1"/>
    <xf numFmtId="166" fontId="15" fillId="0" borderId="62" xfId="0" applyNumberFormat="1" applyFont="1" applyBorder="1"/>
    <xf numFmtId="166" fontId="15" fillId="0" borderId="11" xfId="0" applyNumberFormat="1" applyFont="1" applyBorder="1" applyAlignment="1">
      <alignment horizontal="center"/>
    </xf>
    <xf numFmtId="166" fontId="15" fillId="0" borderId="10" xfId="0" applyNumberFormat="1" applyFont="1" applyBorder="1" applyAlignment="1">
      <alignment horizontal="center"/>
    </xf>
    <xf numFmtId="166" fontId="15" fillId="0" borderId="9" xfId="0" applyNumberFormat="1" applyFont="1" applyBorder="1" applyAlignment="1">
      <alignment horizontal="center"/>
    </xf>
    <xf numFmtId="166" fontId="15" fillId="0" borderId="63" xfId="0" applyNumberFormat="1" applyFont="1" applyBorder="1" applyAlignment="1">
      <alignment horizontal="center"/>
    </xf>
    <xf numFmtId="39" fontId="8" fillId="0" borderId="0" xfId="17" applyNumberFormat="1"/>
    <xf numFmtId="166" fontId="15" fillId="0" borderId="7" xfId="0" applyNumberFormat="1" applyFont="1" applyBorder="1"/>
    <xf numFmtId="166" fontId="15" fillId="0" borderId="64" xfId="0" applyNumberFormat="1" applyFont="1" applyBorder="1"/>
    <xf numFmtId="166" fontId="15" fillId="0" borderId="65" xfId="0" applyNumberFormat="1" applyFont="1" applyBorder="1"/>
    <xf numFmtId="39" fontId="91" fillId="0" borderId="46" xfId="0" applyNumberFormat="1" applyFont="1" applyBorder="1" applyAlignment="1">
      <alignment horizontal="right" vertical="top"/>
    </xf>
    <xf numFmtId="39" fontId="91" fillId="0" borderId="66" xfId="0" applyNumberFormat="1" applyFont="1" applyBorder="1" applyAlignment="1">
      <alignment horizontal="right" vertical="top"/>
    </xf>
    <xf numFmtId="0" fontId="91" fillId="0" borderId="46" xfId="0" applyFont="1" applyBorder="1" applyAlignment="1">
      <alignment horizontal="right" vertical="top"/>
    </xf>
    <xf numFmtId="166" fontId="15" fillId="0" borderId="67" xfId="0" applyNumberFormat="1" applyFont="1" applyBorder="1"/>
    <xf numFmtId="39" fontId="92" fillId="0" borderId="46" xfId="0" applyNumberFormat="1" applyFont="1" applyBorder="1" applyAlignment="1">
      <alignment horizontal="right" vertical="center"/>
    </xf>
    <xf numFmtId="0" fontId="92" fillId="0" borderId="46" xfId="0" applyFont="1" applyBorder="1" applyAlignment="1">
      <alignment horizontal="left" vertical="center"/>
    </xf>
    <xf numFmtId="172" fontId="0" fillId="0" borderId="0" xfId="0" applyNumberFormat="1"/>
    <xf numFmtId="166" fontId="15" fillId="0" borderId="68" xfId="0" applyNumberFormat="1" applyFont="1" applyBorder="1"/>
    <xf numFmtId="0" fontId="92" fillId="0" borderId="46" xfId="0" applyFont="1" applyBorder="1" applyAlignment="1">
      <alignment horizontal="left" vertical="center" wrapText="1"/>
    </xf>
    <xf numFmtId="0" fontId="92" fillId="0" borderId="69" xfId="0" applyFont="1" applyBorder="1" applyAlignment="1">
      <alignment horizontal="left" vertical="center" wrapText="1"/>
    </xf>
    <xf numFmtId="166" fontId="15" fillId="0" borderId="6" xfId="0" applyNumberFormat="1" applyFont="1" applyBorder="1"/>
    <xf numFmtId="0" fontId="100" fillId="0" borderId="46" xfId="0" applyFont="1" applyBorder="1" applyAlignment="1">
      <alignment horizontal="left" vertical="top"/>
    </xf>
    <xf numFmtId="4" fontId="8" fillId="0" borderId="0" xfId="103" applyFont="1" applyBorder="1" applyAlignment="1">
      <alignment vertical="center"/>
    </xf>
    <xf numFmtId="0" fontId="100" fillId="0" borderId="46" xfId="0" applyFont="1" applyBorder="1" applyAlignment="1">
      <alignment horizontal="left" vertical="center"/>
    </xf>
    <xf numFmtId="0" fontId="15" fillId="0" borderId="7" xfId="0" quotePrefix="1" applyFont="1" applyBorder="1" applyAlignment="1">
      <alignment horizontal="center"/>
    </xf>
    <xf numFmtId="10" fontId="0" fillId="0" borderId="0" xfId="7" applyNumberFormat="1" applyFont="1"/>
    <xf numFmtId="0" fontId="15" fillId="0" borderId="70" xfId="0" applyFont="1" applyBorder="1"/>
    <xf numFmtId="166" fontId="15" fillId="0" borderId="71" xfId="0" applyNumberFormat="1" applyFont="1" applyBorder="1"/>
    <xf numFmtId="0" fontId="15" fillId="0" borderId="62" xfId="0" applyFont="1" applyBorder="1" applyAlignment="1">
      <alignment horizontal="center"/>
    </xf>
    <xf numFmtId="0" fontId="15" fillId="0" borderId="69" xfId="0" applyFont="1" applyBorder="1"/>
    <xf numFmtId="1" fontId="16" fillId="0" borderId="72" xfId="0" applyNumberFormat="1" applyFont="1" applyBorder="1" applyAlignment="1">
      <alignment horizontal="center"/>
    </xf>
    <xf numFmtId="1" fontId="16" fillId="0" borderId="73" xfId="0" applyNumberFormat="1" applyFont="1" applyBorder="1" applyAlignment="1">
      <alignment horizontal="center"/>
    </xf>
    <xf numFmtId="1" fontId="16" fillId="0" borderId="74" xfId="0" applyNumberFormat="1" applyFont="1" applyBorder="1" applyAlignment="1">
      <alignment horizontal="center"/>
    </xf>
    <xf numFmtId="1" fontId="16" fillId="0" borderId="65" xfId="0" applyNumberFormat="1" applyFont="1" applyBorder="1" applyAlignment="1">
      <alignment horizontal="center"/>
    </xf>
    <xf numFmtId="0" fontId="16" fillId="0" borderId="10" xfId="0" applyFont="1" applyBorder="1" applyAlignment="1">
      <alignment horizontal="center"/>
    </xf>
    <xf numFmtId="39" fontId="0" fillId="0" borderId="0" xfId="0" applyNumberFormat="1"/>
    <xf numFmtId="166" fontId="15" fillId="0" borderId="7" xfId="0" applyNumberFormat="1" applyFont="1" applyBorder="1" applyAlignment="1">
      <alignment horizontal="center"/>
    </xf>
    <xf numFmtId="166" fontId="15" fillId="0" borderId="75" xfId="0" applyNumberFormat="1" applyFont="1" applyBorder="1" applyAlignment="1">
      <alignment horizontal="center"/>
    </xf>
    <xf numFmtId="166" fontId="15" fillId="0" borderId="67" xfId="0" applyNumberFormat="1" applyFont="1" applyBorder="1" applyAlignment="1">
      <alignment horizontal="center"/>
    </xf>
    <xf numFmtId="0" fontId="8" fillId="0" borderId="0" xfId="0" applyFont="1" applyAlignment="1">
      <alignment horizontal="center"/>
    </xf>
    <xf numFmtId="10" fontId="15" fillId="0" borderId="70" xfId="0" applyNumberFormat="1" applyFont="1" applyBorder="1" applyAlignment="1">
      <alignment horizontal="center"/>
    </xf>
    <xf numFmtId="10" fontId="15" fillId="0" borderId="76" xfId="0" applyNumberFormat="1" applyFont="1" applyBorder="1" applyAlignment="1">
      <alignment horizontal="center"/>
    </xf>
    <xf numFmtId="10" fontId="15" fillId="0" borderId="77" xfId="0" applyNumberFormat="1" applyFont="1" applyBorder="1" applyAlignment="1">
      <alignment horizontal="center"/>
    </xf>
    <xf numFmtId="10" fontId="15" fillId="0" borderId="78" xfId="0" applyNumberFormat="1" applyFont="1" applyBorder="1" applyAlignment="1">
      <alignment horizontal="center"/>
    </xf>
    <xf numFmtId="166" fontId="15" fillId="0" borderId="68" xfId="0" applyNumberFormat="1" applyFont="1" applyBorder="1" applyAlignment="1">
      <alignment horizontal="center"/>
    </xf>
    <xf numFmtId="0" fontId="16" fillId="0" borderId="48" xfId="0" applyFont="1" applyBorder="1" applyAlignment="1">
      <alignment horizontal="centerContinuous"/>
    </xf>
    <xf numFmtId="0" fontId="16" fillId="0" borderId="79" xfId="0" applyFont="1" applyBorder="1" applyAlignment="1">
      <alignment horizontal="centerContinuous"/>
    </xf>
    <xf numFmtId="166" fontId="16" fillId="0" borderId="80" xfId="0" applyNumberFormat="1" applyFont="1" applyBorder="1" applyAlignment="1">
      <alignment horizontal="centerContinuous"/>
    </xf>
    <xf numFmtId="0" fontId="16" fillId="0" borderId="81" xfId="0" applyFont="1" applyBorder="1" applyAlignment="1">
      <alignment horizontal="centerContinuous"/>
    </xf>
    <xf numFmtId="0" fontId="16" fillId="0" borderId="82" xfId="0" applyFont="1" applyBorder="1" applyAlignment="1">
      <alignment horizontal="centerContinuous"/>
    </xf>
    <xf numFmtId="172" fontId="0" fillId="0" borderId="10" xfId="0" applyNumberFormat="1" applyBorder="1"/>
    <xf numFmtId="0" fontId="68" fillId="0" borderId="0" xfId="0" applyFont="1" applyAlignment="1">
      <alignment horizontal="center"/>
    </xf>
    <xf numFmtId="166" fontId="15" fillId="0" borderId="25" xfId="0" applyNumberFormat="1" applyFont="1" applyBorder="1"/>
    <xf numFmtId="166" fontId="15" fillId="0" borderId="23" xfId="0" applyNumberFormat="1" applyFont="1" applyBorder="1"/>
    <xf numFmtId="166" fontId="15" fillId="0" borderId="83" xfId="0" applyNumberFormat="1" applyFont="1" applyBorder="1"/>
    <xf numFmtId="166" fontId="15" fillId="0" borderId="84" xfId="0" applyNumberFormat="1" applyFont="1" applyBorder="1"/>
    <xf numFmtId="166" fontId="15" fillId="0" borderId="85" xfId="0" applyNumberFormat="1" applyFont="1" applyBorder="1"/>
    <xf numFmtId="166" fontId="15" fillId="0" borderId="86" xfId="0" applyNumberFormat="1" applyFont="1" applyBorder="1" applyAlignment="1">
      <alignment horizontal="center"/>
    </xf>
    <xf numFmtId="166" fontId="15" fillId="0" borderId="87" xfId="0" applyNumberFormat="1" applyFont="1" applyBorder="1" applyAlignment="1">
      <alignment horizontal="center"/>
    </xf>
    <xf numFmtId="166" fontId="15" fillId="0" borderId="83" xfId="0" applyNumberFormat="1" applyFont="1" applyBorder="1" applyAlignment="1">
      <alignment horizontal="center"/>
    </xf>
    <xf numFmtId="184" fontId="0" fillId="0" borderId="15" xfId="0" applyNumberFormat="1" applyBorder="1"/>
    <xf numFmtId="166" fontId="15" fillId="0" borderId="86" xfId="0" applyNumberFormat="1" applyFont="1" applyBorder="1"/>
    <xf numFmtId="166" fontId="15" fillId="0" borderId="87" xfId="0" applyNumberFormat="1" applyFont="1" applyBorder="1"/>
    <xf numFmtId="184" fontId="68" fillId="0" borderId="0" xfId="0" applyNumberFormat="1" applyFont="1"/>
    <xf numFmtId="10" fontId="0" fillId="0" borderId="0" xfId="0" applyNumberFormat="1"/>
    <xf numFmtId="7" fontId="8" fillId="0" borderId="51" xfId="1" applyNumberFormat="1" applyBorder="1"/>
    <xf numFmtId="166" fontId="15" fillId="0" borderId="22" xfId="0" applyNumberFormat="1" applyFont="1" applyBorder="1"/>
    <xf numFmtId="166" fontId="15" fillId="0" borderId="21" xfId="0" applyNumberFormat="1" applyFont="1" applyBorder="1"/>
    <xf numFmtId="7" fontId="68" fillId="0" borderId="0" xfId="1" applyNumberFormat="1" applyFont="1"/>
    <xf numFmtId="170" fontId="8" fillId="0" borderId="0" xfId="1" applyNumberFormat="1"/>
    <xf numFmtId="0" fontId="68" fillId="0" borderId="10" xfId="0" applyFont="1" applyBorder="1"/>
    <xf numFmtId="7" fontId="68" fillId="0" borderId="41" xfId="1" applyNumberFormat="1" applyFont="1" applyBorder="1" applyAlignment="1">
      <alignment horizontal="right"/>
    </xf>
    <xf numFmtId="0" fontId="68" fillId="0" borderId="0" xfId="0" applyFont="1" applyAlignment="1">
      <alignment wrapText="1"/>
    </xf>
    <xf numFmtId="7" fontId="8" fillId="0" borderId="0" xfId="1" applyNumberFormat="1"/>
    <xf numFmtId="0" fontId="0" fillId="0" borderId="0" xfId="0" applyAlignment="1">
      <alignment horizontal="left" vertical="top" wrapText="1"/>
    </xf>
    <xf numFmtId="0" fontId="0" fillId="0" borderId="0" xfId="0" applyAlignment="1">
      <alignment vertical="center"/>
    </xf>
    <xf numFmtId="171" fontId="0" fillId="0" borderId="3" xfId="0" applyNumberFormat="1" applyBorder="1"/>
    <xf numFmtId="7" fontId="8" fillId="0" borderId="24" xfId="1" applyNumberFormat="1" applyBorder="1"/>
    <xf numFmtId="9" fontId="0" fillId="0" borderId="0" xfId="0" applyNumberFormat="1"/>
    <xf numFmtId="43" fontId="8" fillId="0" borderId="39" xfId="1" applyFill="1" applyBorder="1"/>
    <xf numFmtId="171" fontId="8" fillId="0" borderId="39" xfId="1" applyNumberFormat="1" applyFill="1" applyBorder="1"/>
    <xf numFmtId="14" fontId="0" fillId="0" borderId="39" xfId="0" applyNumberFormat="1" applyBorder="1"/>
    <xf numFmtId="39" fontId="15" fillId="0" borderId="88" xfId="17" applyNumberFormat="1" applyFont="1" applyBorder="1"/>
    <xf numFmtId="171" fontId="0" fillId="0" borderId="12" xfId="0" applyNumberFormat="1" applyBorder="1"/>
    <xf numFmtId="171" fontId="0" fillId="0" borderId="38" xfId="0" applyNumberFormat="1" applyBorder="1"/>
    <xf numFmtId="171" fontId="0" fillId="0" borderId="0" xfId="66" applyNumberFormat="1" applyFont="1"/>
    <xf numFmtId="0" fontId="15" fillId="0" borderId="71" xfId="0" applyFont="1" applyBorder="1"/>
    <xf numFmtId="166" fontId="15" fillId="0" borderId="84" xfId="0" applyNumberFormat="1" applyFont="1" applyBorder="1" applyAlignment="1">
      <alignment horizontal="center"/>
    </xf>
    <xf numFmtId="166" fontId="15" fillId="0" borderId="85" xfId="0" applyNumberFormat="1" applyFont="1" applyBorder="1" applyAlignment="1">
      <alignment horizontal="center"/>
    </xf>
    <xf numFmtId="1" fontId="16" fillId="0" borderId="89" xfId="0" applyNumberFormat="1" applyFont="1" applyBorder="1" applyAlignment="1">
      <alignment horizontal="center"/>
    </xf>
    <xf numFmtId="1" fontId="16" fillId="0" borderId="83" xfId="0" applyNumberFormat="1" applyFont="1" applyBorder="1" applyAlignment="1">
      <alignment horizontal="center"/>
    </xf>
    <xf numFmtId="1" fontId="16" fillId="0" borderId="90" xfId="0" applyNumberFormat="1" applyFont="1" applyBorder="1" applyAlignment="1">
      <alignment horizontal="center"/>
    </xf>
    <xf numFmtId="166" fontId="15" fillId="0" borderId="91" xfId="0" applyNumberFormat="1" applyFont="1" applyBorder="1" applyAlignment="1">
      <alignment horizontal="center"/>
    </xf>
    <xf numFmtId="166" fontId="15" fillId="0" borderId="92" xfId="0" applyNumberFormat="1" applyFont="1" applyBorder="1" applyAlignment="1">
      <alignment horizontal="center"/>
    </xf>
    <xf numFmtId="166" fontId="15" fillId="0" borderId="64" xfId="0" applyNumberFormat="1" applyFont="1" applyBorder="1" applyAlignment="1">
      <alignment horizontal="center"/>
    </xf>
    <xf numFmtId="10" fontId="15" fillId="0" borderId="93" xfId="0" applyNumberFormat="1" applyFont="1" applyBorder="1" applyAlignment="1">
      <alignment horizontal="center"/>
    </xf>
    <xf numFmtId="10" fontId="15" fillId="0" borderId="94" xfId="0" applyNumberFormat="1" applyFont="1" applyBorder="1" applyAlignment="1">
      <alignment horizontal="center"/>
    </xf>
    <xf numFmtId="166" fontId="15" fillId="0" borderId="71" xfId="0" applyNumberFormat="1" applyFont="1" applyBorder="1" applyAlignment="1">
      <alignment horizontal="center"/>
    </xf>
    <xf numFmtId="0" fontId="16" fillId="0" borderId="97" xfId="0" applyFont="1" applyBorder="1" applyAlignment="1">
      <alignment horizontal="centerContinuous"/>
    </xf>
    <xf numFmtId="0" fontId="0" fillId="0" borderId="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xf>
    <xf numFmtId="43" fontId="68" fillId="10" borderId="39" xfId="1" applyFont="1" applyFill="1" applyBorder="1" applyAlignment="1">
      <alignment horizontal="center"/>
    </xf>
    <xf numFmtId="171" fontId="68" fillId="10" borderId="39" xfId="1" applyNumberFormat="1" applyFont="1" applyFill="1" applyBorder="1" applyAlignment="1">
      <alignment horizontal="center"/>
    </xf>
    <xf numFmtId="0" fontId="68" fillId="10" borderId="39" xfId="0" applyFont="1" applyFill="1" applyBorder="1" applyAlignment="1">
      <alignment horizontal="center"/>
    </xf>
    <xf numFmtId="171" fontId="8" fillId="0" borderId="0" xfId="1" applyNumberFormat="1"/>
    <xf numFmtId="0" fontId="102" fillId="0" borderId="0" xfId="0" applyFont="1"/>
    <xf numFmtId="0" fontId="102" fillId="0" borderId="0" xfId="0" applyFont="1" applyAlignment="1">
      <alignment horizontal="center"/>
    </xf>
    <xf numFmtId="171" fontId="80" fillId="7" borderId="3" xfId="0" applyNumberFormat="1" applyFont="1" applyFill="1" applyBorder="1"/>
    <xf numFmtId="37" fontId="106" fillId="0" borderId="0" xfId="0" applyNumberFormat="1" applyFont="1" applyAlignment="1">
      <alignment shrinkToFit="1"/>
    </xf>
    <xf numFmtId="3" fontId="12" fillId="0" borderId="41" xfId="1" applyNumberFormat="1" applyFont="1" applyBorder="1" applyAlignment="1">
      <alignment horizontal="right"/>
    </xf>
    <xf numFmtId="171" fontId="0" fillId="0" borderId="7" xfId="1" applyNumberFormat="1" applyFont="1" applyBorder="1"/>
    <xf numFmtId="171" fontId="0" fillId="0" borderId="0" xfId="1" applyNumberFormat="1" applyFont="1" applyBorder="1"/>
    <xf numFmtId="171" fontId="0" fillId="0" borderId="6" xfId="1" applyNumberFormat="1" applyFont="1" applyBorder="1"/>
    <xf numFmtId="171" fontId="0" fillId="0" borderId="0" xfId="1" applyNumberFormat="1" applyFont="1" applyAlignment="1">
      <alignment horizontal="center"/>
    </xf>
    <xf numFmtId="171" fontId="0" fillId="0" borderId="0" xfId="1" applyNumberFormat="1" applyFont="1" applyFill="1" applyBorder="1"/>
    <xf numFmtId="171" fontId="0" fillId="0" borderId="11" xfId="1" applyNumberFormat="1" applyFont="1" applyFill="1" applyBorder="1"/>
    <xf numFmtId="171" fontId="0" fillId="0" borderId="10" xfId="1" applyNumberFormat="1" applyFont="1" applyFill="1" applyBorder="1"/>
    <xf numFmtId="171" fontId="0" fillId="0" borderId="9" xfId="1" applyNumberFormat="1" applyFont="1" applyFill="1" applyBorder="1"/>
    <xf numFmtId="171" fontId="0" fillId="0" borderId="7" xfId="1" applyNumberFormat="1" applyFont="1" applyFill="1" applyBorder="1"/>
    <xf numFmtId="171" fontId="0" fillId="0" borderId="6" xfId="1" applyNumberFormat="1" applyFont="1" applyFill="1" applyBorder="1"/>
    <xf numFmtId="0" fontId="53" fillId="0" borderId="0" xfId="17" applyFont="1" applyAlignment="1">
      <alignment horizontal="left"/>
    </xf>
    <xf numFmtId="0" fontId="68" fillId="0" borderId="0" xfId="17" applyFont="1" applyAlignment="1">
      <alignment horizontal="left"/>
    </xf>
    <xf numFmtId="0" fontId="0" fillId="4" borderId="0" xfId="0" applyFill="1"/>
    <xf numFmtId="171" fontId="0" fillId="4" borderId="0" xfId="21" applyNumberFormat="1" applyFont="1" applyFill="1"/>
    <xf numFmtId="171" fontId="68" fillId="4" borderId="0" xfId="21" applyNumberFormat="1" applyFont="1" applyFill="1"/>
    <xf numFmtId="0" fontId="80" fillId="0" borderId="0" xfId="0" applyFont="1" applyAlignment="1">
      <alignment horizontal="center" wrapText="1"/>
    </xf>
    <xf numFmtId="171" fontId="80" fillId="0" borderId="0" xfId="1" applyNumberFormat="1" applyFont="1" applyAlignment="1">
      <alignment horizontal="center" wrapText="1"/>
    </xf>
    <xf numFmtId="185" fontId="0" fillId="0" borderId="0" xfId="0" applyNumberFormat="1"/>
    <xf numFmtId="4" fontId="0" fillId="0" borderId="0" xfId="0" applyNumberFormat="1"/>
    <xf numFmtId="2" fontId="68" fillId="0" borderId="0" xfId="17" applyNumberFormat="1" applyFont="1" applyAlignment="1">
      <alignment horizontal="left"/>
    </xf>
    <xf numFmtId="0" fontId="68" fillId="0" borderId="0" xfId="17" applyFont="1"/>
    <xf numFmtId="37" fontId="68" fillId="4" borderId="0" xfId="21" applyNumberFormat="1" applyFont="1" applyFill="1"/>
    <xf numFmtId="171" fontId="0" fillId="0" borderId="0" xfId="21" applyNumberFormat="1" applyFont="1"/>
    <xf numFmtId="0" fontId="80" fillId="0" borderId="17" xfId="0" applyFont="1" applyBorder="1" applyAlignment="1">
      <alignment horizontal="center" wrapText="1"/>
    </xf>
    <xf numFmtId="0" fontId="80" fillId="0" borderId="0" xfId="0" applyFont="1" applyAlignment="1">
      <alignment horizontal="center" vertical="center" wrapText="1"/>
    </xf>
    <xf numFmtId="0" fontId="0" fillId="0" borderId="6" xfId="0" applyBorder="1" applyAlignment="1">
      <alignment horizontal="center"/>
    </xf>
    <xf numFmtId="0" fontId="68" fillId="0" borderId="0" xfId="0" applyFont="1" applyAlignment="1">
      <alignment horizontal="right"/>
    </xf>
    <xf numFmtId="0" fontId="80" fillId="0" borderId="6" xfId="0" applyFont="1" applyBorder="1" applyAlignment="1">
      <alignment horizontal="center" wrapText="1"/>
    </xf>
    <xf numFmtId="0" fontId="68" fillId="4" borderId="0" xfId="0" applyFont="1" applyFill="1" applyAlignment="1">
      <alignment horizontal="center"/>
    </xf>
    <xf numFmtId="171" fontId="68" fillId="4" borderId="0" xfId="21" applyNumberFormat="1" applyFont="1" applyFill="1" applyAlignment="1">
      <alignment horizontal="center"/>
    </xf>
    <xf numFmtId="0" fontId="108" fillId="4" borderId="0" xfId="0" applyFont="1" applyFill="1" applyAlignment="1">
      <alignment horizontal="center"/>
    </xf>
    <xf numFmtId="171" fontId="108" fillId="4" borderId="0" xfId="21" applyNumberFormat="1" applyFont="1" applyFill="1" applyAlignment="1">
      <alignment horizontal="center"/>
    </xf>
    <xf numFmtId="17" fontId="0" fillId="0" borderId="0" xfId="0" applyNumberFormat="1"/>
    <xf numFmtId="164" fontId="0" fillId="0" borderId="0" xfId="0" applyNumberFormat="1"/>
    <xf numFmtId="164" fontId="0" fillId="0" borderId="6" xfId="0" applyNumberFormat="1" applyBorder="1"/>
    <xf numFmtId="164" fontId="0" fillId="0" borderId="0" xfId="1" applyNumberFormat="1" applyFont="1"/>
    <xf numFmtId="38" fontId="8" fillId="11" borderId="0" xfId="21" applyNumberFormat="1" applyFont="1" applyFill="1"/>
    <xf numFmtId="38" fontId="0" fillId="11" borderId="0" xfId="0" applyNumberFormat="1" applyFill="1"/>
    <xf numFmtId="38" fontId="0" fillId="11" borderId="0" xfId="21" applyNumberFormat="1" applyFont="1" applyFill="1"/>
    <xf numFmtId="10" fontId="0" fillId="4" borderId="0" xfId="77" applyNumberFormat="1" applyFont="1" applyFill="1"/>
    <xf numFmtId="10" fontId="0" fillId="11" borderId="0" xfId="77" applyNumberFormat="1" applyFont="1" applyFill="1"/>
    <xf numFmtId="10" fontId="0" fillId="4" borderId="0" xfId="0" applyNumberFormat="1" applyFill="1"/>
    <xf numFmtId="38" fontId="0" fillId="4" borderId="0" xfId="21" applyNumberFormat="1" applyFont="1" applyFill="1"/>
    <xf numFmtId="164" fontId="0" fillId="5" borderId="1" xfId="0" applyNumberFormat="1" applyFill="1" applyBorder="1"/>
    <xf numFmtId="171" fontId="0" fillId="0" borderId="51" xfId="1" applyNumberFormat="1" applyFont="1" applyBorder="1"/>
    <xf numFmtId="164" fontId="0" fillId="5" borderId="5" xfId="0" applyNumberFormat="1" applyFill="1" applyBorder="1"/>
    <xf numFmtId="38" fontId="68" fillId="4" borderId="0" xfId="21" applyNumberFormat="1" applyFont="1" applyFill="1"/>
    <xf numFmtId="40" fontId="68" fillId="4" borderId="0" xfId="21" applyNumberFormat="1" applyFont="1" applyFill="1"/>
    <xf numFmtId="40" fontId="0" fillId="4" borderId="0" xfId="0" applyNumberFormat="1" applyFill="1"/>
    <xf numFmtId="40" fontId="0" fillId="4" borderId="0" xfId="21" applyNumberFormat="1" applyFont="1" applyFill="1"/>
    <xf numFmtId="171" fontId="80" fillId="0" borderId="98" xfId="1" applyNumberFormat="1" applyFont="1" applyBorder="1"/>
    <xf numFmtId="164" fontId="0" fillId="5" borderId="8" xfId="0" applyNumberFormat="1" applyFill="1" applyBorder="1"/>
    <xf numFmtId="38" fontId="0" fillId="4" borderId="0" xfId="0" applyNumberFormat="1" applyFill="1"/>
    <xf numFmtId="0" fontId="80" fillId="0" borderId="0" xfId="0" applyFont="1"/>
    <xf numFmtId="10" fontId="0" fillId="4" borderId="0" xfId="77" applyNumberFormat="1" applyFont="1" applyFill="1" applyAlignment="1">
      <alignment horizontal="right"/>
    </xf>
    <xf numFmtId="38" fontId="0" fillId="11" borderId="0" xfId="21" applyNumberFormat="1" applyFont="1" applyFill="1" applyBorder="1"/>
    <xf numFmtId="38" fontId="0" fillId="4" borderId="0" xfId="21" applyNumberFormat="1" applyFont="1" applyFill="1" applyBorder="1"/>
    <xf numFmtId="38" fontId="68" fillId="4" borderId="12" xfId="21" applyNumberFormat="1" applyFont="1" applyFill="1" applyBorder="1"/>
    <xf numFmtId="171" fontId="68" fillId="0" borderId="0" xfId="21" applyNumberFormat="1" applyFont="1"/>
    <xf numFmtId="10" fontId="0" fillId="0" borderId="0" xfId="77" applyNumberFormat="1" applyFont="1"/>
    <xf numFmtId="171" fontId="68" fillId="0" borderId="98" xfId="21" applyNumberFormat="1" applyFont="1" applyBorder="1"/>
    <xf numFmtId="39" fontId="15" fillId="0" borderId="0" xfId="103" applyNumberFormat="1" applyFont="1"/>
    <xf numFmtId="0" fontId="56" fillId="0" borderId="0" xfId="0" applyFont="1" applyAlignment="1">
      <alignment horizontal="right"/>
    </xf>
    <xf numFmtId="39" fontId="15" fillId="0" borderId="0" xfId="103" applyNumberFormat="1" applyFont="1" applyAlignment="1"/>
    <xf numFmtId="37" fontId="15" fillId="0" borderId="0" xfId="103" applyNumberFormat="1" applyFont="1"/>
    <xf numFmtId="0" fontId="109" fillId="0" borderId="0" xfId="0" applyFont="1" applyAlignment="1">
      <alignment horizontal="right"/>
    </xf>
    <xf numFmtId="0" fontId="110" fillId="0" borderId="0" xfId="0" applyFont="1" applyAlignment="1">
      <alignment horizontal="center"/>
    </xf>
    <xf numFmtId="37" fontId="111" fillId="0" borderId="41" xfId="103" applyNumberFormat="1" applyFont="1" applyBorder="1" applyAlignment="1"/>
    <xf numFmtId="37" fontId="111" fillId="0" borderId="0" xfId="103" applyNumberFormat="1" applyFont="1" applyBorder="1" applyAlignment="1"/>
    <xf numFmtId="37" fontId="111" fillId="0" borderId="41" xfId="103" applyNumberFormat="1" applyFont="1" applyBorder="1" applyAlignment="1">
      <alignment horizontal="right"/>
    </xf>
    <xf numFmtId="39" fontId="111" fillId="0" borderId="0" xfId="103" applyNumberFormat="1" applyFont="1" applyBorder="1" applyAlignment="1"/>
    <xf numFmtId="0" fontId="16" fillId="0" borderId="0" xfId="0" applyFont="1" applyAlignment="1">
      <alignment horizontal="right"/>
    </xf>
    <xf numFmtId="37" fontId="15" fillId="0" borderId="0" xfId="103" applyNumberFormat="1" applyFont="1" applyAlignment="1">
      <alignment horizontal="right"/>
    </xf>
    <xf numFmtId="39" fontId="16" fillId="0" borderId="0" xfId="103" applyNumberFormat="1" applyFont="1"/>
    <xf numFmtId="37" fontId="16" fillId="0" borderId="0" xfId="103" applyNumberFormat="1" applyFont="1" applyBorder="1"/>
    <xf numFmtId="37" fontId="15" fillId="0" borderId="51" xfId="103" applyNumberFormat="1" applyFont="1" applyBorder="1" applyAlignment="1">
      <alignment horizontal="right"/>
    </xf>
    <xf numFmtId="37" fontId="15" fillId="0" borderId="10" xfId="103" applyNumberFormat="1" applyFont="1" applyBorder="1"/>
    <xf numFmtId="171" fontId="21" fillId="0" borderId="0" xfId="0" applyNumberFormat="1" applyFont="1"/>
    <xf numFmtId="39" fontId="16" fillId="0" borderId="0" xfId="103" applyNumberFormat="1" applyFont="1" applyBorder="1"/>
    <xf numFmtId="37" fontId="112" fillId="0" borderId="0" xfId="103" applyNumberFormat="1" applyFont="1"/>
    <xf numFmtId="0" fontId="110" fillId="0" borderId="0" xfId="0" applyFont="1"/>
    <xf numFmtId="37" fontId="15" fillId="0" borderId="3" xfId="103" applyNumberFormat="1" applyFont="1" applyBorder="1" applyAlignment="1">
      <alignment horizontal="right"/>
    </xf>
    <xf numFmtId="39" fontId="15" fillId="0" borderId="15" xfId="103" applyNumberFormat="1" applyFont="1" applyBorder="1"/>
    <xf numFmtId="37" fontId="15" fillId="0" borderId="3" xfId="103" applyNumberFormat="1" applyFont="1" applyBorder="1"/>
    <xf numFmtId="39" fontId="113" fillId="0" borderId="0" xfId="103" applyNumberFormat="1" applyFont="1" applyFill="1"/>
    <xf numFmtId="37" fontId="113" fillId="0" borderId="0" xfId="103" applyNumberFormat="1" applyFont="1" applyFill="1"/>
    <xf numFmtId="39" fontId="15" fillId="0" borderId="0" xfId="103" applyNumberFormat="1" applyFont="1" applyFill="1"/>
    <xf numFmtId="37" fontId="15" fillId="0" borderId="0" xfId="103" applyNumberFormat="1" applyFont="1" applyFill="1"/>
    <xf numFmtId="0" fontId="16" fillId="0" borderId="0" xfId="0" applyFont="1" applyAlignment="1">
      <alignment horizontal="left"/>
    </xf>
    <xf numFmtId="37" fontId="15" fillId="0" borderId="24" xfId="103" applyNumberFormat="1" applyFont="1" applyBorder="1" applyAlignment="1">
      <alignment horizontal="right"/>
    </xf>
    <xf numFmtId="37" fontId="15" fillId="0" borderId="0" xfId="103" applyNumberFormat="1" applyFont="1" applyBorder="1"/>
    <xf numFmtId="37" fontId="15" fillId="0" borderId="15" xfId="103" applyNumberFormat="1" applyFont="1" applyBorder="1" applyAlignment="1">
      <alignment horizontal="right"/>
    </xf>
    <xf numFmtId="37" fontId="15" fillId="0" borderId="15" xfId="103" applyNumberFormat="1" applyFont="1" applyBorder="1"/>
    <xf numFmtId="37" fontId="15" fillId="0" borderId="10" xfId="103" applyNumberFormat="1" applyFont="1" applyBorder="1" applyAlignment="1"/>
    <xf numFmtId="39" fontId="16" fillId="0" borderId="10" xfId="103" applyNumberFormat="1" applyFont="1" applyBorder="1" applyAlignment="1">
      <alignment horizontal="center"/>
    </xf>
    <xf numFmtId="0" fontId="114" fillId="0" borderId="0" xfId="0" applyFont="1"/>
    <xf numFmtId="0" fontId="10" fillId="0" borderId="0" xfId="0" applyFont="1" applyAlignment="1">
      <alignment horizontal="left"/>
    </xf>
    <xf numFmtId="4" fontId="10" fillId="0" borderId="0" xfId="0" applyNumberFormat="1" applyFont="1"/>
    <xf numFmtId="0" fontId="12" fillId="0" borderId="0" xfId="0" applyFont="1" applyAlignment="1">
      <alignment horizontal="center"/>
    </xf>
    <xf numFmtId="4" fontId="13" fillId="0" borderId="0" xfId="0" applyNumberFormat="1" applyFont="1"/>
    <xf numFmtId="0" fontId="115" fillId="0" borderId="0" xfId="0" applyFont="1" applyAlignment="1">
      <alignment horizontal="center"/>
    </xf>
    <xf numFmtId="0" fontId="13" fillId="0" borderId="0" xfId="0" applyFont="1" applyAlignment="1">
      <alignment horizontal="center"/>
    </xf>
    <xf numFmtId="0" fontId="115" fillId="0" borderId="0" xfId="0" applyFont="1"/>
    <xf numFmtId="0" fontId="13" fillId="0" borderId="0" xfId="0" applyFont="1"/>
    <xf numFmtId="0" fontId="114" fillId="0" borderId="0" xfId="0" applyFont="1" applyAlignment="1">
      <alignment horizontal="center"/>
    </xf>
    <xf numFmtId="37" fontId="10" fillId="0" borderId="0" xfId="103" applyNumberFormat="1" applyFont="1" applyAlignment="1">
      <alignment horizontal="right"/>
    </xf>
    <xf numFmtId="37" fontId="114" fillId="0" borderId="0" xfId="103" applyNumberFormat="1" applyFont="1" applyAlignment="1">
      <alignment horizontal="right"/>
    </xf>
    <xf numFmtId="37" fontId="10" fillId="0" borderId="0" xfId="103" applyNumberFormat="1" applyFont="1" applyBorder="1" applyAlignment="1">
      <alignment horizontal="right"/>
    </xf>
    <xf numFmtId="37" fontId="114" fillId="0" borderId="0" xfId="103" applyNumberFormat="1" applyFont="1" applyBorder="1" applyAlignment="1">
      <alignment horizontal="right"/>
    </xf>
    <xf numFmtId="37" fontId="16" fillId="0" borderId="41" xfId="45" applyNumberFormat="1" applyFont="1" applyBorder="1" applyAlignment="1"/>
    <xf numFmtId="37" fontId="10" fillId="0" borderId="15" xfId="103" applyNumberFormat="1" applyFont="1" applyBorder="1" applyAlignment="1">
      <alignment horizontal="right"/>
    </xf>
    <xf numFmtId="37" fontId="114" fillId="0" borderId="15" xfId="103" applyNumberFormat="1" applyFont="1" applyBorder="1" applyAlignment="1">
      <alignment horizontal="right"/>
    </xf>
    <xf numFmtId="37" fontId="116" fillId="0" borderId="0" xfId="103" applyNumberFormat="1" applyFont="1" applyFill="1" applyAlignment="1">
      <alignment horizontal="right"/>
    </xf>
    <xf numFmtId="37" fontId="114" fillId="0" borderId="0" xfId="103" applyNumberFormat="1" applyFont="1" applyFill="1" applyAlignment="1">
      <alignment horizontal="right"/>
    </xf>
    <xf numFmtId="37" fontId="10" fillId="0" borderId="0" xfId="103" applyNumberFormat="1" applyFont="1" applyFill="1" applyAlignment="1">
      <alignment horizontal="right"/>
    </xf>
    <xf numFmtId="37" fontId="10" fillId="0" borderId="3" xfId="103" applyNumberFormat="1" applyFont="1" applyFill="1" applyBorder="1" applyAlignment="1">
      <alignment horizontal="right"/>
    </xf>
    <xf numFmtId="37" fontId="114" fillId="0" borderId="3" xfId="103" applyNumberFormat="1" applyFont="1" applyFill="1" applyBorder="1" applyAlignment="1">
      <alignment horizontal="right"/>
    </xf>
    <xf numFmtId="37" fontId="117" fillId="0" borderId="0" xfId="103" applyNumberFormat="1" applyFont="1" applyFill="1" applyAlignment="1">
      <alignment horizontal="right"/>
    </xf>
    <xf numFmtId="37" fontId="114" fillId="0" borderId="0" xfId="0" applyNumberFormat="1" applyFont="1" applyAlignment="1">
      <alignment horizontal="center"/>
    </xf>
    <xf numFmtId="0" fontId="12" fillId="0" borderId="10" xfId="0" applyFont="1" applyBorder="1" applyAlignment="1">
      <alignment horizontal="center"/>
    </xf>
    <xf numFmtId="37" fontId="10" fillId="0" borderId="0" xfId="103" applyNumberFormat="1" applyFont="1"/>
    <xf numFmtId="0" fontId="13" fillId="0" borderId="0" xfId="0" quotePrefix="1" applyFont="1" applyAlignment="1">
      <alignment horizontal="center"/>
    </xf>
    <xf numFmtId="3" fontId="10" fillId="0" borderId="39" xfId="0" applyNumberFormat="1" applyFont="1" applyBorder="1" applyAlignment="1">
      <alignment horizontal="center"/>
    </xf>
    <xf numFmtId="0" fontId="10" fillId="0" borderId="13" xfId="0" applyFont="1" applyBorder="1" applyAlignment="1">
      <alignment horizontal="center"/>
    </xf>
    <xf numFmtId="0" fontId="114" fillId="0" borderId="13" xfId="0" applyFont="1" applyBorder="1" applyAlignment="1">
      <alignment horizontal="center"/>
    </xf>
    <xf numFmtId="0" fontId="10" fillId="0" borderId="39" xfId="0" applyFont="1" applyBorder="1" applyAlignment="1">
      <alignment horizontal="center"/>
    </xf>
    <xf numFmtId="0" fontId="114" fillId="0" borderId="39" xfId="0" applyFont="1" applyBorder="1" applyAlignment="1">
      <alignment horizontal="center"/>
    </xf>
    <xf numFmtId="4" fontId="8" fillId="0" borderId="25" xfId="103" applyFont="1" applyBorder="1"/>
    <xf numFmtId="0" fontId="8" fillId="0" borderId="23" xfId="17" applyBorder="1"/>
    <xf numFmtId="4" fontId="8" fillId="0" borderId="22" xfId="103" applyFont="1" applyBorder="1"/>
    <xf numFmtId="0" fontId="8" fillId="0" borderId="21" xfId="17" applyBorder="1"/>
    <xf numFmtId="4" fontId="118" fillId="0" borderId="20" xfId="103" applyFont="1" applyBorder="1"/>
    <xf numFmtId="0" fontId="8" fillId="0" borderId="18" xfId="17" applyBorder="1"/>
    <xf numFmtId="4" fontId="68" fillId="0" borderId="16" xfId="21" applyNumberFormat="1" applyFont="1" applyBorder="1"/>
    <xf numFmtId="43" fontId="8" fillId="0" borderId="0" xfId="21" applyFont="1"/>
    <xf numFmtId="0" fontId="114" fillId="0" borderId="0" xfId="0" applyFont="1" applyAlignment="1">
      <alignment horizontal="left"/>
    </xf>
    <xf numFmtId="4" fontId="8" fillId="0" borderId="0" xfId="21" applyNumberFormat="1" applyFont="1" applyBorder="1"/>
    <xf numFmtId="43" fontId="119" fillId="0" borderId="0" xfId="21" applyFont="1" applyFill="1"/>
    <xf numFmtId="4" fontId="68" fillId="0" borderId="0" xfId="21" applyNumberFormat="1" applyFont="1" applyBorder="1"/>
    <xf numFmtId="0" fontId="68" fillId="0" borderId="0" xfId="17" applyFont="1" applyAlignment="1">
      <alignment horizontal="center"/>
    </xf>
    <xf numFmtId="4" fontId="119" fillId="0" borderId="0" xfId="103" applyFont="1" applyFill="1"/>
    <xf numFmtId="39" fontId="68" fillId="0" borderId="0" xfId="17" applyNumberFormat="1" applyFont="1"/>
    <xf numFmtId="39" fontId="68" fillId="0" borderId="16" xfId="21" applyNumberFormat="1" applyFont="1" applyBorder="1"/>
    <xf numFmtId="0" fontId="120" fillId="0" borderId="0" xfId="17" applyFont="1"/>
    <xf numFmtId="4" fontId="8" fillId="0" borderId="0" xfId="103" applyFont="1" applyAlignment="1">
      <alignment horizontal="right"/>
    </xf>
    <xf numFmtId="4" fontId="8" fillId="0" borderId="0" xfId="103" applyFont="1" applyAlignment="1">
      <alignment horizontal="left"/>
    </xf>
    <xf numFmtId="4" fontId="8" fillId="0" borderId="51" xfId="103" applyFont="1" applyBorder="1" applyAlignment="1">
      <alignment horizontal="right"/>
    </xf>
    <xf numFmtId="49" fontId="8" fillId="0" borderId="0" xfId="103" applyNumberFormat="1" applyFont="1" applyAlignment="1">
      <alignment horizontal="left"/>
    </xf>
    <xf numFmtId="4" fontId="68" fillId="0" borderId="0" xfId="103" applyFont="1" applyAlignment="1">
      <alignment horizontal="center"/>
    </xf>
    <xf numFmtId="4" fontId="8" fillId="0" borderId="0" xfId="103" applyFont="1" applyBorder="1" applyAlignment="1">
      <alignment horizontal="right"/>
    </xf>
    <xf numFmtId="3" fontId="68" fillId="0" borderId="16" xfId="103" applyNumberFormat="1" applyFont="1" applyBorder="1" applyAlignment="1">
      <alignment horizontal="right"/>
    </xf>
    <xf numFmtId="4" fontId="68" fillId="0" borderId="16" xfId="103" applyFont="1" applyBorder="1" applyAlignment="1">
      <alignment horizontal="left"/>
    </xf>
    <xf numFmtId="3" fontId="8" fillId="0" borderId="0" xfId="103" applyNumberFormat="1" applyFont="1" applyBorder="1" applyAlignment="1">
      <alignment horizontal="right"/>
    </xf>
    <xf numFmtId="4" fontId="8" fillId="0" borderId="0" xfId="103" applyFont="1" applyBorder="1" applyAlignment="1">
      <alignment horizontal="left"/>
    </xf>
    <xf numFmtId="3" fontId="8" fillId="0" borderId="15" xfId="103" applyNumberFormat="1" applyFont="1" applyBorder="1" applyAlignment="1">
      <alignment horizontal="right"/>
    </xf>
    <xf numFmtId="4" fontId="8" fillId="0" borderId="15" xfId="103" applyFont="1" applyBorder="1" applyAlignment="1">
      <alignment horizontal="left"/>
    </xf>
    <xf numFmtId="3" fontId="8" fillId="0" borderId="0" xfId="103" applyNumberFormat="1" applyFont="1"/>
    <xf numFmtId="4" fontId="121" fillId="0" borderId="0" xfId="103" applyFont="1"/>
    <xf numFmtId="3" fontId="8" fillId="0" borderId="0" xfId="103" applyNumberFormat="1" applyFont="1" applyAlignment="1">
      <alignment horizontal="right"/>
    </xf>
    <xf numFmtId="0" fontId="56" fillId="0" borderId="0" xfId="0" applyFont="1" applyAlignment="1">
      <alignment horizontal="left"/>
    </xf>
    <xf numFmtId="4" fontId="68" fillId="0" borderId="0" xfId="103" applyFont="1" applyAlignment="1">
      <alignment horizontal="right"/>
    </xf>
    <xf numFmtId="4" fontId="68" fillId="0" borderId="0" xfId="103" applyFont="1" applyAlignment="1">
      <alignment horizontal="left"/>
    </xf>
    <xf numFmtId="0" fontId="80" fillId="0" borderId="0" xfId="16" applyFont="1" applyAlignment="1">
      <alignment horizontal="center"/>
    </xf>
    <xf numFmtId="0" fontId="108" fillId="0" borderId="0" xfId="16" applyFont="1" applyAlignment="1">
      <alignment horizontal="center" wrapText="1"/>
    </xf>
    <xf numFmtId="0" fontId="80" fillId="0" borderId="0" xfId="16" applyFont="1" applyAlignment="1">
      <alignment horizontal="left"/>
    </xf>
    <xf numFmtId="171" fontId="0" fillId="0" borderId="10" xfId="21" applyNumberFormat="1" applyFont="1" applyBorder="1"/>
    <xf numFmtId="171" fontId="0" fillId="0" borderId="0" xfId="21" applyNumberFormat="1" applyFont="1" applyBorder="1"/>
    <xf numFmtId="171" fontId="0" fillId="0" borderId="51" xfId="21" applyNumberFormat="1" applyFont="1" applyBorder="1"/>
    <xf numFmtId="171" fontId="0" fillId="2" borderId="51" xfId="21" applyNumberFormat="1" applyFont="1" applyFill="1" applyBorder="1"/>
    <xf numFmtId="0" fontId="108" fillId="6" borderId="18" xfId="16" applyFont="1" applyFill="1" applyBorder="1" applyAlignment="1">
      <alignment horizontal="center" wrapText="1"/>
    </xf>
    <xf numFmtId="0" fontId="108" fillId="0" borderId="18" xfId="16" applyFont="1" applyBorder="1" applyAlignment="1">
      <alignment horizontal="left"/>
    </xf>
    <xf numFmtId="171" fontId="8" fillId="0" borderId="41" xfId="21" applyNumberFormat="1" applyFont="1" applyBorder="1"/>
    <xf numFmtId="171" fontId="0" fillId="0" borderId="25" xfId="21" applyNumberFormat="1" applyFont="1" applyBorder="1"/>
    <xf numFmtId="0" fontId="0" fillId="0" borderId="18" xfId="0" applyBorder="1"/>
    <xf numFmtId="0" fontId="0" fillId="0" borderId="19" xfId="0" applyBorder="1"/>
    <xf numFmtId="0" fontId="0" fillId="0" borderId="20" xfId="0" applyBorder="1"/>
    <xf numFmtId="0" fontId="0" fillId="0" borderId="21" xfId="0" applyBorder="1"/>
    <xf numFmtId="171" fontId="0" fillId="0" borderId="22" xfId="21" applyNumberFormat="1" applyFont="1" applyBorder="1" applyAlignment="1">
      <alignment horizontal="right"/>
    </xf>
    <xf numFmtId="171" fontId="0" fillId="0" borderId="29" xfId="21" applyNumberFormat="1" applyFont="1" applyBorder="1" applyAlignment="1">
      <alignment horizontal="right"/>
    </xf>
    <xf numFmtId="171" fontId="0" fillId="0" borderId="22" xfId="21" applyNumberFormat="1" applyFont="1" applyBorder="1"/>
    <xf numFmtId="171" fontId="0" fillId="0" borderId="29" xfId="21" applyNumberFormat="1" applyFont="1" applyBorder="1"/>
    <xf numFmtId="0" fontId="0" fillId="0" borderId="23" xfId="0" applyBorder="1"/>
    <xf numFmtId="0" fontId="0" fillId="0" borderId="24" xfId="0" applyBorder="1"/>
    <xf numFmtId="0" fontId="0" fillId="0" borderId="24" xfId="0" applyBorder="1" applyAlignment="1">
      <alignment horizontal="right"/>
    </xf>
    <xf numFmtId="0" fontId="2" fillId="0" borderId="0" xfId="16" applyFont="1" applyAlignment="1">
      <alignment horizontal="left"/>
    </xf>
    <xf numFmtId="0" fontId="2" fillId="0" borderId="0" xfId="16" applyFont="1"/>
    <xf numFmtId="0" fontId="2" fillId="0" borderId="25" xfId="16" applyFont="1" applyBorder="1"/>
    <xf numFmtId="0" fontId="2" fillId="0" borderId="24" xfId="16" applyFont="1" applyBorder="1"/>
    <xf numFmtId="0" fontId="2" fillId="0" borderId="23" xfId="16" applyFont="1" applyBorder="1" applyAlignment="1">
      <alignment horizontal="left"/>
    </xf>
    <xf numFmtId="171" fontId="106" fillId="0" borderId="25" xfId="21" applyNumberFormat="1" applyFont="1" applyBorder="1"/>
    <xf numFmtId="171" fontId="106" fillId="0" borderId="24" xfId="21" applyNumberFormat="1" applyFont="1" applyBorder="1"/>
    <xf numFmtId="171" fontId="106" fillId="0" borderId="0" xfId="21" applyNumberFormat="1" applyFont="1" applyBorder="1"/>
    <xf numFmtId="0" fontId="2" fillId="0" borderId="21" xfId="16" applyFont="1" applyBorder="1" applyAlignment="1">
      <alignment horizontal="left"/>
    </xf>
    <xf numFmtId="0" fontId="2" fillId="0" borderId="22" xfId="16" applyFont="1" applyBorder="1"/>
    <xf numFmtId="171" fontId="2" fillId="0" borderId="29" xfId="16" applyNumberFormat="1" applyFont="1" applyBorder="1"/>
    <xf numFmtId="171" fontId="2" fillId="0" borderId="10" xfId="16" applyNumberFormat="1" applyFont="1" applyBorder="1"/>
    <xf numFmtId="171" fontId="106" fillId="0" borderId="10" xfId="21" applyNumberFormat="1" applyFont="1" applyBorder="1"/>
    <xf numFmtId="171" fontId="2" fillId="0" borderId="22" xfId="16" applyNumberFormat="1" applyFont="1" applyBorder="1"/>
    <xf numFmtId="0" fontId="2" fillId="0" borderId="20" xfId="16" applyFont="1" applyBorder="1"/>
    <xf numFmtId="0" fontId="2" fillId="0" borderId="19" xfId="16" applyFont="1" applyBorder="1"/>
    <xf numFmtId="0" fontId="2" fillId="6" borderId="25" xfId="16" applyFont="1" applyFill="1" applyBorder="1"/>
    <xf numFmtId="0" fontId="2" fillId="6" borderId="24" xfId="16" applyFont="1" applyFill="1" applyBorder="1"/>
    <xf numFmtId="0" fontId="2" fillId="6" borderId="23" xfId="16" applyFont="1" applyFill="1" applyBorder="1" applyAlignment="1">
      <alignment horizontal="left"/>
    </xf>
    <xf numFmtId="171" fontId="106" fillId="6" borderId="25" xfId="21" applyNumberFormat="1" applyFont="1" applyFill="1" applyBorder="1"/>
    <xf numFmtId="171" fontId="106" fillId="6" borderId="24" xfId="21" applyNumberFormat="1" applyFont="1" applyFill="1" applyBorder="1"/>
    <xf numFmtId="171" fontId="106" fillId="6" borderId="0" xfId="21" applyNumberFormat="1" applyFont="1" applyFill="1" applyBorder="1"/>
    <xf numFmtId="0" fontId="2" fillId="6" borderId="22" xfId="16" applyFont="1" applyFill="1" applyBorder="1"/>
    <xf numFmtId="0" fontId="2" fillId="6" borderId="0" xfId="16" applyFont="1" applyFill="1"/>
    <xf numFmtId="0" fontId="2" fillId="6" borderId="21" xfId="16" applyFont="1" applyFill="1" applyBorder="1" applyAlignment="1">
      <alignment horizontal="left"/>
    </xf>
    <xf numFmtId="171" fontId="2" fillId="6" borderId="29" xfId="16" applyNumberFormat="1" applyFont="1" applyFill="1" applyBorder="1"/>
    <xf numFmtId="171" fontId="2" fillId="6" borderId="10" xfId="16" applyNumberFormat="1" applyFont="1" applyFill="1" applyBorder="1"/>
    <xf numFmtId="171" fontId="106" fillId="6" borderId="10" xfId="21" applyNumberFormat="1" applyFont="1" applyFill="1" applyBorder="1"/>
    <xf numFmtId="171" fontId="2" fillId="6" borderId="22" xfId="16" applyNumberFormat="1" applyFont="1" applyFill="1" applyBorder="1"/>
    <xf numFmtId="171" fontId="2" fillId="6" borderId="0" xfId="16" applyNumberFormat="1" applyFont="1" applyFill="1"/>
    <xf numFmtId="0" fontId="2" fillId="6" borderId="20" xfId="16" applyFont="1" applyFill="1" applyBorder="1"/>
    <xf numFmtId="0" fontId="2" fillId="6" borderId="19" xfId="16" applyFont="1" applyFill="1" applyBorder="1"/>
    <xf numFmtId="171" fontId="106" fillId="6" borderId="27" xfId="21" applyNumberFormat="1" applyFont="1" applyFill="1" applyBorder="1"/>
    <xf numFmtId="0" fontId="2" fillId="0" borderId="3" xfId="16" applyFont="1" applyBorder="1"/>
    <xf numFmtId="10" fontId="106" fillId="0" borderId="0" xfId="19" applyNumberFormat="1" applyFont="1" applyAlignment="1">
      <alignment horizontal="center"/>
    </xf>
    <xf numFmtId="10" fontId="106" fillId="0" borderId="0" xfId="19" applyNumberFormat="1" applyFont="1" applyFill="1" applyAlignment="1">
      <alignment horizontal="center"/>
    </xf>
    <xf numFmtId="0" fontId="2" fillId="0" borderId="0" xfId="18" applyFont="1"/>
    <xf numFmtId="0" fontId="2" fillId="0" borderId="0" xfId="16" quotePrefix="1" applyFont="1"/>
    <xf numFmtId="171" fontId="106" fillId="0" borderId="0" xfId="21" applyNumberFormat="1" applyFont="1"/>
    <xf numFmtId="171" fontId="2" fillId="0" borderId="0" xfId="16" applyNumberFormat="1" applyFont="1"/>
    <xf numFmtId="186" fontId="16" fillId="0" borderId="0" xfId="223" applyNumberFormat="1" applyFont="1"/>
    <xf numFmtId="186" fontId="15" fillId="0" borderId="0" xfId="223" applyNumberFormat="1" applyFont="1"/>
    <xf numFmtId="0" fontId="122" fillId="0" borderId="0" xfId="17" applyFont="1"/>
    <xf numFmtId="0" fontId="80" fillId="13" borderId="15" xfId="0" applyFont="1" applyFill="1" applyBorder="1" applyAlignment="1">
      <alignment horizontal="center"/>
    </xf>
    <xf numFmtId="0" fontId="80" fillId="13" borderId="0" xfId="0" applyFont="1" applyFill="1" applyAlignment="1">
      <alignment horizontal="center" wrapText="1"/>
    </xf>
    <xf numFmtId="0" fontId="80" fillId="13" borderId="21" xfId="0" applyFont="1" applyFill="1" applyBorder="1" applyAlignment="1">
      <alignment horizontal="center" wrapText="1"/>
    </xf>
    <xf numFmtId="0" fontId="80" fillId="13" borderId="22" xfId="0" applyFont="1" applyFill="1" applyBorder="1" applyAlignment="1">
      <alignment horizontal="center" wrapText="1"/>
    </xf>
    <xf numFmtId="0" fontId="122" fillId="0" borderId="0" xfId="0" applyFont="1"/>
    <xf numFmtId="17" fontId="0" fillId="11" borderId="0" xfId="0" applyNumberFormat="1" applyFill="1"/>
    <xf numFmtId="43" fontId="0" fillId="11" borderId="21" xfId="1" applyFont="1" applyFill="1" applyBorder="1"/>
    <xf numFmtId="43" fontId="0" fillId="11" borderId="0" xfId="1" applyFont="1" applyFill="1" applyBorder="1"/>
    <xf numFmtId="43" fontId="0" fillId="11" borderId="22" xfId="1" applyFont="1" applyFill="1" applyBorder="1"/>
    <xf numFmtId="1" fontId="68" fillId="0" borderId="0" xfId="0" applyNumberFormat="1" applyFont="1" applyAlignment="1">
      <alignment horizontal="center"/>
    </xf>
    <xf numFmtId="0" fontId="123" fillId="0" borderId="0" xfId="0" applyFont="1"/>
    <xf numFmtId="171" fontId="123" fillId="0" borderId="0" xfId="1" applyNumberFormat="1" applyFont="1" applyFill="1" applyBorder="1"/>
    <xf numFmtId="0" fontId="124" fillId="0" borderId="0" xfId="0" applyFont="1" applyAlignment="1">
      <alignment horizontal="center"/>
    </xf>
    <xf numFmtId="0" fontId="125" fillId="0" borderId="0" xfId="0" quotePrefix="1" applyFont="1"/>
    <xf numFmtId="0" fontId="123" fillId="14" borderId="0" xfId="0" applyFont="1" applyFill="1"/>
    <xf numFmtId="186" fontId="17" fillId="0" borderId="0" xfId="223" applyNumberFormat="1" applyFont="1" applyAlignment="1">
      <alignment horizontal="center"/>
    </xf>
    <xf numFmtId="171" fontId="123" fillId="14" borderId="0" xfId="0" applyNumberFormat="1" applyFont="1" applyFill="1"/>
    <xf numFmtId="0" fontId="123" fillId="14" borderId="99" xfId="0" applyFont="1" applyFill="1" applyBorder="1"/>
    <xf numFmtId="171" fontId="123" fillId="14" borderId="99" xfId="0" applyNumberFormat="1" applyFont="1" applyFill="1" applyBorder="1"/>
    <xf numFmtId="37" fontId="15" fillId="0" borderId="0" xfId="223" applyNumberFormat="1" applyFont="1"/>
    <xf numFmtId="49" fontId="0" fillId="0" borderId="0" xfId="0" applyNumberFormat="1" applyAlignment="1">
      <alignment horizontal="right"/>
    </xf>
    <xf numFmtId="49" fontId="8" fillId="0" borderId="0" xfId="0" applyNumberFormat="1" applyFont="1" applyAlignment="1">
      <alignment horizontal="right"/>
    </xf>
    <xf numFmtId="0" fontId="123" fillId="0" borderId="99" xfId="0" applyFont="1" applyBorder="1" applyAlignment="1">
      <alignment horizontal="left"/>
    </xf>
    <xf numFmtId="171" fontId="123" fillId="0" borderId="99" xfId="0" applyNumberFormat="1" applyFont="1" applyBorder="1"/>
    <xf numFmtId="0" fontId="0" fillId="0" borderId="0" xfId="0" applyAlignment="1">
      <alignment horizontal="left" indent="1"/>
    </xf>
    <xf numFmtId="171" fontId="126" fillId="0" borderId="0" xfId="1" applyNumberFormat="1" applyFont="1" applyFill="1" applyBorder="1"/>
    <xf numFmtId="17" fontId="80" fillId="0" borderId="0" xfId="0" applyNumberFormat="1" applyFont="1"/>
    <xf numFmtId="43" fontId="80" fillId="0" borderId="100" xfId="1" applyFont="1" applyBorder="1"/>
    <xf numFmtId="43" fontId="80" fillId="0" borderId="16" xfId="1" applyFont="1" applyBorder="1"/>
    <xf numFmtId="43" fontId="80" fillId="0" borderId="30" xfId="1" applyFont="1" applyBorder="1"/>
    <xf numFmtId="0" fontId="56" fillId="0" borderId="0" xfId="223" applyFont="1" applyAlignment="1">
      <alignment horizontal="left"/>
    </xf>
    <xf numFmtId="37" fontId="55" fillId="0" borderId="0" xfId="223" applyNumberFormat="1" applyFont="1"/>
    <xf numFmtId="43" fontId="0" fillId="0" borderId="21" xfId="1" applyFont="1" applyBorder="1"/>
    <xf numFmtId="43" fontId="0" fillId="0" borderId="0" xfId="1" applyFont="1" applyBorder="1"/>
    <xf numFmtId="43" fontId="0" fillId="0" borderId="22" xfId="1" applyFont="1" applyBorder="1"/>
    <xf numFmtId="43" fontId="15" fillId="0" borderId="0" xfId="1" applyFont="1" applyFill="1" applyBorder="1"/>
    <xf numFmtId="17" fontId="0" fillId="15" borderId="0" xfId="0" applyNumberFormat="1" applyFill="1"/>
    <xf numFmtId="43" fontId="0" fillId="15" borderId="21" xfId="1" applyFont="1" applyFill="1" applyBorder="1"/>
    <xf numFmtId="43" fontId="0" fillId="15" borderId="0" xfId="1" applyFont="1" applyFill="1" applyBorder="1"/>
    <xf numFmtId="43" fontId="0" fillId="15" borderId="22" xfId="1" applyFont="1" applyFill="1" applyBorder="1"/>
    <xf numFmtId="37" fontId="15" fillId="0" borderId="3" xfId="223" applyNumberFormat="1" applyFont="1" applyBorder="1"/>
    <xf numFmtId="0" fontId="0" fillId="15" borderId="0" xfId="0" applyFill="1"/>
    <xf numFmtId="0" fontId="0" fillId="11" borderId="0" xfId="0" applyFill="1"/>
    <xf numFmtId="37" fontId="15" fillId="0" borderId="12" xfId="223" applyNumberFormat="1" applyFont="1" applyBorder="1"/>
    <xf numFmtId="37" fontId="15" fillId="7" borderId="12" xfId="223" applyNumberFormat="1" applyFont="1" applyFill="1" applyBorder="1"/>
    <xf numFmtId="170" fontId="33" fillId="0" borderId="0" xfId="7" applyNumberFormat="1" applyFont="1" applyFill="1" applyBorder="1"/>
    <xf numFmtId="170" fontId="33" fillId="0" borderId="0" xfId="7" applyNumberFormat="1" applyFont="1" applyBorder="1"/>
    <xf numFmtId="170" fontId="33" fillId="0" borderId="0" xfId="7" applyNumberFormat="1" applyFont="1"/>
    <xf numFmtId="171" fontId="0" fillId="0" borderId="51" xfId="0" applyNumberFormat="1" applyBorder="1"/>
    <xf numFmtId="171" fontId="0" fillId="16" borderId="51" xfId="0" applyNumberFormat="1" applyFill="1" applyBorder="1"/>
    <xf numFmtId="171" fontId="0" fillId="17" borderId="51" xfId="0" applyNumberFormat="1" applyFill="1" applyBorder="1"/>
    <xf numFmtId="171" fontId="0" fillId="0" borderId="15" xfId="0" applyNumberFormat="1" applyBorder="1"/>
    <xf numFmtId="0" fontId="56" fillId="0" borderId="0" xfId="223" applyFont="1" applyAlignment="1">
      <alignment horizontal="center"/>
    </xf>
    <xf numFmtId="10" fontId="0" fillId="0" borderId="0" xfId="7" applyNumberFormat="1" applyFont="1" applyFill="1" applyBorder="1"/>
    <xf numFmtId="171" fontId="0" fillId="0" borderId="0" xfId="7" applyNumberFormat="1" applyFont="1"/>
    <xf numFmtId="0" fontId="126" fillId="0" borderId="0" xfId="0" applyFont="1"/>
    <xf numFmtId="187" fontId="127" fillId="0" borderId="0" xfId="0" applyNumberFormat="1" applyFont="1" applyAlignment="1">
      <alignment horizontal="right" vertical="top"/>
    </xf>
    <xf numFmtId="0" fontId="56" fillId="0" borderId="0" xfId="0" applyFont="1"/>
    <xf numFmtId="43" fontId="80" fillId="0" borderId="21" xfId="1" applyFont="1" applyBorder="1"/>
    <xf numFmtId="43" fontId="80" fillId="0" borderId="0" xfId="1" applyFont="1" applyBorder="1"/>
    <xf numFmtId="43" fontId="80" fillId="0" borderId="22" xfId="1" applyFont="1" applyBorder="1"/>
    <xf numFmtId="171" fontId="0" fillId="16" borderId="0" xfId="0" applyNumberFormat="1" applyFill="1"/>
    <xf numFmtId="171" fontId="0" fillId="17" borderId="0" xfId="0" applyNumberFormat="1" applyFill="1"/>
    <xf numFmtId="43" fontId="0" fillId="0" borderId="21" xfId="1" applyFont="1" applyFill="1" applyBorder="1"/>
    <xf numFmtId="43" fontId="0" fillId="0" borderId="0" xfId="1" applyFont="1" applyFill="1" applyBorder="1"/>
    <xf numFmtId="43" fontId="0" fillId="0" borderId="22" xfId="1" applyFont="1" applyFill="1" applyBorder="1"/>
    <xf numFmtId="43" fontId="0" fillId="0" borderId="0" xfId="1" applyFont="1" applyFill="1"/>
    <xf numFmtId="0" fontId="8" fillId="6" borderId="10" xfId="0" applyFont="1" applyFill="1" applyBorder="1" applyAlignment="1">
      <alignment horizontal="right"/>
    </xf>
    <xf numFmtId="0" fontId="8" fillId="6" borderId="0" xfId="0" applyFont="1" applyFill="1" applyAlignment="1">
      <alignment horizontal="center"/>
    </xf>
    <xf numFmtId="0" fontId="8" fillId="6" borderId="0" xfId="0" applyFont="1" applyFill="1" applyAlignment="1">
      <alignment horizontal="right"/>
    </xf>
    <xf numFmtId="0" fontId="8" fillId="6" borderId="6" xfId="0" applyFont="1" applyFill="1" applyBorder="1" applyAlignment="1">
      <alignment horizontal="center"/>
    </xf>
    <xf numFmtId="171" fontId="8" fillId="0" borderId="0" xfId="1" applyNumberFormat="1" applyFont="1"/>
    <xf numFmtId="171" fontId="8" fillId="0" borderId="6" xfId="1" applyNumberFormat="1" applyFont="1" applyBorder="1"/>
    <xf numFmtId="171" fontId="8" fillId="0" borderId="0" xfId="1" applyNumberFormat="1" applyFont="1" applyBorder="1"/>
    <xf numFmtId="171" fontId="8" fillId="0" borderId="0" xfId="1" applyNumberFormat="1" applyFont="1" applyFill="1" applyBorder="1"/>
    <xf numFmtId="0" fontId="15" fillId="0" borderId="0" xfId="223" applyFont="1"/>
    <xf numFmtId="186" fontId="15" fillId="0" borderId="1" xfId="223" applyNumberFormat="1" applyFont="1" applyBorder="1" applyAlignment="1">
      <alignment horizontal="center"/>
    </xf>
    <xf numFmtId="186" fontId="15" fillId="0" borderId="8" xfId="223" applyNumberFormat="1" applyFont="1" applyBorder="1" applyAlignment="1">
      <alignment horizontal="center"/>
    </xf>
    <xf numFmtId="186" fontId="15" fillId="0" borderId="39" xfId="223" applyNumberFormat="1" applyFont="1" applyBorder="1" applyAlignment="1">
      <alignment horizontal="center"/>
    </xf>
    <xf numFmtId="170" fontId="15" fillId="0" borderId="0" xfId="223" applyNumberFormat="1" applyFont="1" applyAlignment="1">
      <alignment horizontal="center"/>
    </xf>
    <xf numFmtId="0" fontId="56" fillId="0" borderId="0" xfId="223" applyFont="1" applyAlignment="1">
      <alignment horizontal="right"/>
    </xf>
    <xf numFmtId="170" fontId="10" fillId="0" borderId="0" xfId="223" applyNumberFormat="1" applyFont="1" applyAlignment="1">
      <alignment horizontal="center"/>
    </xf>
    <xf numFmtId="37" fontId="15" fillId="0" borderId="10" xfId="223" applyNumberFormat="1" applyFont="1" applyBorder="1"/>
    <xf numFmtId="170" fontId="10" fillId="0" borderId="10" xfId="223" applyNumberFormat="1" applyFont="1" applyBorder="1" applyAlignment="1">
      <alignment horizontal="center"/>
    </xf>
    <xf numFmtId="37" fontId="15" fillId="0" borderId="39" xfId="223" applyNumberFormat="1" applyFont="1" applyBorder="1"/>
    <xf numFmtId="0" fontId="123" fillId="14" borderId="101" xfId="0" applyFont="1" applyFill="1" applyBorder="1" applyAlignment="1">
      <alignment horizontal="left"/>
    </xf>
    <xf numFmtId="171" fontId="123" fillId="14" borderId="101" xfId="0" applyNumberFormat="1" applyFont="1" applyFill="1" applyBorder="1"/>
    <xf numFmtId="43" fontId="80" fillId="18" borderId="102" xfId="1" applyFont="1" applyFill="1" applyBorder="1"/>
    <xf numFmtId="43" fontId="80" fillId="0" borderId="51" xfId="1" applyFont="1" applyBorder="1"/>
    <xf numFmtId="43" fontId="80" fillId="18" borderId="51" xfId="1" applyFont="1" applyFill="1" applyBorder="1"/>
    <xf numFmtId="43" fontId="80" fillId="0" borderId="103" xfId="1" applyFont="1" applyBorder="1"/>
    <xf numFmtId="0" fontId="80" fillId="11" borderId="0" xfId="0" applyFont="1" applyFill="1"/>
    <xf numFmtId="43" fontId="80" fillId="11" borderId="16" xfId="0" applyNumberFormat="1" applyFont="1" applyFill="1" applyBorder="1"/>
    <xf numFmtId="0" fontId="80" fillId="15" borderId="0" xfId="0" applyFont="1" applyFill="1"/>
    <xf numFmtId="43" fontId="80" fillId="15" borderId="16" xfId="0" applyNumberFormat="1" applyFont="1" applyFill="1" applyBorder="1"/>
    <xf numFmtId="37" fontId="15" fillId="0" borderId="16" xfId="223" applyNumberFormat="1" applyFont="1" applyBorder="1"/>
    <xf numFmtId="0" fontId="8" fillId="0" borderId="0" xfId="0" applyFont="1" applyAlignment="1">
      <alignment horizontal="right"/>
    </xf>
    <xf numFmtId="186" fontId="17" fillId="0" borderId="0" xfId="223" applyNumberFormat="1" applyFont="1" applyAlignment="1">
      <alignment horizontal="right"/>
    </xf>
    <xf numFmtId="186" fontId="17" fillId="0" borderId="0" xfId="223" applyNumberFormat="1" applyFont="1"/>
    <xf numFmtId="166" fontId="15" fillId="0" borderId="0" xfId="223" applyNumberFormat="1" applyFont="1" applyAlignment="1">
      <alignment horizontal="center"/>
    </xf>
    <xf numFmtId="166" fontId="15" fillId="0" borderId="0" xfId="1" applyNumberFormat="1" applyFont="1" applyFill="1"/>
    <xf numFmtId="0" fontId="128" fillId="0" borderId="0" xfId="0" applyFont="1"/>
    <xf numFmtId="166" fontId="15" fillId="0" borderId="3" xfId="223" applyNumberFormat="1" applyFont="1" applyBorder="1"/>
    <xf numFmtId="166" fontId="15" fillId="0" borderId="0" xfId="223" applyNumberFormat="1" applyFont="1"/>
    <xf numFmtId="43" fontId="42" fillId="0" borderId="0" xfId="1" applyFont="1"/>
    <xf numFmtId="186" fontId="42" fillId="0" borderId="0" xfId="223" applyNumberFormat="1" applyFont="1"/>
    <xf numFmtId="0" fontId="129" fillId="0" borderId="0" xfId="0" applyFont="1"/>
    <xf numFmtId="43" fontId="123" fillId="14" borderId="101" xfId="1" applyFont="1" applyFill="1" applyBorder="1"/>
    <xf numFmtId="0" fontId="123" fillId="14" borderId="0" xfId="0" applyFont="1" applyFill="1" applyAlignment="1">
      <alignment horizontal="left"/>
    </xf>
    <xf numFmtId="43" fontId="123" fillId="14" borderId="0" xfId="1" applyFont="1" applyFill="1" applyBorder="1"/>
    <xf numFmtId="43" fontId="0" fillId="0" borderId="0" xfId="1" applyFont="1"/>
    <xf numFmtId="186" fontId="130" fillId="0" borderId="0" xfId="101" applyNumberFormat="1" applyFont="1"/>
    <xf numFmtId="166" fontId="130" fillId="0" borderId="16" xfId="101" applyNumberFormat="1" applyFont="1" applyBorder="1"/>
    <xf numFmtId="166" fontId="130" fillId="2" borderId="16" xfId="101" applyNumberFormat="1" applyFont="1" applyFill="1" applyBorder="1"/>
    <xf numFmtId="166" fontId="130" fillId="0" borderId="0" xfId="101" applyNumberFormat="1" applyFont="1"/>
    <xf numFmtId="166" fontId="130" fillId="0" borderId="15" xfId="101" applyNumberFormat="1" applyFont="1" applyBorder="1"/>
    <xf numFmtId="186" fontId="130" fillId="0" borderId="0" xfId="101" applyNumberFormat="1" applyFont="1" applyAlignment="1">
      <alignment horizontal="right"/>
    </xf>
    <xf numFmtId="186" fontId="131" fillId="0" borderId="10" xfId="101" applyNumberFormat="1" applyFont="1" applyBorder="1" applyAlignment="1">
      <alignment horizontal="center"/>
    </xf>
    <xf numFmtId="186" fontId="130" fillId="0" borderId="0" xfId="101" applyNumberFormat="1" applyFont="1" applyAlignment="1">
      <alignment horizontal="center"/>
    </xf>
    <xf numFmtId="186" fontId="130" fillId="0" borderId="0" xfId="101" applyNumberFormat="1" applyFont="1" applyAlignment="1">
      <alignment horizontal="centerContinuous"/>
    </xf>
    <xf numFmtId="186" fontId="131" fillId="0" borderId="0" xfId="101" applyNumberFormat="1" applyFont="1" applyAlignment="1">
      <alignment horizontal="centerContinuous"/>
    </xf>
    <xf numFmtId="0" fontId="130" fillId="0" borderId="0" xfId="101" applyFont="1"/>
    <xf numFmtId="0" fontId="132" fillId="0" borderId="0" xfId="101" applyFont="1" applyAlignment="1">
      <alignment vertical="top" wrapText="1"/>
    </xf>
    <xf numFmtId="0" fontId="130" fillId="0" borderId="0" xfId="101" applyFont="1" applyAlignment="1">
      <alignment vertical="top"/>
    </xf>
    <xf numFmtId="188" fontId="130" fillId="0" borderId="0" xfId="101" applyNumberFormat="1" applyFont="1"/>
    <xf numFmtId="0" fontId="130" fillId="0" borderId="0" xfId="101" applyFont="1" applyAlignment="1">
      <alignment horizontal="right"/>
    </xf>
    <xf numFmtId="166" fontId="133" fillId="0" borderId="0" xfId="101" applyNumberFormat="1" applyFont="1"/>
    <xf numFmtId="0" fontId="133" fillId="0" borderId="0" xfId="101" applyFont="1" applyAlignment="1">
      <alignment horizontal="right"/>
    </xf>
    <xf numFmtId="166" fontId="131" fillId="0" borderId="12" xfId="101" applyNumberFormat="1" applyFont="1" applyBorder="1"/>
    <xf numFmtId="3" fontId="131" fillId="2" borderId="12" xfId="101" applyNumberFormat="1" applyFont="1" applyFill="1" applyBorder="1"/>
    <xf numFmtId="3" fontId="131" fillId="0" borderId="12" xfId="101" applyNumberFormat="1" applyFont="1" applyBorder="1"/>
    <xf numFmtId="0" fontId="131" fillId="0" borderId="0" xfId="101" applyFont="1"/>
    <xf numFmtId="178" fontId="130" fillId="0" borderId="0" xfId="101" applyNumberFormat="1" applyFont="1"/>
    <xf numFmtId="169" fontId="134" fillId="0" borderId="0" xfId="101" applyNumberFormat="1" applyFont="1"/>
    <xf numFmtId="3" fontId="130" fillId="0" borderId="0" xfId="101" applyNumberFormat="1" applyFont="1"/>
    <xf numFmtId="166" fontId="130" fillId="0" borderId="10" xfId="101" applyNumberFormat="1" applyFont="1" applyBorder="1"/>
    <xf numFmtId="166" fontId="130" fillId="0" borderId="3" xfId="101" applyNumberFormat="1" applyFont="1" applyBorder="1"/>
    <xf numFmtId="189" fontId="130" fillId="0" borderId="0" xfId="101" applyNumberFormat="1" applyFont="1" applyAlignment="1">
      <alignment horizontal="left"/>
    </xf>
    <xf numFmtId="0" fontId="131" fillId="0" borderId="10" xfId="101" applyFont="1" applyBorder="1" applyAlignment="1">
      <alignment horizontal="center"/>
    </xf>
    <xf numFmtId="0" fontId="131" fillId="0" borderId="0" xfId="101" applyFont="1" applyAlignment="1">
      <alignment horizontal="center"/>
    </xf>
    <xf numFmtId="0" fontId="131" fillId="0" borderId="0" xfId="101" applyFont="1" applyAlignment="1">
      <alignment horizontal="centerContinuous"/>
    </xf>
    <xf numFmtId="0" fontId="135" fillId="0" borderId="0" xfId="101" applyFont="1" applyAlignment="1">
      <alignment horizontal="centerContinuous"/>
    </xf>
    <xf numFmtId="0" fontId="136" fillId="0" borderId="0" xfId="101" applyFont="1" applyAlignment="1">
      <alignment horizontal="centerContinuous"/>
    </xf>
    <xf numFmtId="0" fontId="137" fillId="0" borderId="104" xfId="0" applyFont="1" applyBorder="1" applyAlignment="1">
      <alignment horizontal="left" vertical="top"/>
    </xf>
    <xf numFmtId="0" fontId="138" fillId="0" borderId="104" xfId="0" applyFont="1" applyBorder="1" applyAlignment="1">
      <alignment horizontal="left" vertical="top"/>
    </xf>
    <xf numFmtId="0" fontId="139" fillId="0" borderId="71" xfId="0" applyFont="1" applyBorder="1" applyAlignment="1">
      <alignment horizontal="right" vertical="top"/>
    </xf>
    <xf numFmtId="0" fontId="140" fillId="0" borderId="69" xfId="0" applyFont="1" applyBorder="1" applyAlignment="1">
      <alignment horizontal="right" vertical="top"/>
    </xf>
    <xf numFmtId="0" fontId="140" fillId="0" borderId="105" xfId="0" applyFont="1" applyBorder="1" applyAlignment="1">
      <alignment horizontal="right" vertical="top"/>
    </xf>
    <xf numFmtId="0" fontId="138" fillId="0" borderId="97" xfId="0" applyFont="1" applyBorder="1" applyAlignment="1">
      <alignment horizontal="left" vertical="top" wrapText="1"/>
    </xf>
    <xf numFmtId="0" fontId="138" fillId="0" borderId="46" xfId="0" applyFont="1" applyBorder="1" applyAlignment="1">
      <alignment horizontal="left" vertical="top" wrapText="1"/>
    </xf>
    <xf numFmtId="0" fontId="138" fillId="0" borderId="106" xfId="0" applyFont="1" applyBorder="1" applyAlignment="1">
      <alignment horizontal="left" vertical="top" wrapText="1"/>
    </xf>
    <xf numFmtId="0" fontId="139" fillId="0" borderId="105" xfId="0" applyFont="1" applyBorder="1" applyAlignment="1">
      <alignment horizontal="right" vertical="top"/>
    </xf>
    <xf numFmtId="0" fontId="139" fillId="0" borderId="83" xfId="0" applyFont="1" applyBorder="1" applyAlignment="1">
      <alignment horizontal="right" vertical="top"/>
    </xf>
    <xf numFmtId="0" fontId="140" fillId="0" borderId="66" xfId="0" applyFont="1" applyBorder="1" applyAlignment="1">
      <alignment horizontal="right" vertical="top"/>
    </xf>
    <xf numFmtId="0" fontId="140" fillId="0" borderId="107" xfId="0" applyFont="1" applyBorder="1" applyAlignment="1">
      <alignment horizontal="right" vertical="top"/>
    </xf>
    <xf numFmtId="0" fontId="138" fillId="0" borderId="108" xfId="0" applyFont="1" applyBorder="1" applyAlignment="1">
      <alignment horizontal="left" vertical="top"/>
    </xf>
    <xf numFmtId="0" fontId="138" fillId="0" borderId="108" xfId="0" applyFont="1" applyBorder="1" applyAlignment="1">
      <alignment horizontal="left" vertical="top" wrapText="1"/>
    </xf>
    <xf numFmtId="0" fontId="139" fillId="0" borderId="107" xfId="0" applyFont="1" applyBorder="1" applyAlignment="1">
      <alignment horizontal="right" vertical="top"/>
    </xf>
    <xf numFmtId="0" fontId="137" fillId="0" borderId="108" xfId="0" applyFont="1" applyBorder="1" applyAlignment="1">
      <alignment horizontal="left" vertical="top"/>
    </xf>
    <xf numFmtId="0" fontId="138" fillId="0" borderId="97" xfId="0" applyFont="1" applyBorder="1" applyAlignment="1">
      <alignment horizontal="left" vertical="top"/>
    </xf>
    <xf numFmtId="171" fontId="0" fillId="0" borderId="39" xfId="21" applyNumberFormat="1" applyFont="1" applyFill="1" applyBorder="1" applyAlignment="1">
      <alignment horizontal="right" vertical="top"/>
    </xf>
    <xf numFmtId="171" fontId="137" fillId="0" borderId="39" xfId="21" applyNumberFormat="1" applyFont="1" applyFill="1" applyBorder="1" applyAlignment="1">
      <alignment horizontal="right" vertical="top"/>
    </xf>
    <xf numFmtId="0" fontId="137" fillId="0" borderId="109" xfId="0" applyFont="1" applyBorder="1" applyAlignment="1">
      <alignment horizontal="left" vertical="top"/>
    </xf>
    <xf numFmtId="0" fontId="137" fillId="0" borderId="110" xfId="0" applyFont="1" applyBorder="1" applyAlignment="1">
      <alignment horizontal="left" vertical="top"/>
    </xf>
    <xf numFmtId="171" fontId="8" fillId="0" borderId="39" xfId="21" applyNumberFormat="1" applyFont="1" applyFill="1" applyBorder="1" applyAlignment="1">
      <alignment horizontal="right" vertical="top"/>
    </xf>
    <xf numFmtId="0" fontId="0" fillId="14" borderId="0" xfId="0" applyFill="1"/>
    <xf numFmtId="0" fontId="0" fillId="14" borderId="99" xfId="0" applyFill="1" applyBorder="1"/>
    <xf numFmtId="0" fontId="0" fillId="2" borderId="99" xfId="0" applyFill="1" applyBorder="1"/>
    <xf numFmtId="0" fontId="141" fillId="14" borderId="0" xfId="0" applyFont="1" applyFill="1"/>
    <xf numFmtId="3" fontId="0" fillId="0" borderId="17" xfId="0" applyNumberFormat="1" applyBorder="1"/>
    <xf numFmtId="172" fontId="0" fillId="0" borderId="0" xfId="145" applyNumberFormat="1" applyFont="1"/>
    <xf numFmtId="190" fontId="68" fillId="0" borderId="10" xfId="145" applyNumberFormat="1" applyFont="1" applyBorder="1"/>
    <xf numFmtId="190" fontId="0" fillId="0" borderId="0" xfId="145" applyNumberFormat="1" applyFont="1"/>
    <xf numFmtId="190" fontId="0" fillId="0" borderId="0" xfId="0" applyNumberFormat="1"/>
    <xf numFmtId="172" fontId="0" fillId="7" borderId="17" xfId="0" applyNumberFormat="1" applyFill="1" applyBorder="1"/>
    <xf numFmtId="172" fontId="0" fillId="0" borderId="12" xfId="0" applyNumberFormat="1" applyBorder="1"/>
    <xf numFmtId="0" fontId="142" fillId="0" borderId="0" xfId="0" applyFont="1" applyAlignment="1">
      <alignment vertical="center"/>
    </xf>
    <xf numFmtId="0" fontId="142" fillId="7" borderId="17" xfId="0" applyFont="1" applyFill="1" applyBorder="1" applyAlignment="1">
      <alignment vertical="center"/>
    </xf>
    <xf numFmtId="0" fontId="137" fillId="0" borderId="104" xfId="0" applyFont="1" applyFill="1" applyBorder="1" applyAlignment="1">
      <alignment horizontal="left" vertical="top"/>
    </xf>
    <xf numFmtId="0" fontId="138" fillId="0" borderId="0" xfId="0" applyFont="1" applyFill="1"/>
    <xf numFmtId="0" fontId="139" fillId="0" borderId="71" xfId="0" applyFont="1" applyFill="1" applyBorder="1" applyAlignment="1">
      <alignment horizontal="right" vertical="top"/>
    </xf>
    <xf numFmtId="0" fontId="139" fillId="0" borderId="105" xfId="0" applyFont="1" applyFill="1" applyBorder="1" applyAlignment="1">
      <alignment horizontal="right" vertical="top"/>
    </xf>
    <xf numFmtId="0" fontId="137" fillId="0" borderId="97" xfId="0" applyFont="1" applyFill="1" applyBorder="1" applyAlignment="1">
      <alignment horizontal="left" vertical="top" wrapText="1"/>
    </xf>
    <xf numFmtId="0" fontId="137" fillId="0" borderId="46" xfId="0" applyFont="1" applyFill="1" applyBorder="1" applyAlignment="1">
      <alignment horizontal="left" vertical="top" wrapText="1"/>
    </xf>
    <xf numFmtId="0" fontId="137" fillId="0" borderId="106" xfId="0" applyFont="1" applyFill="1" applyBorder="1" applyAlignment="1">
      <alignment horizontal="left" vertical="top" wrapText="1"/>
    </xf>
    <xf numFmtId="0" fontId="139" fillId="0" borderId="83" xfId="0" applyFont="1" applyFill="1" applyBorder="1" applyAlignment="1">
      <alignment horizontal="right" vertical="top"/>
    </xf>
    <xf numFmtId="0" fontId="139" fillId="0" borderId="107" xfId="0" applyFont="1" applyFill="1" applyBorder="1" applyAlignment="1">
      <alignment horizontal="right" vertical="top"/>
    </xf>
    <xf numFmtId="0" fontId="137" fillId="0" borderId="108" xfId="0" applyFont="1" applyFill="1" applyBorder="1" applyAlignment="1">
      <alignment horizontal="left" vertical="top"/>
    </xf>
    <xf numFmtId="0" fontId="137" fillId="0" borderId="108" xfId="0" applyFont="1" applyFill="1" applyBorder="1" applyAlignment="1">
      <alignment horizontal="left" vertical="top" wrapText="1"/>
    </xf>
    <xf numFmtId="0" fontId="137" fillId="0" borderId="97" xfId="0" applyFont="1" applyFill="1" applyBorder="1" applyAlignment="1">
      <alignment horizontal="left" vertical="top"/>
    </xf>
    <xf numFmtId="0" fontId="137" fillId="0" borderId="109" xfId="0" applyFont="1" applyFill="1" applyBorder="1" applyAlignment="1">
      <alignment horizontal="left" vertical="top"/>
    </xf>
    <xf numFmtId="0" fontId="137" fillId="0" borderId="110" xfId="0" applyFont="1" applyFill="1" applyBorder="1" applyAlignment="1">
      <alignment horizontal="left" vertical="top"/>
    </xf>
    <xf numFmtId="191" fontId="0" fillId="0" borderId="0" xfId="0" applyNumberFormat="1" applyFill="1"/>
    <xf numFmtId="0" fontId="144" fillId="0" borderId="0" xfId="102" applyFont="1" applyAlignment="1">
      <alignment horizontal="left"/>
    </xf>
    <xf numFmtId="0" fontId="145" fillId="0" borderId="0" xfId="102" applyFont="1"/>
    <xf numFmtId="43" fontId="0" fillId="0" borderId="0" xfId="21" applyFont="1" applyBorder="1"/>
    <xf numFmtId="0" fontId="146" fillId="0" borderId="0" xfId="102" applyFont="1" applyAlignment="1">
      <alignment horizontal="center" vertical="top" wrapText="1"/>
    </xf>
    <xf numFmtId="43" fontId="0" fillId="0" borderId="10" xfId="21" applyFont="1" applyBorder="1"/>
    <xf numFmtId="0" fontId="144" fillId="0" borderId="0" xfId="102" applyFont="1" applyAlignment="1">
      <alignment horizontal="center"/>
    </xf>
    <xf numFmtId="0" fontId="100" fillId="0" borderId="0" xfId="102" applyFont="1" applyAlignment="1">
      <alignment horizontal="left" vertical="top" wrapText="1"/>
    </xf>
    <xf numFmtId="171" fontId="0" fillId="0" borderId="0" xfId="0" applyNumberFormat="1" applyAlignment="1">
      <alignment horizontal="right"/>
    </xf>
    <xf numFmtId="171" fontId="0" fillId="0" borderId="0" xfId="0" applyNumberFormat="1" applyAlignment="1">
      <alignment horizontal="center"/>
    </xf>
    <xf numFmtId="172" fontId="0" fillId="0" borderId="0" xfId="21" applyNumberFormat="1" applyFont="1" applyBorder="1"/>
    <xf numFmtId="0" fontId="9" fillId="0" borderId="0" xfId="102"/>
    <xf numFmtId="0" fontId="145" fillId="0" borderId="2" xfId="102" applyFont="1" applyBorder="1" applyAlignment="1">
      <alignment horizontal="centerContinuous"/>
    </xf>
    <xf numFmtId="0" fontId="145" fillId="0" borderId="3" xfId="102" applyFont="1" applyBorder="1" applyAlignment="1">
      <alignment horizontal="centerContinuous"/>
    </xf>
    <xf numFmtId="0" fontId="145" fillId="0" borderId="4" xfId="102" applyFont="1" applyBorder="1" applyAlignment="1">
      <alignment horizontal="centerContinuous"/>
    </xf>
    <xf numFmtId="0" fontId="145" fillId="0" borderId="0" xfId="102" applyFont="1" applyAlignment="1">
      <alignment horizontal="center"/>
    </xf>
    <xf numFmtId="0" fontId="145" fillId="0" borderId="13" xfId="102" applyFont="1" applyBorder="1" applyAlignment="1">
      <alignment horizontal="center"/>
    </xf>
    <xf numFmtId="0" fontId="145" fillId="0" borderId="15" xfId="102" applyFont="1" applyBorder="1" applyAlignment="1">
      <alignment horizontal="center"/>
    </xf>
    <xf numFmtId="0" fontId="145" fillId="0" borderId="14" xfId="102" applyFont="1" applyBorder="1" applyAlignment="1">
      <alignment horizontal="center"/>
    </xf>
    <xf numFmtId="0" fontId="145" fillId="0" borderId="0" xfId="102" applyFont="1" applyAlignment="1">
      <alignment horizontal="left"/>
    </xf>
    <xf numFmtId="3" fontId="145" fillId="0" borderId="0" xfId="102" applyNumberFormat="1" applyFont="1"/>
    <xf numFmtId="49" fontId="68" fillId="0" borderId="0" xfId="0" applyNumberFormat="1" applyFont="1"/>
    <xf numFmtId="171" fontId="68" fillId="0" borderId="15" xfId="21" applyNumberFormat="1" applyFont="1" applyBorder="1" applyAlignment="1">
      <alignment horizontal="right"/>
    </xf>
    <xf numFmtId="171" fontId="68" fillId="0" borderId="0" xfId="0" applyNumberFormat="1" applyFont="1"/>
    <xf numFmtId="49" fontId="68" fillId="0" borderId="15" xfId="0" applyNumberFormat="1" applyFont="1" applyBorder="1" applyAlignment="1">
      <alignment horizontal="left"/>
    </xf>
    <xf numFmtId="0" fontId="68" fillId="0" borderId="15" xfId="0" applyFont="1" applyBorder="1"/>
    <xf numFmtId="172" fontId="68" fillId="0" borderId="15" xfId="21" applyNumberFormat="1" applyFont="1" applyBorder="1"/>
    <xf numFmtId="171" fontId="8" fillId="0" borderId="0" xfId="21" applyNumberFormat="1" applyFont="1" applyAlignment="1">
      <alignment horizontal="right"/>
    </xf>
    <xf numFmtId="49" fontId="0" fillId="0" borderId="0" xfId="0" applyNumberFormat="1" applyAlignment="1">
      <alignment horizontal="left"/>
    </xf>
    <xf numFmtId="172" fontId="0" fillId="0" borderId="0" xfId="21" applyNumberFormat="1" applyFont="1"/>
    <xf numFmtId="3" fontId="144" fillId="0" borderId="39" xfId="102" applyNumberFormat="1" applyFont="1" applyBorder="1"/>
    <xf numFmtId="171" fontId="68" fillId="0" borderId="51" xfId="21" applyNumberFormat="1" applyFont="1" applyBorder="1"/>
    <xf numFmtId="171" fontId="68" fillId="0" borderId="0" xfId="21" applyNumberFormat="1" applyFont="1" applyBorder="1"/>
    <xf numFmtId="49" fontId="68" fillId="0" borderId="0" xfId="0" applyNumberFormat="1" applyFont="1" applyAlignment="1">
      <alignment horizontal="left"/>
    </xf>
    <xf numFmtId="172" fontId="68" fillId="0" borderId="0" xfId="21" applyNumberFormat="1" applyFont="1" applyBorder="1"/>
    <xf numFmtId="4" fontId="145" fillId="0" borderId="0" xfId="103" applyFont="1"/>
    <xf numFmtId="172" fontId="68" fillId="0" borderId="24" xfId="21" applyNumberFormat="1" applyFont="1" applyBorder="1"/>
    <xf numFmtId="181" fontId="68" fillId="0" borderId="0" xfId="0" applyNumberFormat="1" applyFont="1"/>
    <xf numFmtId="5" fontId="145" fillId="0" borderId="0" xfId="102" applyNumberFormat="1" applyFont="1"/>
    <xf numFmtId="4" fontId="8" fillId="0" borderId="0" xfId="103" applyFont="1" applyFill="1" applyBorder="1" applyAlignment="1">
      <alignment horizontal="centerContinuous"/>
    </xf>
    <xf numFmtId="4" fontId="8" fillId="0" borderId="0" xfId="103" applyFont="1" applyFill="1" applyAlignment="1">
      <alignment horizontal="centerContinuous"/>
    </xf>
    <xf numFmtId="4" fontId="8" fillId="0" borderId="0" xfId="103" applyFont="1" applyFill="1" applyAlignment="1">
      <alignment horizontal="center"/>
    </xf>
    <xf numFmtId="170" fontId="8" fillId="0" borderId="0" xfId="104" applyNumberFormat="1" applyFont="1" applyFill="1" applyAlignment="1">
      <alignment horizontal="centerContinuous"/>
    </xf>
    <xf numFmtId="0" fontId="9" fillId="0" borderId="0" xfId="29"/>
    <xf numFmtId="0" fontId="8" fillId="0" borderId="0" xfId="29" applyFont="1" applyAlignment="1">
      <alignment horizontal="center"/>
    </xf>
    <xf numFmtId="0" fontId="8" fillId="0" borderId="0" xfId="29" applyFont="1"/>
    <xf numFmtId="4" fontId="8" fillId="0" borderId="0" xfId="29" applyNumberFormat="1" applyFont="1" applyAlignment="1">
      <alignment horizontal="centerContinuous"/>
    </xf>
    <xf numFmtId="170" fontId="8" fillId="0" borderId="0" xfId="29" applyNumberFormat="1" applyFont="1"/>
    <xf numFmtId="0" fontId="8" fillId="0" borderId="0" xfId="29" applyFont="1" applyAlignment="1">
      <alignment horizontal="centerContinuous"/>
    </xf>
    <xf numFmtId="37" fontId="8" fillId="0" borderId="0" xfId="29" applyNumberFormat="1" applyFont="1"/>
    <xf numFmtId="37" fontId="68" fillId="0" borderId="41" xfId="29" applyNumberFormat="1" applyFont="1" applyBorder="1"/>
    <xf numFmtId="0" fontId="68" fillId="0" borderId="0" xfId="29" applyFont="1" applyAlignment="1">
      <alignment horizontal="centerContinuous"/>
    </xf>
    <xf numFmtId="37" fontId="68" fillId="0" borderId="0" xfId="29" applyNumberFormat="1" applyFont="1"/>
    <xf numFmtId="37" fontId="8" fillId="0" borderId="10" xfId="29" applyNumberFormat="1" applyFont="1" applyBorder="1"/>
    <xf numFmtId="37" fontId="8" fillId="0" borderId="3" xfId="29" applyNumberFormat="1" applyFont="1" applyBorder="1"/>
    <xf numFmtId="37" fontId="147" fillId="0" borderId="0" xfId="29" applyNumberFormat="1" applyFont="1"/>
    <xf numFmtId="0" fontId="83" fillId="0" borderId="0" xfId="29" applyFont="1" applyAlignment="1">
      <alignment horizontal="center"/>
    </xf>
    <xf numFmtId="0" fontId="83" fillId="0" borderId="0" xfId="29" applyFont="1" applyAlignment="1">
      <alignment horizontal="centerContinuous"/>
    </xf>
    <xf numFmtId="192" fontId="0" fillId="0" borderId="0" xfId="0" applyNumberFormat="1" applyAlignment="1">
      <alignment horizontal="center"/>
    </xf>
    <xf numFmtId="166" fontId="0" fillId="0" borderId="0" xfId="0" applyNumberFormat="1"/>
    <xf numFmtId="10" fontId="0" fillId="0" borderId="0" xfId="104" applyNumberFormat="1" applyFont="1"/>
    <xf numFmtId="166" fontId="86" fillId="8" borderId="16" xfId="0" applyNumberFormat="1" applyFont="1" applyFill="1" applyBorder="1"/>
    <xf numFmtId="0" fontId="86" fillId="8" borderId="16" xfId="0" applyFont="1" applyFill="1" applyBorder="1"/>
    <xf numFmtId="192" fontId="86" fillId="8" borderId="111" xfId="0" applyNumberFormat="1" applyFont="1" applyFill="1" applyBorder="1" applyAlignment="1">
      <alignment horizontal="left"/>
    </xf>
    <xf numFmtId="166" fontId="86" fillId="8" borderId="14" xfId="0" applyNumberFormat="1" applyFont="1" applyFill="1" applyBorder="1"/>
    <xf numFmtId="166" fontId="86" fillId="8" borderId="41" xfId="0" applyNumberFormat="1" applyFont="1" applyFill="1" applyBorder="1"/>
    <xf numFmtId="166" fontId="86" fillId="8" borderId="15" xfId="0" applyNumberFormat="1" applyFont="1" applyFill="1" applyBorder="1"/>
    <xf numFmtId="0" fontId="86" fillId="8" borderId="15" xfId="0" applyFont="1" applyFill="1" applyBorder="1"/>
    <xf numFmtId="192" fontId="86" fillId="8" borderId="13" xfId="0" applyNumberFormat="1" applyFont="1" applyFill="1" applyBorder="1" applyAlignment="1">
      <alignment horizontal="left"/>
    </xf>
    <xf numFmtId="166" fontId="86" fillId="0" borderId="0" xfId="0" applyNumberFormat="1" applyFont="1"/>
    <xf numFmtId="192" fontId="86" fillId="0" borderId="0" xfId="0" applyNumberFormat="1" applyFont="1" applyAlignment="1">
      <alignment horizontal="left"/>
    </xf>
    <xf numFmtId="0" fontId="86" fillId="0" borderId="10" xfId="0" applyFont="1" applyBorder="1" applyAlignment="1">
      <alignment horizontal="center"/>
    </xf>
    <xf numFmtId="166" fontId="0" fillId="0" borderId="0" xfId="0" applyNumberFormat="1" applyAlignment="1">
      <alignment horizontal="right"/>
    </xf>
    <xf numFmtId="166" fontId="86" fillId="8" borderId="15" xfId="0" applyNumberFormat="1" applyFont="1" applyFill="1" applyBorder="1" applyAlignment="1">
      <alignment horizontal="center"/>
    </xf>
    <xf numFmtId="166" fontId="86" fillId="8" borderId="13" xfId="0" applyNumberFormat="1" applyFont="1" applyFill="1" applyBorder="1"/>
    <xf numFmtId="192" fontId="0" fillId="0" borderId="0" xfId="0" applyNumberFormat="1" applyAlignment="1">
      <alignment horizontal="left"/>
    </xf>
    <xf numFmtId="166" fontId="0" fillId="0" borderId="0" xfId="0" applyNumberFormat="1" applyAlignment="1">
      <alignment horizontal="center"/>
    </xf>
    <xf numFmtId="166" fontId="9" fillId="0" borderId="0" xfId="0" applyNumberFormat="1" applyFont="1"/>
    <xf numFmtId="166" fontId="88" fillId="0" borderId="0" xfId="0" applyNumberFormat="1" applyFont="1"/>
    <xf numFmtId="166" fontId="0" fillId="0" borderId="10" xfId="0" applyNumberFormat="1" applyBorder="1"/>
    <xf numFmtId="0" fontId="0" fillId="0" borderId="0" xfId="0" applyAlignment="1">
      <alignment horizontal="centerContinuous"/>
    </xf>
    <xf numFmtId="192" fontId="0" fillId="0" borderId="0" xfId="0" applyNumberFormat="1" applyAlignment="1">
      <alignment horizontal="centerContinuous"/>
    </xf>
    <xf numFmtId="170" fontId="0" fillId="0" borderId="0" xfId="0" applyNumberFormat="1"/>
    <xf numFmtId="39" fontId="148" fillId="0" borderId="0" xfId="30" applyNumberFormat="1" applyFont="1"/>
    <xf numFmtId="0" fontId="148" fillId="0" borderId="0" xfId="0" applyFont="1"/>
    <xf numFmtId="39" fontId="148" fillId="0" borderId="0" xfId="30" applyNumberFormat="1" applyFont="1" applyFill="1" applyBorder="1" applyAlignment="1">
      <alignment horizontal="right"/>
    </xf>
    <xf numFmtId="5" fontId="148" fillId="0" borderId="0" xfId="0" applyNumberFormat="1" applyFont="1"/>
    <xf numFmtId="39" fontId="148" fillId="0" borderId="0" xfId="30" applyNumberFormat="1" applyFont="1" applyBorder="1"/>
    <xf numFmtId="3" fontId="148" fillId="0" borderId="0" xfId="0" applyNumberFormat="1" applyFont="1"/>
    <xf numFmtId="193" fontId="0" fillId="0" borderId="14" xfId="0" applyNumberFormat="1" applyBorder="1" applyAlignment="1">
      <alignment horizontal="right"/>
    </xf>
    <xf numFmtId="5" fontId="9" fillId="0" borderId="15" xfId="0" applyNumberFormat="1" applyFont="1" applyBorder="1"/>
    <xf numFmtId="0" fontId="0" fillId="0" borderId="13" xfId="0" applyBorder="1"/>
    <xf numFmtId="39" fontId="148" fillId="0" borderId="0" xfId="30" applyNumberFormat="1" applyFont="1" applyBorder="1" applyAlignment="1">
      <alignment horizontal="right"/>
    </xf>
    <xf numFmtId="170" fontId="148" fillId="0" borderId="0" xfId="0" applyNumberFormat="1" applyFont="1"/>
    <xf numFmtId="5" fontId="0" fillId="0" borderId="0" xfId="0" applyNumberFormat="1"/>
    <xf numFmtId="0" fontId="149" fillId="0" borderId="0" xfId="0" applyFont="1"/>
    <xf numFmtId="0" fontId="149" fillId="0" borderId="0" xfId="0" applyFont="1" applyAlignment="1">
      <alignment wrapText="1"/>
    </xf>
    <xf numFmtId="5" fontId="88" fillId="0" borderId="0" xfId="0" applyNumberFormat="1" applyFont="1"/>
    <xf numFmtId="0" fontId="150" fillId="0" borderId="0" xfId="0" applyFont="1"/>
    <xf numFmtId="170" fontId="88" fillId="0" borderId="0" xfId="0" applyNumberFormat="1" applyFont="1"/>
    <xf numFmtId="14" fontId="0" fillId="0" borderId="0" xfId="0" applyNumberFormat="1" applyAlignment="1">
      <alignment horizontal="centerContinuous"/>
    </xf>
    <xf numFmtId="0" fontId="86" fillId="0" borderId="0" xfId="0" applyFont="1" applyAlignment="1">
      <alignment horizontal="center"/>
    </xf>
    <xf numFmtId="171" fontId="118" fillId="0" borderId="0" xfId="1" applyNumberFormat="1" applyFont="1" applyFill="1"/>
    <xf numFmtId="0" fontId="10" fillId="0" borderId="0" xfId="224" applyFont="1"/>
    <xf numFmtId="0" fontId="114" fillId="0" borderId="0" xfId="224" applyFont="1" applyAlignment="1">
      <alignment horizontal="right"/>
    </xf>
    <xf numFmtId="171" fontId="8" fillId="0" borderId="0" xfId="1" applyNumberFormat="1" applyFont="1" applyFill="1"/>
    <xf numFmtId="0" fontId="12" fillId="0" borderId="10" xfId="224" applyFont="1" applyBorder="1" applyAlignment="1">
      <alignment horizontal="center"/>
    </xf>
    <xf numFmtId="0" fontId="56" fillId="0" borderId="10" xfId="224" applyFont="1" applyBorder="1" applyAlignment="1">
      <alignment horizontal="right"/>
    </xf>
    <xf numFmtId="43" fontId="56" fillId="0" borderId="0" xfId="1" applyFont="1" applyFill="1" applyBorder="1" applyAlignment="1" applyProtection="1">
      <alignment horizontal="right"/>
    </xf>
    <xf numFmtId="171" fontId="16" fillId="0" borderId="10" xfId="1" applyNumberFormat="1" applyFont="1" applyFill="1" applyBorder="1"/>
    <xf numFmtId="0" fontId="76" fillId="0" borderId="0" xfId="0" applyFont="1"/>
    <xf numFmtId="0" fontId="56" fillId="0" borderId="0" xfId="224" applyFont="1" applyAlignment="1">
      <alignment horizontal="right"/>
    </xf>
    <xf numFmtId="172" fontId="116" fillId="0" borderId="0" xfId="2" applyNumberFormat="1" applyFont="1" applyFill="1"/>
    <xf numFmtId="172" fontId="114" fillId="0" borderId="0" xfId="2" applyNumberFormat="1" applyFont="1" applyFill="1" applyAlignment="1">
      <alignment horizontal="right"/>
    </xf>
    <xf numFmtId="5" fontId="10" fillId="0" borderId="0" xfId="224" applyNumberFormat="1" applyFont="1"/>
    <xf numFmtId="5" fontId="114" fillId="0" borderId="0" xfId="224" applyNumberFormat="1" applyFont="1" applyAlignment="1">
      <alignment horizontal="right"/>
    </xf>
    <xf numFmtId="43" fontId="15" fillId="0" borderId="0" xfId="1" applyFont="1" applyFill="1" applyBorder="1" applyAlignment="1" applyProtection="1"/>
    <xf numFmtId="171" fontId="16" fillId="0" borderId="0" xfId="1" applyNumberFormat="1" applyFont="1" applyFill="1" applyBorder="1" applyAlignment="1" applyProtection="1"/>
    <xf numFmtId="4" fontId="10" fillId="0" borderId="0" xfId="224" applyNumberFormat="1" applyFont="1"/>
    <xf numFmtId="4" fontId="114" fillId="0" borderId="0" xfId="224" applyNumberFormat="1" applyFont="1" applyAlignment="1">
      <alignment horizontal="right"/>
    </xf>
    <xf numFmtId="170" fontId="10" fillId="0" borderId="0" xfId="224" applyNumberFormat="1" applyFont="1"/>
    <xf numFmtId="170" fontId="114" fillId="0" borderId="0" xfId="224" applyNumberFormat="1" applyFont="1" applyAlignment="1">
      <alignment horizontal="right"/>
    </xf>
    <xf numFmtId="170" fontId="116" fillId="0" borderId="0" xfId="224" applyNumberFormat="1" applyFont="1"/>
    <xf numFmtId="43" fontId="15" fillId="0" borderId="0" xfId="0" applyNumberFormat="1" applyFont="1"/>
    <xf numFmtId="4" fontId="151" fillId="0" borderId="0" xfId="224" applyNumberFormat="1" applyFont="1"/>
    <xf numFmtId="0" fontId="151" fillId="0" borderId="0" xfId="224" applyFont="1"/>
    <xf numFmtId="37" fontId="113" fillId="0" borderId="0" xfId="0" applyNumberFormat="1" applyFont="1"/>
    <xf numFmtId="7" fontId="113" fillId="0" borderId="0" xfId="0" applyNumberFormat="1" applyFont="1"/>
    <xf numFmtId="7" fontId="15" fillId="0" borderId="0" xfId="0" applyNumberFormat="1" applyFont="1"/>
    <xf numFmtId="5" fontId="113" fillId="0" borderId="0" xfId="0" applyNumberFormat="1" applyFont="1"/>
    <xf numFmtId="5" fontId="10" fillId="0" borderId="12" xfId="224" applyNumberFormat="1" applyFont="1" applyBorder="1"/>
    <xf numFmtId="172" fontId="16" fillId="0" borderId="0" xfId="2" applyNumberFormat="1" applyFont="1" applyFill="1"/>
    <xf numFmtId="0" fontId="15" fillId="0" borderId="112" xfId="0" applyFont="1" applyBorder="1"/>
    <xf numFmtId="171" fontId="8" fillId="2" borderId="51" xfId="1" applyNumberFormat="1" applyFont="1" applyFill="1" applyBorder="1"/>
    <xf numFmtId="172" fontId="16" fillId="0" borderId="0" xfId="0" applyNumberFormat="1" applyFont="1"/>
    <xf numFmtId="172" fontId="152" fillId="0" borderId="0" xfId="0" applyNumberFormat="1" applyFont="1"/>
    <xf numFmtId="172" fontId="16" fillId="0" borderId="51" xfId="0" applyNumberFormat="1" applyFont="1" applyBorder="1"/>
    <xf numFmtId="194" fontId="153" fillId="0" borderId="0" xfId="0" applyNumberFormat="1" applyFont="1" applyAlignment="1">
      <alignment horizontal="left"/>
    </xf>
    <xf numFmtId="4" fontId="33" fillId="0" borderId="0" xfId="0" applyNumberFormat="1" applyFont="1"/>
    <xf numFmtId="7" fontId="33" fillId="0" borderId="0" xfId="0" applyNumberFormat="1" applyFont="1"/>
    <xf numFmtId="4" fontId="42" fillId="0" borderId="0" xfId="0" applyNumberFormat="1" applyFont="1"/>
    <xf numFmtId="3" fontId="42" fillId="0" borderId="0" xfId="0" applyNumberFormat="1" applyFont="1"/>
    <xf numFmtId="7" fontId="42" fillId="0" borderId="0" xfId="0" applyNumberFormat="1" applyFont="1"/>
    <xf numFmtId="194" fontId="33" fillId="0" borderId="0" xfId="0" applyNumberFormat="1" applyFont="1" applyAlignment="1">
      <alignment horizontal="left"/>
    </xf>
    <xf numFmtId="0" fontId="28" fillId="0" borderId="0" xfId="17" applyFont="1"/>
    <xf numFmtId="171" fontId="68" fillId="0" borderId="0" xfId="1" applyNumberFormat="1" applyFont="1"/>
    <xf numFmtId="43" fontId="0" fillId="0" borderId="0" xfId="66" applyFont="1"/>
    <xf numFmtId="195" fontId="154" fillId="0" borderId="0" xfId="0" applyNumberFormat="1" applyFont="1" applyAlignment="1">
      <alignment horizontal="left"/>
    </xf>
    <xf numFmtId="39" fontId="155" fillId="0" borderId="0" xfId="0" applyNumberFormat="1" applyFont="1" applyAlignment="1">
      <alignment horizontal="left"/>
    </xf>
    <xf numFmtId="178" fontId="156" fillId="0" borderId="0" xfId="0" applyNumberFormat="1" applyFont="1" applyAlignment="1">
      <alignment horizontal="left"/>
    </xf>
    <xf numFmtId="39" fontId="156" fillId="0" borderId="0" xfId="0" applyNumberFormat="1" applyFont="1"/>
    <xf numFmtId="1" fontId="157" fillId="0" borderId="0" xfId="0" applyNumberFormat="1" applyFont="1" applyAlignment="1">
      <alignment horizontal="left"/>
    </xf>
    <xf numFmtId="178" fontId="158" fillId="0" borderId="0" xfId="0" applyNumberFormat="1" applyFont="1" applyAlignment="1">
      <alignment horizontal="left"/>
    </xf>
    <xf numFmtId="196" fontId="158" fillId="0" borderId="0" xfId="0" applyNumberFormat="1" applyFont="1" applyAlignment="1">
      <alignment horizontal="right"/>
    </xf>
    <xf numFmtId="0" fontId="114" fillId="0" borderId="0" xfId="17" applyFont="1" applyAlignment="1">
      <alignment horizontal="right"/>
    </xf>
    <xf numFmtId="171" fontId="68" fillId="0" borderId="0" xfId="1" applyNumberFormat="1" applyFont="1" applyBorder="1"/>
    <xf numFmtId="1" fontId="158" fillId="0" borderId="0" xfId="0" applyNumberFormat="1" applyFont="1" applyAlignment="1">
      <alignment horizontal="left"/>
    </xf>
    <xf numFmtId="0" fontId="158" fillId="0" borderId="0" xfId="0" applyFont="1" applyAlignment="1">
      <alignment horizontal="left"/>
    </xf>
    <xf numFmtId="0" fontId="0" fillId="0" borderId="113" xfId="0" applyBorder="1"/>
    <xf numFmtId="171" fontId="106" fillId="0" borderId="113" xfId="1" applyNumberFormat="1" applyFont="1" applyBorder="1"/>
    <xf numFmtId="0" fontId="8" fillId="0" borderId="0" xfId="47"/>
    <xf numFmtId="171" fontId="159" fillId="0" borderId="0" xfId="1" applyNumberFormat="1" applyFont="1" applyBorder="1"/>
    <xf numFmtId="1" fontId="160" fillId="0" borderId="0" xfId="0" applyNumberFormat="1" applyFont="1" applyAlignment="1">
      <alignment horizontal="left"/>
    </xf>
    <xf numFmtId="171" fontId="106" fillId="0" borderId="15" xfId="1" applyNumberFormat="1" applyFont="1" applyBorder="1"/>
    <xf numFmtId="171" fontId="0" fillId="0" borderId="15" xfId="1" applyNumberFormat="1" applyFont="1" applyBorder="1"/>
    <xf numFmtId="39" fontId="156" fillId="0" borderId="0" xfId="0" applyNumberFormat="1" applyFont="1" applyAlignment="1">
      <alignment horizontal="left"/>
    </xf>
    <xf numFmtId="37" fontId="156" fillId="0" borderId="0" xfId="0" applyNumberFormat="1" applyFont="1"/>
    <xf numFmtId="39" fontId="156" fillId="0" borderId="0" xfId="0" applyNumberFormat="1" applyFont="1" applyAlignment="1">
      <alignment horizontal="right"/>
    </xf>
    <xf numFmtId="4" fontId="15" fillId="0" borderId="0" xfId="17" applyNumberFormat="1" applyFont="1"/>
    <xf numFmtId="171" fontId="106" fillId="0" borderId="0" xfId="1" applyNumberFormat="1" applyFont="1"/>
    <xf numFmtId="196" fontId="161" fillId="0" borderId="0" xfId="17" applyNumberFormat="1" applyFont="1" applyAlignment="1">
      <alignment horizontal="center"/>
    </xf>
    <xf numFmtId="17" fontId="114" fillId="0" borderId="0" xfId="17" applyNumberFormat="1" applyFont="1" applyAlignment="1">
      <alignment horizontal="right"/>
    </xf>
    <xf numFmtId="166" fontId="21" fillId="0" borderId="0" xfId="17" applyNumberFormat="1" applyFont="1"/>
    <xf numFmtId="171" fontId="106" fillId="0" borderId="113" xfId="1" applyNumberFormat="1" applyFont="1" applyFill="1" applyBorder="1"/>
    <xf numFmtId="37" fontId="156" fillId="0" borderId="10" xfId="0" applyNumberFormat="1" applyFont="1" applyBorder="1" applyAlignment="1">
      <alignment horizontal="right"/>
    </xf>
    <xf numFmtId="186" fontId="15" fillId="0" borderId="0" xfId="17" applyNumberFormat="1" applyFont="1"/>
    <xf numFmtId="178" fontId="156" fillId="0" borderId="0" xfId="0" applyNumberFormat="1" applyFont="1"/>
    <xf numFmtId="39" fontId="156" fillId="0" borderId="3" xfId="0" applyNumberFormat="1" applyFont="1" applyBorder="1" applyAlignment="1">
      <alignment horizontal="left"/>
    </xf>
    <xf numFmtId="39" fontId="156" fillId="0" borderId="3" xfId="0" applyNumberFormat="1" applyFont="1" applyBorder="1" applyAlignment="1">
      <alignment horizontal="right"/>
    </xf>
    <xf numFmtId="39" fontId="162" fillId="0" borderId="3" xfId="0" applyNumberFormat="1" applyFont="1" applyBorder="1" applyAlignment="1">
      <alignment horizontal="right"/>
    </xf>
    <xf numFmtId="43" fontId="163" fillId="0" borderId="0" xfId="66" applyFont="1" applyFill="1" applyAlignment="1">
      <alignment horizontal="left"/>
    </xf>
    <xf numFmtId="171" fontId="106" fillId="2" borderId="113" xfId="1" applyNumberFormat="1" applyFont="1" applyFill="1" applyBorder="1"/>
    <xf numFmtId="0" fontId="163" fillId="0" borderId="0" xfId="17" applyFont="1" applyAlignment="1">
      <alignment horizontal="right"/>
    </xf>
    <xf numFmtId="171" fontId="0" fillId="0" borderId="15" xfId="1" applyNumberFormat="1" applyFont="1" applyFill="1" applyBorder="1"/>
    <xf numFmtId="171" fontId="0" fillId="2" borderId="15" xfId="1" applyNumberFormat="1" applyFont="1" applyFill="1" applyBorder="1"/>
    <xf numFmtId="43" fontId="0" fillId="0" borderId="15" xfId="1" applyFont="1" applyBorder="1"/>
    <xf numFmtId="39" fontId="164" fillId="0" borderId="0" xfId="0" applyNumberFormat="1" applyFont="1" applyAlignment="1">
      <alignment horizontal="left"/>
    </xf>
    <xf numFmtId="169" fontId="164" fillId="0" borderId="0" xfId="0" applyNumberFormat="1" applyFont="1" applyAlignment="1">
      <alignment horizontal="left"/>
    </xf>
    <xf numFmtId="39" fontId="164" fillId="0" borderId="0" xfId="0" applyNumberFormat="1" applyFont="1"/>
    <xf numFmtId="43" fontId="163" fillId="0" borderId="0" xfId="66" applyFont="1" applyAlignment="1">
      <alignment horizontal="left"/>
    </xf>
    <xf numFmtId="43" fontId="0" fillId="0" borderId="3" xfId="66" applyFont="1" applyBorder="1"/>
    <xf numFmtId="178" fontId="165" fillId="0" borderId="0" xfId="225" applyNumberFormat="1" applyFont="1" applyAlignment="1">
      <alignment horizontal="right"/>
    </xf>
    <xf numFmtId="39" fontId="161" fillId="2" borderId="0" xfId="0" applyNumberFormat="1" applyFont="1" applyFill="1"/>
    <xf numFmtId="39" fontId="156" fillId="8" borderId="0" xfId="0" applyNumberFormat="1" applyFont="1" applyFill="1"/>
    <xf numFmtId="39" fontId="161" fillId="0" borderId="0" xfId="0" applyNumberFormat="1" applyFont="1"/>
    <xf numFmtId="171" fontId="159" fillId="0" borderId="0" xfId="1" applyNumberFormat="1" applyFont="1"/>
    <xf numFmtId="0" fontId="163" fillId="0" borderId="0" xfId="17" quotePrefix="1" applyFont="1" applyAlignment="1">
      <alignment horizontal="center"/>
    </xf>
    <xf numFmtId="43" fontId="163" fillId="2" borderId="0" xfId="66" applyFont="1" applyFill="1" applyAlignment="1">
      <alignment horizontal="center"/>
    </xf>
    <xf numFmtId="39" fontId="164" fillId="0" borderId="16" xfId="0" applyNumberFormat="1" applyFont="1" applyBorder="1" applyAlignment="1">
      <alignment horizontal="right"/>
    </xf>
    <xf numFmtId="171" fontId="68" fillId="0" borderId="15" xfId="1" applyNumberFormat="1" applyFont="1" applyBorder="1"/>
    <xf numFmtId="178" fontId="165" fillId="0" borderId="0" xfId="225" applyNumberFormat="1" applyFont="1" applyAlignment="1">
      <alignment horizontal="center"/>
    </xf>
    <xf numFmtId="39" fontId="162" fillId="0" borderId="0" xfId="0" applyNumberFormat="1" applyFont="1" applyAlignment="1">
      <alignment horizontal="right"/>
    </xf>
    <xf numFmtId="171" fontId="0" fillId="0" borderId="16" xfId="1" applyNumberFormat="1" applyFont="1" applyBorder="1"/>
    <xf numFmtId="166" fontId="15" fillId="0" borderId="3" xfId="17" applyNumberFormat="1" applyFont="1" applyBorder="1"/>
    <xf numFmtId="186" fontId="114" fillId="0" borderId="3" xfId="17" applyNumberFormat="1" applyFont="1" applyBorder="1" applyAlignment="1">
      <alignment horizontal="right"/>
    </xf>
    <xf numFmtId="39" fontId="156" fillId="0" borderId="10" xfId="0" applyNumberFormat="1" applyFont="1" applyBorder="1" applyAlignment="1">
      <alignment horizontal="right"/>
    </xf>
    <xf numFmtId="166" fontId="15" fillId="0" borderId="0" xfId="17" applyNumberFormat="1" applyFont="1"/>
    <xf numFmtId="7" fontId="114" fillId="0" borderId="0" xfId="17" applyNumberFormat="1" applyFont="1" applyAlignment="1">
      <alignment horizontal="right"/>
    </xf>
    <xf numFmtId="43" fontId="15" fillId="0" borderId="0" xfId="66" applyFont="1"/>
    <xf numFmtId="178" fontId="164" fillId="0" borderId="0" xfId="0" applyNumberFormat="1" applyFont="1" applyAlignment="1">
      <alignment horizontal="left"/>
    </xf>
    <xf numFmtId="166" fontId="15" fillId="0" borderId="51" xfId="17" applyNumberFormat="1" applyFont="1" applyBorder="1"/>
    <xf numFmtId="7" fontId="15" fillId="0" borderId="0" xfId="17" applyNumberFormat="1" applyFont="1"/>
    <xf numFmtId="39" fontId="156" fillId="8" borderId="10" xfId="0" applyNumberFormat="1" applyFont="1" applyFill="1" applyBorder="1" applyAlignment="1">
      <alignment horizontal="right"/>
    </xf>
    <xf numFmtId="39" fontId="162" fillId="8" borderId="0" xfId="0" applyNumberFormat="1" applyFont="1" applyFill="1" applyAlignment="1">
      <alignment horizontal="right"/>
    </xf>
    <xf numFmtId="39" fontId="156" fillId="8" borderId="0" xfId="0" applyNumberFormat="1" applyFont="1" applyFill="1" applyAlignment="1">
      <alignment horizontal="right"/>
    </xf>
    <xf numFmtId="43" fontId="15" fillId="0" borderId="0" xfId="17" applyNumberFormat="1" applyFont="1"/>
    <xf numFmtId="171" fontId="68" fillId="2" borderId="15" xfId="1" applyNumberFormat="1" applyFont="1" applyFill="1" applyBorder="1"/>
    <xf numFmtId="5" fontId="114" fillId="0" borderId="0" xfId="17" applyNumberFormat="1" applyFont="1" applyAlignment="1">
      <alignment horizontal="right"/>
    </xf>
    <xf numFmtId="37" fontId="21" fillId="0" borderId="0" xfId="17" applyNumberFormat="1" applyFont="1"/>
    <xf numFmtId="171" fontId="68" fillId="0" borderId="16" xfId="1" applyNumberFormat="1" applyFont="1" applyBorder="1"/>
    <xf numFmtId="0" fontId="139" fillId="0" borderId="0" xfId="0" applyFont="1" applyAlignment="1">
      <alignment horizontal="right" vertical="top"/>
    </xf>
    <xf numFmtId="0" fontId="100" fillId="0" borderId="0" xfId="0" applyFont="1" applyAlignment="1">
      <alignment horizontal="right" vertical="top"/>
    </xf>
    <xf numFmtId="5" fontId="21" fillId="0" borderId="51" xfId="17" applyNumberFormat="1" applyFont="1" applyBorder="1"/>
    <xf numFmtId="5" fontId="21" fillId="0" borderId="0" xfId="17" applyNumberFormat="1" applyFont="1"/>
    <xf numFmtId="0" fontId="92" fillId="0" borderId="0" xfId="0" applyFont="1" applyAlignment="1">
      <alignment horizontal="left" vertical="top" wrapText="1"/>
    </xf>
    <xf numFmtId="0" fontId="92" fillId="0" borderId="0" xfId="0" applyFont="1" applyAlignment="1">
      <alignment horizontal="left" vertical="top"/>
    </xf>
    <xf numFmtId="0" fontId="100" fillId="0" borderId="0" xfId="0" applyFont="1" applyAlignment="1">
      <alignment horizontal="left" vertical="top"/>
    </xf>
    <xf numFmtId="37" fontId="15" fillId="0" borderId="0" xfId="17" applyNumberFormat="1" applyFont="1"/>
    <xf numFmtId="37" fontId="114" fillId="0" borderId="0" xfId="17" applyNumberFormat="1" applyFont="1" applyAlignment="1">
      <alignment horizontal="right"/>
    </xf>
    <xf numFmtId="5" fontId="15" fillId="0" borderId="0" xfId="17" applyNumberFormat="1" applyFont="1"/>
    <xf numFmtId="171" fontId="100" fillId="0" borderId="0" xfId="1" applyNumberFormat="1" applyFont="1" applyFill="1" applyBorder="1" applyAlignment="1">
      <alignment horizontal="right" vertical="top"/>
    </xf>
    <xf numFmtId="171" fontId="16" fillId="2" borderId="41" xfId="1" applyNumberFormat="1" applyFont="1" applyFill="1" applyBorder="1" applyAlignment="1">
      <alignment horizontal="right"/>
    </xf>
    <xf numFmtId="171" fontId="56" fillId="0" borderId="0" xfId="1" applyNumberFormat="1" applyFont="1" applyFill="1" applyBorder="1" applyAlignment="1">
      <alignment horizontal="right"/>
    </xf>
    <xf numFmtId="0" fontId="100" fillId="2" borderId="0" xfId="0" applyFont="1" applyFill="1" applyAlignment="1">
      <alignment horizontal="left" vertical="top"/>
    </xf>
    <xf numFmtId="171" fontId="100" fillId="2" borderId="0" xfId="1" applyNumberFormat="1" applyFont="1" applyFill="1" applyBorder="1" applyAlignment="1">
      <alignment horizontal="right" vertical="top"/>
    </xf>
    <xf numFmtId="171" fontId="16" fillId="0" borderId="0" xfId="1" applyNumberFormat="1" applyFont="1" applyBorder="1" applyAlignment="1">
      <alignment horizontal="right"/>
    </xf>
    <xf numFmtId="171" fontId="114" fillId="0" borderId="0" xfId="1" applyNumberFormat="1" applyFont="1" applyFill="1" applyBorder="1" applyAlignment="1">
      <alignment horizontal="right"/>
    </xf>
    <xf numFmtId="5" fontId="15" fillId="0" borderId="0" xfId="66" applyNumberFormat="1" applyFont="1" applyFill="1"/>
    <xf numFmtId="43" fontId="114" fillId="0" borderId="0" xfId="66" applyFont="1" applyFill="1" applyAlignment="1">
      <alignment horizontal="right"/>
    </xf>
    <xf numFmtId="0" fontId="92" fillId="0" borderId="0" xfId="0" applyFont="1" applyAlignment="1">
      <alignment horizontal="center" vertical="center"/>
    </xf>
    <xf numFmtId="171" fontId="100" fillId="0" borderId="15" xfId="1" applyNumberFormat="1" applyFont="1" applyFill="1" applyBorder="1" applyAlignment="1">
      <alignment horizontal="right" vertical="center"/>
    </xf>
    <xf numFmtId="171" fontId="92" fillId="0" borderId="15" xfId="1" applyNumberFormat="1" applyFont="1" applyFill="1" applyBorder="1" applyAlignment="1">
      <alignment horizontal="right" vertical="center"/>
    </xf>
    <xf numFmtId="43" fontId="15" fillId="0" borderId="0" xfId="66" applyFont="1" applyFill="1"/>
    <xf numFmtId="171" fontId="100" fillId="0" borderId="0" xfId="1" applyNumberFormat="1" applyFont="1" applyFill="1" applyBorder="1" applyAlignment="1">
      <alignment horizontal="right" vertical="center"/>
    </xf>
    <xf numFmtId="171" fontId="92" fillId="0" borderId="0" xfId="1" applyNumberFormat="1" applyFont="1" applyFill="1" applyBorder="1" applyAlignment="1">
      <alignment horizontal="right" vertical="center"/>
    </xf>
    <xf numFmtId="7" fontId="15" fillId="0" borderId="0" xfId="66" applyNumberFormat="1" applyFont="1" applyFill="1"/>
    <xf numFmtId="0" fontId="15" fillId="0" borderId="0" xfId="17" quotePrefix="1" applyFont="1"/>
    <xf numFmtId="0" fontId="15" fillId="0" borderId="0" xfId="17" applyFont="1" applyAlignment="1">
      <alignment horizontal="right"/>
    </xf>
    <xf numFmtId="171" fontId="21" fillId="0" borderId="0" xfId="1" applyNumberFormat="1" applyFont="1" applyFill="1" applyBorder="1"/>
    <xf numFmtId="0" fontId="92" fillId="0" borderId="0" xfId="0" applyFont="1" applyAlignment="1">
      <alignment horizontal="center" vertical="top"/>
    </xf>
    <xf numFmtId="171" fontId="100" fillId="0" borderId="16" xfId="1" applyNumberFormat="1" applyFont="1" applyFill="1" applyBorder="1" applyAlignment="1">
      <alignment horizontal="right" vertical="top"/>
    </xf>
    <xf numFmtId="171" fontId="92" fillId="0" borderId="16" xfId="1" applyNumberFormat="1" applyFont="1" applyFill="1" applyBorder="1" applyAlignment="1">
      <alignment horizontal="right" vertical="top"/>
    </xf>
    <xf numFmtId="43" fontId="0" fillId="0" borderId="0" xfId="66" applyFont="1" applyBorder="1"/>
    <xf numFmtId="186" fontId="15" fillId="0" borderId="3" xfId="17" applyNumberFormat="1" applyFont="1" applyBorder="1"/>
    <xf numFmtId="37" fontId="8" fillId="0" borderId="0" xfId="17" applyNumberFormat="1"/>
    <xf numFmtId="0" fontId="8" fillId="0" borderId="0" xfId="17" applyAlignment="1">
      <alignment horizontal="center"/>
    </xf>
    <xf numFmtId="0" fontId="166" fillId="0" borderId="0" xfId="0" applyFont="1"/>
    <xf numFmtId="0" fontId="8" fillId="0" borderId="0" xfId="17" applyAlignment="1">
      <alignment horizontal="left"/>
    </xf>
    <xf numFmtId="49" fontId="130" fillId="0" borderId="0" xfId="17" applyNumberFormat="1" applyFont="1"/>
    <xf numFmtId="0" fontId="130" fillId="0" borderId="0" xfId="17" applyFont="1"/>
    <xf numFmtId="0" fontId="130" fillId="0" borderId="0" xfId="17" applyFont="1" applyAlignment="1">
      <alignment horizontal="left"/>
    </xf>
    <xf numFmtId="49" fontId="130" fillId="0" borderId="10" xfId="17" applyNumberFormat="1" applyFont="1" applyBorder="1"/>
    <xf numFmtId="0" fontId="130" fillId="0" borderId="10" xfId="17" applyFont="1" applyBorder="1"/>
    <xf numFmtId="0" fontId="131" fillId="0" borderId="10" xfId="17" applyFont="1" applyBorder="1" applyAlignment="1">
      <alignment horizontal="center"/>
    </xf>
    <xf numFmtId="0" fontId="167" fillId="0" borderId="0" xfId="0" applyFont="1"/>
    <xf numFmtId="0" fontId="68" fillId="0" borderId="0" xfId="17" applyFont="1" applyAlignment="1">
      <alignment horizontal="center"/>
    </xf>
    <xf numFmtId="0" fontId="83" fillId="0" borderId="0" xfId="17" applyFont="1" applyAlignment="1">
      <alignment horizontal="center"/>
    </xf>
    <xf numFmtId="0" fontId="168" fillId="0" borderId="0" xfId="17" applyFont="1" applyAlignment="1">
      <alignment horizontal="right"/>
    </xf>
    <xf numFmtId="0" fontId="130" fillId="0" borderId="0" xfId="17" applyFont="1" applyAlignment="1">
      <alignment horizontal="center"/>
    </xf>
    <xf numFmtId="0" fontId="130" fillId="0" borderId="0" xfId="17" applyFont="1" applyAlignment="1">
      <alignment horizontal="center" wrapText="1"/>
    </xf>
    <xf numFmtId="0" fontId="68" fillId="0" borderId="24" xfId="17" applyFont="1" applyBorder="1" applyAlignment="1">
      <alignment horizontal="center"/>
    </xf>
    <xf numFmtId="0" fontId="166" fillId="0" borderId="0" xfId="0" applyFont="1" applyAlignment="1">
      <alignment horizontal="center"/>
    </xf>
    <xf numFmtId="0" fontId="130" fillId="0" borderId="0" xfId="17" quotePrefix="1" applyFont="1" applyAlignment="1">
      <alignment horizontal="center"/>
    </xf>
    <xf numFmtId="37" fontId="147" fillId="0" borderId="0" xfId="17" applyNumberFormat="1" applyFont="1"/>
    <xf numFmtId="37" fontId="8" fillId="0" borderId="0" xfId="17" applyNumberFormat="1" applyAlignment="1">
      <alignment horizontal="center"/>
    </xf>
    <xf numFmtId="17" fontId="166" fillId="0" borderId="0" xfId="0" quotePrefix="1" applyNumberFormat="1" applyFont="1" applyAlignment="1">
      <alignment horizontal="center"/>
    </xf>
    <xf numFmtId="17" fontId="130" fillId="0" borderId="0" xfId="17" quotePrefix="1" applyNumberFormat="1" applyFont="1" applyAlignment="1">
      <alignment horizontal="center"/>
    </xf>
    <xf numFmtId="43" fontId="166" fillId="16" borderId="0" xfId="56" applyFont="1" applyFill="1"/>
    <xf numFmtId="43" fontId="166" fillId="0" borderId="0" xfId="0" applyNumberFormat="1" applyFont="1"/>
    <xf numFmtId="43" fontId="166" fillId="0" borderId="0" xfId="66" applyFont="1" applyFill="1" applyAlignment="1">
      <alignment horizontal="center"/>
    </xf>
    <xf numFmtId="171" fontId="166" fillId="0" borderId="0" xfId="66" applyNumberFormat="1" applyFont="1" applyFill="1" applyAlignment="1">
      <alignment horizontal="center"/>
    </xf>
    <xf numFmtId="17" fontId="166" fillId="0" borderId="0" xfId="0" applyNumberFormat="1" applyFont="1"/>
    <xf numFmtId="43" fontId="166" fillId="16" borderId="0" xfId="56" applyFont="1" applyFill="1" applyAlignment="1">
      <alignment horizontal="center"/>
    </xf>
    <xf numFmtId="43" fontId="130" fillId="16" borderId="0" xfId="56" applyFont="1" applyFill="1" applyAlignment="1">
      <alignment horizontal="center"/>
    </xf>
    <xf numFmtId="171" fontId="166" fillId="0" borderId="0" xfId="56" applyNumberFormat="1" applyFont="1" applyFill="1" applyAlignment="1">
      <alignment horizontal="center"/>
    </xf>
    <xf numFmtId="171" fontId="130" fillId="0" borderId="0" xfId="56" applyNumberFormat="1" applyFont="1" applyFill="1" applyAlignment="1">
      <alignment horizontal="center"/>
    </xf>
    <xf numFmtId="0" fontId="130" fillId="0" borderId="0" xfId="226" applyFont="1" applyAlignment="1">
      <alignment horizontal="center"/>
    </xf>
    <xf numFmtId="37" fontId="169" fillId="0" borderId="0" xfId="17" applyNumberFormat="1" applyFont="1"/>
    <xf numFmtId="14" fontId="166" fillId="0" borderId="0" xfId="0" applyNumberFormat="1" applyFont="1" applyAlignment="1">
      <alignment horizontal="center"/>
    </xf>
    <xf numFmtId="43" fontId="166" fillId="7" borderId="0" xfId="56" applyFont="1" applyFill="1"/>
    <xf numFmtId="43" fontId="166" fillId="19" borderId="0" xfId="0" applyNumberFormat="1" applyFont="1" applyFill="1"/>
    <xf numFmtId="171" fontId="166" fillId="0" borderId="0" xfId="0" applyNumberFormat="1" applyFont="1"/>
    <xf numFmtId="37" fontId="8" fillId="0" borderId="10" xfId="17" applyNumberFormat="1" applyBorder="1"/>
    <xf numFmtId="37" fontId="8" fillId="0" borderId="10" xfId="17" applyNumberFormat="1" applyBorder="1" applyAlignment="1">
      <alignment horizontal="center"/>
    </xf>
    <xf numFmtId="172" fontId="0" fillId="0" borderId="0" xfId="57" applyNumberFormat="1" applyFont="1" applyFill="1"/>
    <xf numFmtId="172" fontId="163" fillId="0" borderId="0" xfId="57" applyNumberFormat="1" applyFont="1" applyFill="1" applyAlignment="1">
      <alignment horizontal="right"/>
    </xf>
    <xf numFmtId="172" fontId="0" fillId="0" borderId="0" xfId="57" applyNumberFormat="1" applyFont="1" applyFill="1" applyAlignment="1">
      <alignment horizontal="center"/>
    </xf>
    <xf numFmtId="172" fontId="0" fillId="0" borderId="0" xfId="57" applyNumberFormat="1" applyFont="1" applyFill="1" applyBorder="1"/>
    <xf numFmtId="37" fontId="68" fillId="0" borderId="0" xfId="17" applyNumberFormat="1" applyFont="1"/>
    <xf numFmtId="43" fontId="166" fillId="16" borderId="0" xfId="66" applyFont="1" applyFill="1" applyAlignment="1">
      <alignment horizontal="center"/>
    </xf>
    <xf numFmtId="0" fontId="83" fillId="0" borderId="0" xfId="17" applyFont="1"/>
    <xf numFmtId="5" fontId="8" fillId="0" borderId="0" xfId="17" applyNumberFormat="1"/>
    <xf numFmtId="170" fontId="8" fillId="0" borderId="0" xfId="17" applyNumberFormat="1"/>
    <xf numFmtId="170" fontId="159" fillId="0" borderId="0" xfId="17" applyNumberFormat="1" applyFont="1"/>
    <xf numFmtId="170" fontId="8" fillId="0" borderId="0" xfId="19" applyNumberFormat="1" applyFill="1"/>
    <xf numFmtId="171" fontId="170" fillId="0" borderId="0" xfId="56" applyNumberFormat="1" applyFont="1"/>
    <xf numFmtId="170" fontId="159" fillId="0" borderId="0" xfId="19" applyNumberFormat="1" applyFont="1" applyFill="1"/>
    <xf numFmtId="170" fontId="159" fillId="0" borderId="0" xfId="58" applyNumberFormat="1" applyFont="1" applyFill="1" applyAlignment="1"/>
    <xf numFmtId="0" fontId="159" fillId="0" borderId="0" xfId="17" applyFont="1"/>
    <xf numFmtId="43" fontId="166" fillId="0" borderId="0" xfId="66" applyFont="1"/>
    <xf numFmtId="43" fontId="171" fillId="0" borderId="0" xfId="0" applyNumberFormat="1" applyFont="1"/>
    <xf numFmtId="10" fontId="8" fillId="0" borderId="0" xfId="17" applyNumberFormat="1"/>
    <xf numFmtId="37" fontId="8" fillId="0" borderId="51" xfId="17" applyNumberFormat="1" applyBorder="1"/>
    <xf numFmtId="171" fontId="166" fillId="2" borderId="0" xfId="66" applyNumberFormat="1" applyFont="1" applyFill="1" applyAlignment="1">
      <alignment horizontal="center"/>
    </xf>
    <xf numFmtId="197" fontId="68" fillId="0" borderId="0" xfId="17" applyNumberFormat="1" applyFont="1" applyAlignment="1">
      <alignment horizontal="center"/>
    </xf>
    <xf numFmtId="37" fontId="68" fillId="0" borderId="0" xfId="17" applyNumberFormat="1" applyFont="1" applyAlignment="1">
      <alignment horizontal="center"/>
    </xf>
    <xf numFmtId="37" fontId="8" fillId="2" borderId="0" xfId="17" applyNumberFormat="1" applyFill="1"/>
    <xf numFmtId="37" fontId="8" fillId="0" borderId="0" xfId="17" applyNumberFormat="1" applyAlignment="1">
      <alignment horizontal="right"/>
    </xf>
    <xf numFmtId="171" fontId="166" fillId="7" borderId="0" xfId="56" applyNumberFormat="1" applyFont="1" applyFill="1"/>
    <xf numFmtId="0" fontId="8" fillId="0" borderId="0" xfId="110" applyAlignment="1">
      <alignment horizontal="center"/>
    </xf>
    <xf numFmtId="37" fontId="147" fillId="0" borderId="0" xfId="110" applyNumberFormat="1" applyFont="1"/>
    <xf numFmtId="37" fontId="8" fillId="0" borderId="0" xfId="110" applyNumberFormat="1"/>
    <xf numFmtId="37" fontId="169" fillId="0" borderId="0" xfId="110" applyNumberFormat="1" applyFont="1"/>
    <xf numFmtId="37" fontId="8" fillId="0" borderId="51" xfId="54" applyNumberFormat="1" applyBorder="1"/>
    <xf numFmtId="17" fontId="130" fillId="0" borderId="0" xfId="17" applyNumberFormat="1" applyFont="1" applyAlignment="1">
      <alignment horizontal="center"/>
    </xf>
    <xf numFmtId="37" fontId="8" fillId="0" borderId="0" xfId="54" applyNumberFormat="1"/>
    <xf numFmtId="0" fontId="134" fillId="0" borderId="0" xfId="0" applyFont="1"/>
    <xf numFmtId="0" fontId="8" fillId="4" borderId="0" xfId="0" applyFont="1" applyFill="1"/>
    <xf numFmtId="0" fontId="169" fillId="4" borderId="25" xfId="0" applyFont="1" applyFill="1" applyBorder="1"/>
    <xf numFmtId="0" fontId="169" fillId="4" borderId="24" xfId="0" applyFont="1" applyFill="1" applyBorder="1"/>
    <xf numFmtId="178" fontId="169" fillId="4" borderId="24" xfId="0" applyNumberFormat="1" applyFont="1" applyFill="1" applyBorder="1"/>
    <xf numFmtId="0" fontId="8" fillId="4" borderId="24" xfId="0" applyFont="1" applyFill="1" applyBorder="1" applyAlignment="1">
      <alignment horizontal="right"/>
    </xf>
    <xf numFmtId="0" fontId="8" fillId="4" borderId="24" xfId="0" applyFont="1" applyFill="1" applyBorder="1"/>
    <xf numFmtId="3" fontId="8" fillId="4" borderId="24" xfId="103" applyNumberFormat="1" applyFont="1" applyFill="1" applyBorder="1"/>
    <xf numFmtId="3" fontId="169" fillId="4" borderId="24" xfId="103" applyNumberFormat="1" applyFont="1" applyFill="1" applyBorder="1"/>
    <xf numFmtId="0" fontId="8" fillId="4" borderId="23" xfId="0" applyFont="1" applyFill="1" applyBorder="1"/>
    <xf numFmtId="0" fontId="169" fillId="4" borderId="22" xfId="0" applyFont="1" applyFill="1" applyBorder="1"/>
    <xf numFmtId="0" fontId="169" fillId="4" borderId="0" xfId="0" applyFont="1" applyFill="1"/>
    <xf numFmtId="178" fontId="169" fillId="4" borderId="0" xfId="0" applyNumberFormat="1" applyFont="1" applyFill="1"/>
    <xf numFmtId="0" fontId="8" fillId="4" borderId="0" xfId="0" applyFont="1" applyFill="1" applyAlignment="1">
      <alignment horizontal="right"/>
    </xf>
    <xf numFmtId="3" fontId="8" fillId="4" borderId="0" xfId="103" applyNumberFormat="1" applyFont="1" applyFill="1" applyBorder="1"/>
    <xf numFmtId="3" fontId="169" fillId="4" borderId="0" xfId="103" applyNumberFormat="1" applyFont="1" applyFill="1" applyBorder="1"/>
    <xf numFmtId="0" fontId="8" fillId="4" borderId="21" xfId="0" applyFont="1" applyFill="1" applyBorder="1"/>
    <xf numFmtId="198" fontId="68" fillId="4" borderId="22" xfId="103" applyNumberFormat="1" applyFont="1" applyFill="1" applyBorder="1"/>
    <xf numFmtId="198" fontId="68" fillId="4" borderId="0" xfId="103" applyNumberFormat="1" applyFont="1" applyFill="1" applyBorder="1"/>
    <xf numFmtId="199" fontId="172" fillId="4" borderId="0" xfId="0" applyNumberFormat="1" applyFont="1" applyFill="1"/>
    <xf numFmtId="10" fontId="8" fillId="4" borderId="0" xfId="148" applyNumberFormat="1" applyFont="1" applyFill="1" applyBorder="1"/>
    <xf numFmtId="3" fontId="8" fillId="4" borderId="3" xfId="0" applyNumberFormat="1" applyFont="1" applyFill="1" applyBorder="1"/>
    <xf numFmtId="3" fontId="8" fillId="4" borderId="3" xfId="103" applyNumberFormat="1" applyFont="1" applyFill="1" applyBorder="1"/>
    <xf numFmtId="0" fontId="173" fillId="4" borderId="22" xfId="0" applyFont="1" applyFill="1" applyBorder="1"/>
    <xf numFmtId="0" fontId="173" fillId="4" borderId="0" xfId="0" applyFont="1" applyFill="1"/>
    <xf numFmtId="3" fontId="8" fillId="4" borderId="0" xfId="0" applyNumberFormat="1" applyFont="1" applyFill="1"/>
    <xf numFmtId="178" fontId="173" fillId="4" borderId="22" xfId="0" applyNumberFormat="1" applyFont="1" applyFill="1" applyBorder="1"/>
    <xf numFmtId="178" fontId="173" fillId="4" borderId="0" xfId="0" applyNumberFormat="1" applyFont="1" applyFill="1"/>
    <xf numFmtId="14" fontId="8" fillId="4" borderId="22" xfId="0" applyNumberFormat="1" applyFont="1" applyFill="1" applyBorder="1" applyAlignment="1">
      <alignment horizontal="right"/>
    </xf>
    <xf numFmtId="14" fontId="8" fillId="4" borderId="0" xfId="0" applyNumberFormat="1" applyFont="1" applyFill="1" applyAlignment="1">
      <alignment horizontal="right"/>
    </xf>
    <xf numFmtId="0" fontId="8" fillId="4" borderId="0" xfId="0" applyFont="1" applyFill="1" applyAlignment="1">
      <alignment horizontal="center" wrapText="1"/>
    </xf>
    <xf numFmtId="0" fontId="122" fillId="4" borderId="0" xfId="0" applyFont="1" applyFill="1"/>
    <xf numFmtId="178" fontId="169" fillId="4" borderId="22" xfId="0" applyNumberFormat="1" applyFont="1" applyFill="1" applyBorder="1"/>
    <xf numFmtId="14" fontId="68" fillId="4" borderId="22" xfId="0" applyNumberFormat="1" applyFont="1" applyFill="1" applyBorder="1"/>
    <xf numFmtId="14" fontId="68" fillId="4" borderId="0" xfId="0" applyNumberFormat="1" applyFont="1" applyFill="1"/>
    <xf numFmtId="0" fontId="8" fillId="4" borderId="0" xfId="0" applyFont="1" applyFill="1" applyAlignment="1">
      <alignment horizontal="center"/>
    </xf>
    <xf numFmtId="178" fontId="8" fillId="4" borderId="0" xfId="0" applyNumberFormat="1" applyFont="1" applyFill="1"/>
    <xf numFmtId="0" fontId="8" fillId="4" borderId="22" xfId="0" applyFont="1" applyFill="1" applyBorder="1"/>
    <xf numFmtId="178" fontId="147" fillId="4" borderId="0" xfId="0" applyNumberFormat="1" applyFont="1" applyFill="1"/>
    <xf numFmtId="0" fontId="8" fillId="4" borderId="20" xfId="0" applyFont="1" applyFill="1" applyBorder="1"/>
    <xf numFmtId="0" fontId="8" fillId="4" borderId="19" xfId="0" applyFont="1" applyFill="1" applyBorder="1"/>
    <xf numFmtId="0" fontId="8" fillId="4" borderId="18" xfId="0" applyFont="1" applyFill="1" applyBorder="1"/>
    <xf numFmtId="5" fontId="8" fillId="4" borderId="22" xfId="0" applyNumberFormat="1" applyFont="1" applyFill="1" applyBorder="1"/>
    <xf numFmtId="5" fontId="8" fillId="4" borderId="0" xfId="0" applyNumberFormat="1" applyFont="1" applyFill="1"/>
    <xf numFmtId="5" fontId="68" fillId="4" borderId="0" xfId="0" applyNumberFormat="1" applyFont="1" applyFill="1"/>
    <xf numFmtId="5" fontId="68" fillId="2" borderId="41" xfId="103" applyNumberFormat="1" applyFont="1" applyFill="1" applyBorder="1"/>
    <xf numFmtId="5" fontId="8" fillId="4" borderId="55" xfId="0" applyNumberFormat="1" applyFont="1" applyFill="1" applyBorder="1"/>
    <xf numFmtId="5" fontId="8" fillId="4" borderId="3" xfId="0" applyNumberFormat="1" applyFont="1" applyFill="1" applyBorder="1"/>
    <xf numFmtId="5" fontId="8" fillId="4" borderId="22" xfId="103" applyNumberFormat="1" applyFont="1" applyFill="1" applyBorder="1"/>
    <xf numFmtId="5" fontId="8" fillId="4" borderId="0" xfId="103" applyNumberFormat="1" applyFont="1" applyFill="1" applyBorder="1"/>
    <xf numFmtId="5" fontId="68" fillId="4" borderId="3" xfId="103" applyNumberFormat="1" applyFont="1" applyFill="1" applyBorder="1"/>
    <xf numFmtId="5" fontId="68" fillId="4" borderId="0" xfId="103" applyNumberFormat="1" applyFont="1" applyFill="1" applyBorder="1"/>
    <xf numFmtId="5" fontId="68" fillId="2" borderId="41" xfId="0" applyNumberFormat="1" applyFont="1" applyFill="1" applyBorder="1"/>
    <xf numFmtId="200" fontId="169" fillId="4" borderId="22" xfId="103" applyNumberFormat="1" applyFont="1" applyFill="1" applyBorder="1"/>
    <xf numFmtId="200" fontId="8" fillId="4" borderId="0" xfId="103" applyNumberFormat="1" applyFont="1" applyFill="1" applyBorder="1"/>
    <xf numFmtId="200" fontId="169" fillId="4" borderId="0" xfId="103" applyNumberFormat="1" applyFont="1" applyFill="1" applyBorder="1"/>
    <xf numFmtId="5" fontId="8" fillId="4" borderId="55" xfId="103" applyNumberFormat="1" applyFont="1" applyFill="1" applyBorder="1"/>
    <xf numFmtId="5" fontId="8" fillId="4" borderId="3" xfId="103" applyNumberFormat="1" applyFont="1" applyFill="1" applyBorder="1"/>
    <xf numFmtId="5" fontId="68" fillId="4" borderId="22" xfId="103" applyNumberFormat="1" applyFont="1" applyFill="1" applyBorder="1"/>
    <xf numFmtId="3" fontId="169" fillId="4" borderId="22" xfId="0" applyNumberFormat="1" applyFont="1" applyFill="1" applyBorder="1"/>
    <xf numFmtId="3" fontId="169" fillId="4" borderId="0" xfId="0" applyNumberFormat="1" applyFont="1" applyFill="1"/>
    <xf numFmtId="17" fontId="8" fillId="4" borderId="22" xfId="0" applyNumberFormat="1" applyFont="1" applyFill="1" applyBorder="1" applyAlignment="1">
      <alignment horizontal="right"/>
    </xf>
    <xf numFmtId="17" fontId="8" fillId="4" borderId="0" xfId="0" applyNumberFormat="1" applyFont="1" applyFill="1" applyAlignment="1">
      <alignment horizontal="right"/>
    </xf>
    <xf numFmtId="0" fontId="68" fillId="4" borderId="0" xfId="0" quotePrefix="1" applyFont="1" applyFill="1" applyAlignment="1">
      <alignment horizontal="right"/>
    </xf>
    <xf numFmtId="0" fontId="174" fillId="4" borderId="21" xfId="0" applyFont="1" applyFill="1" applyBorder="1"/>
    <xf numFmtId="0" fontId="174" fillId="4" borderId="18" xfId="0" applyFont="1" applyFill="1" applyBorder="1"/>
    <xf numFmtId="0" fontId="175" fillId="0" borderId="0" xfId="0" applyFont="1"/>
    <xf numFmtId="172" fontId="10" fillId="0" borderId="0" xfId="2" applyNumberFormat="1" applyFont="1" applyFill="1" applyBorder="1"/>
    <xf numFmtId="44" fontId="166" fillId="0" borderId="0" xfId="0" applyNumberFormat="1" applyFont="1"/>
    <xf numFmtId="0" fontId="166" fillId="0" borderId="0" xfId="0" applyFont="1" applyAlignment="1">
      <alignment horizontal="right"/>
    </xf>
    <xf numFmtId="172" fontId="10" fillId="0" borderId="0" xfId="2" applyNumberFormat="1" applyFont="1" applyFill="1" applyBorder="1" applyAlignment="1">
      <alignment horizontal="right"/>
    </xf>
    <xf numFmtId="172" fontId="10" fillId="0" borderId="10" xfId="2" applyNumberFormat="1" applyFont="1" applyFill="1" applyBorder="1"/>
    <xf numFmtId="179" fontId="10" fillId="0" borderId="0" xfId="7" applyNumberFormat="1" applyFont="1" applyFill="1" applyBorder="1"/>
    <xf numFmtId="179" fontId="10" fillId="0" borderId="10" xfId="7" applyNumberFormat="1" applyFont="1" applyFill="1" applyBorder="1"/>
    <xf numFmtId="44" fontId="176" fillId="0" borderId="0" xfId="0" applyNumberFormat="1" applyFont="1"/>
    <xf numFmtId="0" fontId="34" fillId="0" borderId="0" xfId="0" applyFont="1"/>
    <xf numFmtId="0" fontId="34" fillId="0" borderId="0" xfId="0" applyFont="1" applyAlignment="1">
      <alignment horizontal="center"/>
    </xf>
    <xf numFmtId="172" fontId="36" fillId="0" borderId="0" xfId="0" applyNumberFormat="1" applyFont="1"/>
    <xf numFmtId="172" fontId="34" fillId="0" borderId="0" xfId="0" applyNumberFormat="1" applyFont="1"/>
    <xf numFmtId="172" fontId="10" fillId="0" borderId="3" xfId="2" applyNumberFormat="1" applyFont="1" applyFill="1" applyBorder="1"/>
    <xf numFmtId="37" fontId="10" fillId="0" borderId="0" xfId="20" applyNumberFormat="1" applyFont="1"/>
    <xf numFmtId="37" fontId="10" fillId="0" borderId="0" xfId="20" applyNumberFormat="1" applyFont="1" applyAlignment="1">
      <alignment horizontal="center"/>
    </xf>
    <xf numFmtId="172" fontId="34" fillId="0" borderId="10" xfId="0" applyNumberFormat="1" applyFont="1" applyBorder="1"/>
    <xf numFmtId="171" fontId="10" fillId="0" borderId="0" xfId="2" applyNumberFormat="1" applyFont="1" applyFill="1" applyBorder="1"/>
    <xf numFmtId="172" fontId="117" fillId="0" borderId="0" xfId="2" applyNumberFormat="1" applyFont="1" applyFill="1" applyBorder="1"/>
    <xf numFmtId="177" fontId="117" fillId="0" borderId="0" xfId="1" applyNumberFormat="1" applyFont="1" applyFill="1" applyBorder="1"/>
    <xf numFmtId="177" fontId="10" fillId="0" borderId="0" xfId="1" applyNumberFormat="1" applyFont="1" applyFill="1" applyBorder="1"/>
    <xf numFmtId="172" fontId="117" fillId="0" borderId="0" xfId="0" applyNumberFormat="1" applyFont="1"/>
    <xf numFmtId="5" fontId="10" fillId="0" borderId="0" xfId="20" applyNumberFormat="1" applyFont="1"/>
    <xf numFmtId="0" fontId="10" fillId="0" borderId="0" xfId="20" applyFont="1" applyAlignment="1">
      <alignment horizontal="center"/>
    </xf>
    <xf numFmtId="0" fontId="175" fillId="0" borderId="0" xfId="0" applyFont="1" applyAlignment="1">
      <alignment horizontal="center"/>
    </xf>
    <xf numFmtId="0" fontId="77" fillId="0" borderId="0" xfId="44" applyFont="1"/>
    <xf numFmtId="0" fontId="77" fillId="0" borderId="0" xfId="44" applyFont="1" applyAlignment="1">
      <alignment horizontal="center"/>
    </xf>
    <xf numFmtId="0" fontId="175" fillId="0" borderId="0" xfId="0" applyFont="1" applyAlignment="1">
      <alignment horizontal="center" wrapText="1"/>
    </xf>
    <xf numFmtId="172" fontId="15" fillId="0" borderId="0" xfId="2" applyNumberFormat="1" applyFont="1" applyFill="1" applyBorder="1" applyAlignment="1">
      <alignment horizontal="center" wrapText="1"/>
    </xf>
    <xf numFmtId="0" fontId="77" fillId="0" borderId="0" xfId="44" applyFont="1" applyAlignment="1">
      <alignment horizontal="center" wrapText="1"/>
    </xf>
    <xf numFmtId="0" fontId="15" fillId="0" borderId="0" xfId="20" applyFont="1" applyAlignment="1">
      <alignment horizontal="left"/>
    </xf>
    <xf numFmtId="201" fontId="0" fillId="0" borderId="0" xfId="0" applyNumberFormat="1"/>
    <xf numFmtId="201" fontId="92" fillId="0" borderId="104" xfId="0" applyNumberFormat="1" applyFont="1" applyBorder="1" applyAlignment="1">
      <alignment horizontal="right" vertical="top"/>
    </xf>
    <xf numFmtId="0" fontId="92" fillId="0" borderId="106" xfId="0" applyFont="1" applyBorder="1" applyAlignment="1">
      <alignment horizontal="center" vertical="top"/>
    </xf>
    <xf numFmtId="0" fontId="92" fillId="0" borderId="46" xfId="0" applyFont="1" applyBorder="1" applyAlignment="1">
      <alignment horizontal="center" vertical="top"/>
    </xf>
    <xf numFmtId="0" fontId="92" fillId="0" borderId="104" xfId="0" applyFont="1" applyBorder="1" applyAlignment="1">
      <alignment horizontal="left" vertical="top" wrapText="1"/>
    </xf>
    <xf numFmtId="0" fontId="92" fillId="0" borderId="97" xfId="0" applyFont="1" applyBorder="1" applyAlignment="1">
      <alignment horizontal="center" vertical="top"/>
    </xf>
    <xf numFmtId="0" fontId="139" fillId="0" borderId="104" xfId="0" applyFont="1" applyBorder="1" applyAlignment="1">
      <alignment horizontal="right" vertical="top"/>
    </xf>
    <xf numFmtId="0" fontId="92" fillId="0" borderId="108" xfId="0" applyFont="1" applyBorder="1" applyAlignment="1">
      <alignment horizontal="left" vertical="top" wrapText="1"/>
    </xf>
    <xf numFmtId="0" fontId="92" fillId="0" borderId="110" xfId="0" applyFont="1" applyBorder="1" applyAlignment="1">
      <alignment horizontal="center" vertical="top"/>
    </xf>
    <xf numFmtId="0" fontId="139" fillId="0" borderId="66" xfId="0" applyFont="1" applyBorder="1" applyAlignment="1">
      <alignment horizontal="right" vertical="top"/>
    </xf>
    <xf numFmtId="0" fontId="92" fillId="0" borderId="39" xfId="0" applyFont="1" applyBorder="1" applyAlignment="1">
      <alignment horizontal="center" vertical="top"/>
    </xf>
    <xf numFmtId="0" fontId="139" fillId="0" borderId="69" xfId="0" applyFont="1" applyBorder="1" applyAlignment="1">
      <alignment horizontal="right" vertical="top"/>
    </xf>
    <xf numFmtId="0" fontId="92" fillId="0" borderId="104" xfId="0" applyFont="1" applyBorder="1" applyAlignment="1">
      <alignment horizontal="left" vertical="top"/>
    </xf>
    <xf numFmtId="44" fontId="0" fillId="0" borderId="0" xfId="2" applyFont="1" applyFill="1"/>
    <xf numFmtId="44" fontId="0" fillId="0" borderId="3" xfId="2" applyFont="1" applyBorder="1"/>
    <xf numFmtId="7" fontId="92" fillId="0" borderId="0" xfId="2" applyNumberFormat="1" applyFont="1" applyFill="1" applyBorder="1" applyAlignment="1">
      <alignment horizontal="right" vertical="center"/>
    </xf>
    <xf numFmtId="0" fontId="92" fillId="0" borderId="0" xfId="17" applyFont="1" applyAlignment="1">
      <alignment horizontal="left" vertical="top"/>
    </xf>
    <xf numFmtId="7" fontId="92" fillId="0" borderId="39" xfId="2" applyNumberFormat="1" applyFont="1" applyFill="1" applyBorder="1" applyAlignment="1">
      <alignment horizontal="right" vertical="center"/>
    </xf>
    <xf numFmtId="0" fontId="175" fillId="0" borderId="42" xfId="0" applyFont="1" applyBorder="1"/>
    <xf numFmtId="0" fontId="92" fillId="0" borderId="114" xfId="17" applyFont="1" applyBorder="1" applyAlignment="1">
      <alignment horizontal="left" vertical="top"/>
    </xf>
    <xf numFmtId="0" fontId="177" fillId="0" borderId="69" xfId="17" applyFont="1" applyBorder="1" applyAlignment="1">
      <alignment horizontal="right" vertical="top"/>
    </xf>
    <xf numFmtId="0" fontId="92" fillId="0" borderId="104" xfId="17" applyFont="1" applyBorder="1" applyAlignment="1">
      <alignment horizontal="left" vertical="top"/>
    </xf>
    <xf numFmtId="0" fontId="177" fillId="0" borderId="104" xfId="17" applyFont="1" applyBorder="1" applyAlignment="1">
      <alignment horizontal="right" vertical="top"/>
    </xf>
    <xf numFmtId="0" fontId="92" fillId="0" borderId="104" xfId="17" applyFont="1" applyBorder="1" applyAlignment="1">
      <alignment horizontal="center" vertical="top"/>
    </xf>
    <xf numFmtId="0" fontId="177" fillId="0" borderId="110" xfId="17" applyFont="1" applyBorder="1" applyAlignment="1">
      <alignment horizontal="right" vertical="top"/>
    </xf>
    <xf numFmtId="0" fontId="92" fillId="0" borderId="97" xfId="17" applyFont="1" applyBorder="1" applyAlignment="1">
      <alignment horizontal="center" vertical="center"/>
    </xf>
    <xf numFmtId="0" fontId="92" fillId="0" borderId="104" xfId="17" applyFont="1" applyBorder="1" applyAlignment="1">
      <alignment horizontal="center" vertical="center"/>
    </xf>
    <xf numFmtId="0" fontId="177" fillId="0" borderId="108" xfId="17" applyFont="1" applyBorder="1" applyAlignment="1">
      <alignment horizontal="right" vertical="top"/>
    </xf>
    <xf numFmtId="0" fontId="92" fillId="0" borderId="104" xfId="17" applyFont="1" applyBorder="1" applyAlignment="1">
      <alignment horizontal="left" vertical="top" wrapText="1"/>
    </xf>
    <xf numFmtId="171" fontId="0" fillId="0" borderId="16" xfId="0" applyNumberFormat="1" applyBorder="1"/>
    <xf numFmtId="171" fontId="0" fillId="0" borderId="0" xfId="1" applyNumberFormat="1" applyFont="1" applyFill="1" applyAlignment="1">
      <alignment vertical="center"/>
    </xf>
    <xf numFmtId="0" fontId="0" fillId="0" borderId="0" xfId="0" applyAlignment="1">
      <alignment horizontal="right" vertical="center"/>
    </xf>
    <xf numFmtId="171" fontId="0" fillId="0" borderId="3" xfId="1" applyNumberFormat="1" applyFont="1" applyBorder="1"/>
    <xf numFmtId="202" fontId="100" fillId="0" borderId="0" xfId="0" applyNumberFormat="1" applyFont="1" applyAlignment="1">
      <alignment horizontal="right" vertical="top"/>
    </xf>
    <xf numFmtId="202" fontId="100" fillId="0" borderId="0" xfId="0" applyNumberFormat="1" applyFont="1" applyAlignment="1">
      <alignment horizontal="left" vertical="top"/>
    </xf>
    <xf numFmtId="7" fontId="92" fillId="0" borderId="104" xfId="2" applyNumberFormat="1" applyFont="1" applyFill="1" applyBorder="1" applyAlignment="1">
      <alignment horizontal="right" vertical="center"/>
    </xf>
    <xf numFmtId="0" fontId="92" fillId="0" borderId="83" xfId="0" applyFont="1" applyBorder="1" applyAlignment="1">
      <alignment horizontal="center" vertical="top"/>
    </xf>
    <xf numFmtId="43" fontId="92" fillId="0" borderId="104" xfId="2" applyNumberFormat="1" applyFont="1" applyFill="1" applyBorder="1" applyAlignment="1">
      <alignment horizontal="right" vertical="center"/>
    </xf>
    <xf numFmtId="0" fontId="137" fillId="0" borderId="106" xfId="0" applyFont="1" applyBorder="1" applyAlignment="1">
      <alignment horizontal="left" vertical="center"/>
    </xf>
    <xf numFmtId="0" fontId="92" fillId="0" borderId="39" xfId="17" applyFont="1" applyBorder="1" applyAlignment="1">
      <alignment horizontal="left" vertical="center" wrapText="1"/>
    </xf>
    <xf numFmtId="0" fontId="137" fillId="0" borderId="39" xfId="17" applyFont="1" applyBorder="1" applyAlignment="1">
      <alignment horizontal="left" vertical="center"/>
    </xf>
    <xf numFmtId="0" fontId="0" fillId="0" borderId="0" xfId="0" applyAlignment="1">
      <alignment vertical="center" wrapText="1"/>
    </xf>
    <xf numFmtId="0" fontId="137" fillId="0" borderId="104" xfId="0" applyFont="1" applyBorder="1" applyAlignment="1">
      <alignment horizontal="left" vertical="center"/>
    </xf>
    <xf numFmtId="0" fontId="92" fillId="0" borderId="104" xfId="0" applyFont="1" applyBorder="1" applyAlignment="1">
      <alignment horizontal="left" vertical="center" wrapText="1"/>
    </xf>
    <xf numFmtId="0" fontId="178" fillId="0" borderId="104" xfId="0" applyFont="1" applyBorder="1" applyAlignment="1">
      <alignment horizontal="left" vertical="center"/>
    </xf>
    <xf numFmtId="0" fontId="92" fillId="0" borderId="104" xfId="0" applyFont="1" applyBorder="1" applyAlignment="1">
      <alignment horizontal="center" vertical="top"/>
    </xf>
    <xf numFmtId="0" fontId="139" fillId="0" borderId="106" xfId="0" applyFont="1" applyBorder="1" applyAlignment="1">
      <alignment horizontal="right" vertical="top"/>
    </xf>
    <xf numFmtId="0" fontId="139" fillId="0" borderId="97" xfId="0" applyFont="1" applyBorder="1" applyAlignment="1">
      <alignment horizontal="right" vertical="top"/>
    </xf>
    <xf numFmtId="0" fontId="175" fillId="0" borderId="0" xfId="0" applyFont="1" applyAlignment="1">
      <alignment wrapText="1"/>
    </xf>
    <xf numFmtId="43" fontId="0" fillId="0" borderId="3" xfId="0" applyNumberFormat="1" applyBorder="1"/>
    <xf numFmtId="43" fontId="0" fillId="20" borderId="0" xfId="1" applyFont="1" applyFill="1"/>
    <xf numFmtId="169" fontId="0" fillId="20" borderId="0" xfId="0" applyNumberFormat="1" applyFill="1"/>
    <xf numFmtId="43" fontId="106" fillId="20" borderId="0" xfId="1" applyFont="1" applyFill="1"/>
    <xf numFmtId="197" fontId="0" fillId="20" borderId="0" xfId="0" applyNumberFormat="1" applyFill="1"/>
    <xf numFmtId="169" fontId="0" fillId="0" borderId="0" xfId="0" applyNumberFormat="1"/>
    <xf numFmtId="43" fontId="106" fillId="0" borderId="0" xfId="1" applyFont="1" applyFill="1"/>
    <xf numFmtId="197" fontId="0" fillId="0" borderId="0" xfId="0" applyNumberFormat="1"/>
    <xf numFmtId="9" fontId="0" fillId="0" borderId="0" xfId="7" applyFont="1"/>
    <xf numFmtId="43" fontId="0" fillId="0" borderId="10" xfId="1" applyFont="1" applyBorder="1"/>
    <xf numFmtId="0" fontId="92" fillId="0" borderId="108" xfId="0" applyFont="1" applyBorder="1" applyAlignment="1">
      <alignment horizontal="left" vertical="center" wrapText="1"/>
    </xf>
    <xf numFmtId="44" fontId="80" fillId="14" borderId="101" xfId="0" applyNumberFormat="1" applyFont="1" applyFill="1" applyBorder="1"/>
    <xf numFmtId="0" fontId="80" fillId="14" borderId="101" xfId="0" applyFont="1" applyFill="1" applyBorder="1"/>
    <xf numFmtId="0" fontId="80" fillId="0" borderId="101" xfId="0" applyFont="1" applyBorder="1"/>
    <xf numFmtId="43" fontId="0" fillId="0" borderId="10" xfId="0" applyNumberFormat="1" applyBorder="1"/>
    <xf numFmtId="0" fontId="80" fillId="0" borderId="0" xfId="0" applyFont="1" applyAlignment="1">
      <alignment horizontal="center"/>
    </xf>
    <xf numFmtId="0" fontId="80" fillId="21" borderId="99" xfId="0" applyFont="1" applyFill="1" applyBorder="1"/>
    <xf numFmtId="0" fontId="80" fillId="14" borderId="99" xfId="0" applyFont="1" applyFill="1" applyBorder="1"/>
    <xf numFmtId="0" fontId="80" fillId="21" borderId="0" xfId="0" applyFont="1" applyFill="1"/>
    <xf numFmtId="0" fontId="80" fillId="14" borderId="0" xfId="0" applyFont="1" applyFill="1"/>
    <xf numFmtId="0" fontId="2" fillId="0" borderId="0" xfId="0" applyFont="1"/>
    <xf numFmtId="171" fontId="2" fillId="0" borderId="19" xfId="92" applyNumberFormat="1" applyFont="1" applyBorder="1"/>
    <xf numFmtId="0" fontId="2" fillId="0" borderId="19" xfId="16" applyFont="1" applyBorder="1" applyAlignment="1">
      <alignment horizontal="left"/>
    </xf>
    <xf numFmtId="0" fontId="179" fillId="0" borderId="24" xfId="16" applyFont="1" applyBorder="1" applyAlignment="1">
      <alignment horizontal="center" wrapText="1"/>
    </xf>
    <xf numFmtId="43" fontId="179" fillId="0" borderId="24" xfId="21" applyFont="1" applyFill="1" applyBorder="1" applyAlignment="1">
      <alignment horizontal="center" wrapText="1"/>
    </xf>
    <xf numFmtId="0" fontId="80" fillId="0" borderId="0" xfId="16" applyFont="1" applyAlignment="1">
      <alignment horizontal="center" wrapText="1"/>
    </xf>
    <xf numFmtId="14" fontId="80" fillId="0" borderId="0" xfId="0" applyNumberFormat="1" applyFont="1" applyAlignment="1">
      <alignment horizontal="left"/>
    </xf>
    <xf numFmtId="0" fontId="2" fillId="0" borderId="0" xfId="18" applyFont="1" applyAlignment="1">
      <alignment horizontal="center"/>
    </xf>
    <xf numFmtId="171" fontId="106" fillId="0" borderId="0" xfId="92" applyNumberFormat="1" applyFont="1" applyFill="1" applyBorder="1"/>
    <xf numFmtId="171" fontId="106" fillId="0" borderId="0" xfId="92" applyNumberFormat="1" applyFont="1" applyFill="1"/>
    <xf numFmtId="171" fontId="2" fillId="0" borderId="18" xfId="92" applyNumberFormat="1" applyFont="1" applyBorder="1"/>
    <xf numFmtId="171" fontId="2" fillId="0" borderId="21" xfId="92" applyNumberFormat="1" applyFont="1" applyBorder="1"/>
    <xf numFmtId="171" fontId="2" fillId="0" borderId="0" xfId="92" applyNumberFormat="1" applyFont="1" applyBorder="1"/>
    <xf numFmtId="0" fontId="80" fillId="0" borderId="10" xfId="0" applyFont="1" applyBorder="1" applyAlignment="1">
      <alignment horizontal="center"/>
    </xf>
    <xf numFmtId="0" fontId="108" fillId="0" borderId="0" xfId="0" applyFont="1"/>
    <xf numFmtId="0" fontId="180" fillId="0" borderId="0" xfId="0" applyFont="1" applyAlignment="1">
      <alignment horizontal="right"/>
    </xf>
    <xf numFmtId="171" fontId="2" fillId="0" borderId="0" xfId="92" applyNumberFormat="1" applyFont="1"/>
    <xf numFmtId="0" fontId="181" fillId="0" borderId="0" xfId="0" applyFont="1"/>
    <xf numFmtId="171" fontId="2" fillId="0" borderId="23" xfId="92" applyNumberFormat="1" applyFont="1" applyBorder="1"/>
    <xf numFmtId="0" fontId="2" fillId="0" borderId="24" xfId="16" applyFont="1" applyBorder="1" applyAlignment="1">
      <alignment horizontal="left"/>
    </xf>
    <xf numFmtId="171" fontId="2" fillId="0" borderId="24" xfId="92" applyNumberFormat="1" applyFont="1" applyBorder="1"/>
    <xf numFmtId="171" fontId="2" fillId="0" borderId="0" xfId="92" applyNumberFormat="1" applyFont="1" applyFill="1"/>
    <xf numFmtId="171" fontId="80" fillId="0" borderId="15" xfId="0" applyNumberFormat="1" applyFont="1" applyBorder="1"/>
    <xf numFmtId="171" fontId="80" fillId="0" borderId="0" xfId="0" applyNumberFormat="1" applyFont="1"/>
    <xf numFmtId="0" fontId="2" fillId="0" borderId="0" xfId="0" applyFont="1" applyAlignment="1">
      <alignment wrapText="1"/>
    </xf>
    <xf numFmtId="171" fontId="2" fillId="7" borderId="12" xfId="0" applyNumberFormat="1" applyFont="1" applyFill="1" applyBorder="1"/>
    <xf numFmtId="0" fontId="2" fillId="0" borderId="102" xfId="16" applyFont="1" applyBorder="1"/>
    <xf numFmtId="43" fontId="182" fillId="0" borderId="0" xfId="21" applyFont="1" applyAlignment="1">
      <alignment horizontal="center"/>
    </xf>
    <xf numFmtId="43" fontId="106" fillId="0" borderId="0" xfId="21" applyFont="1"/>
    <xf numFmtId="43" fontId="2" fillId="0" borderId="0" xfId="21" applyFont="1"/>
    <xf numFmtId="0" fontId="106" fillId="0" borderId="0" xfId="16" applyFont="1"/>
    <xf numFmtId="0" fontId="2" fillId="0" borderId="0" xfId="16" applyFont="1" applyAlignment="1">
      <alignment horizontal="center"/>
    </xf>
    <xf numFmtId="43" fontId="106" fillId="0" borderId="0" xfId="21" applyFont="1" applyBorder="1"/>
    <xf numFmtId="43" fontId="2" fillId="0" borderId="0" xfId="21" applyFont="1" applyAlignment="1">
      <alignment horizontal="center"/>
    </xf>
    <xf numFmtId="43" fontId="2" fillId="0" borderId="25" xfId="21" applyFont="1" applyBorder="1" applyAlignment="1">
      <alignment horizontal="center"/>
    </xf>
    <xf numFmtId="43" fontId="2" fillId="0" borderId="24" xfId="21" applyFont="1" applyBorder="1"/>
    <xf numFmtId="171" fontId="2" fillId="7" borderId="23" xfId="92" applyNumberFormat="1" applyFont="1" applyFill="1" applyBorder="1"/>
    <xf numFmtId="171" fontId="106" fillId="0" borderId="51" xfId="21" applyNumberFormat="1" applyFont="1" applyBorder="1"/>
    <xf numFmtId="171" fontId="106" fillId="0" borderId="51" xfId="16" applyNumberFormat="1" applyFont="1" applyBorder="1"/>
    <xf numFmtId="0" fontId="2" fillId="0" borderId="24" xfId="21" applyNumberFormat="1" applyFont="1" applyBorder="1" applyAlignment="1">
      <alignment horizontal="left"/>
    </xf>
    <xf numFmtId="171" fontId="106" fillId="0" borderId="0" xfId="21" applyNumberFormat="1" applyFont="1" applyFill="1" applyBorder="1"/>
    <xf numFmtId="0" fontId="106" fillId="0" borderId="0" xfId="18" applyFont="1" applyAlignment="1">
      <alignment horizontal="center"/>
    </xf>
    <xf numFmtId="0" fontId="2" fillId="0" borderId="0" xfId="21" applyNumberFormat="1" applyFont="1" applyBorder="1" applyAlignment="1">
      <alignment horizontal="left"/>
    </xf>
    <xf numFmtId="0" fontId="2" fillId="0" borderId="19" xfId="21" applyNumberFormat="1" applyFont="1" applyBorder="1" applyAlignment="1">
      <alignment horizontal="left"/>
    </xf>
    <xf numFmtId="171" fontId="106" fillId="0" borderId="0" xfId="16" applyNumberFormat="1" applyFont="1"/>
    <xf numFmtId="171" fontId="106" fillId="0" borderId="7" xfId="21" applyNumberFormat="1" applyFont="1" applyFill="1" applyBorder="1"/>
    <xf numFmtId="0" fontId="80" fillId="0" borderId="24" xfId="16" applyFont="1" applyBorder="1" applyAlignment="1">
      <alignment horizontal="center" wrapText="1"/>
    </xf>
    <xf numFmtId="0" fontId="179" fillId="0" borderId="0" xfId="16" applyFont="1" applyAlignment="1">
      <alignment horizontal="center"/>
    </xf>
    <xf numFmtId="0" fontId="80" fillId="0" borderId="0" xfId="96" applyFont="1" applyAlignment="1">
      <alignment horizontal="left"/>
    </xf>
    <xf numFmtId="172" fontId="2" fillId="0" borderId="0" xfId="112" applyNumberFormat="1" applyFont="1"/>
    <xf numFmtId="43" fontId="81" fillId="0" borderId="0" xfId="113" applyFont="1" applyFill="1"/>
    <xf numFmtId="0" fontId="2" fillId="0" borderId="0" xfId="96" applyFont="1" applyAlignment="1">
      <alignment horizontal="left"/>
    </xf>
    <xf numFmtId="0" fontId="2" fillId="0" borderId="0" xfId="96" applyFont="1"/>
    <xf numFmtId="0" fontId="8" fillId="0" borderId="0" xfId="96"/>
    <xf numFmtId="0" fontId="8" fillId="5" borderId="0" xfId="96" applyFill="1"/>
    <xf numFmtId="0" fontId="2" fillId="0" borderId="0" xfId="114" applyFont="1"/>
    <xf numFmtId="0" fontId="103" fillId="0" borderId="0" xfId="96" applyFont="1"/>
    <xf numFmtId="0" fontId="80" fillId="0" borderId="0" xfId="96" applyFont="1" applyAlignment="1">
      <alignment horizontal="center"/>
    </xf>
    <xf numFmtId="0" fontId="80" fillId="16" borderId="0" xfId="96" applyFont="1" applyFill="1"/>
    <xf numFmtId="0" fontId="80" fillId="5" borderId="39" xfId="96" applyFont="1" applyFill="1" applyBorder="1" applyAlignment="1">
      <alignment horizontal="center" vertical="center"/>
    </xf>
    <xf numFmtId="0" fontId="2" fillId="0" borderId="0" xfId="96" applyFont="1" applyAlignment="1">
      <alignment vertical="center"/>
    </xf>
    <xf numFmtId="0" fontId="80" fillId="5" borderId="39" xfId="96" applyFont="1" applyFill="1" applyBorder="1" applyAlignment="1">
      <alignment horizontal="center" vertical="center" wrapText="1"/>
    </xf>
    <xf numFmtId="0" fontId="123" fillId="14" borderId="0" xfId="96" applyFont="1" applyFill="1"/>
    <xf numFmtId="0" fontId="80" fillId="16" borderId="0" xfId="96" applyFont="1" applyFill="1" applyAlignment="1">
      <alignment horizontal="left"/>
    </xf>
    <xf numFmtId="172" fontId="80" fillId="16" borderId="0" xfId="96" applyNumberFormat="1" applyFont="1" applyFill="1"/>
    <xf numFmtId="0" fontId="2" fillId="0" borderId="39" xfId="96" applyFont="1" applyBorder="1"/>
    <xf numFmtId="172" fontId="2" fillId="0" borderId="39" xfId="112" applyNumberFormat="1" applyFont="1" applyBorder="1"/>
    <xf numFmtId="172" fontId="2" fillId="0" borderId="39" xfId="112" applyNumberFormat="1" applyFont="1" applyFill="1" applyBorder="1"/>
    <xf numFmtId="172" fontId="2" fillId="0" borderId="39" xfId="96" applyNumberFormat="1" applyFont="1" applyBorder="1"/>
    <xf numFmtId="0" fontId="123" fillId="14" borderId="0" xfId="96" applyFont="1" applyFill="1" applyAlignment="1">
      <alignment horizontal="center"/>
    </xf>
    <xf numFmtId="0" fontId="2" fillId="0" borderId="0" xfId="96" applyFont="1" applyAlignment="1">
      <alignment horizontal="left" indent="1"/>
    </xf>
    <xf numFmtId="172" fontId="2" fillId="0" borderId="0" xfId="96" applyNumberFormat="1" applyFont="1"/>
    <xf numFmtId="9" fontId="2" fillId="0" borderId="0" xfId="63" applyFont="1" applyFill="1" applyBorder="1"/>
    <xf numFmtId="0" fontId="123" fillId="14" borderId="99" xfId="96" applyFont="1" applyFill="1" applyBorder="1"/>
    <xf numFmtId="0" fontId="123" fillId="14" borderId="99" xfId="96" applyFont="1" applyFill="1" applyBorder="1" applyAlignment="1">
      <alignment horizontal="center"/>
    </xf>
    <xf numFmtId="172" fontId="8" fillId="0" borderId="0" xfId="96" applyNumberFormat="1"/>
    <xf numFmtId="172" fontId="184" fillId="0" borderId="39" xfId="112" applyNumberFormat="1" applyFont="1" applyBorder="1"/>
    <xf numFmtId="172" fontId="184" fillId="0" borderId="39" xfId="96" applyNumberFormat="1" applyFont="1" applyBorder="1"/>
    <xf numFmtId="0" fontId="80" fillId="0" borderId="39" xfId="96" applyFont="1" applyBorder="1"/>
    <xf numFmtId="172" fontId="80" fillId="0" borderId="39" xfId="112" applyNumberFormat="1" applyFont="1" applyBorder="1"/>
    <xf numFmtId="0" fontId="80" fillId="5" borderId="39" xfId="96" applyFont="1" applyFill="1" applyBorder="1" applyAlignment="1">
      <alignment horizontal="center"/>
    </xf>
    <xf numFmtId="0" fontId="80" fillId="5" borderId="39" xfId="96" applyFont="1" applyFill="1" applyBorder="1" applyAlignment="1">
      <alignment horizontal="center" wrapText="1"/>
    </xf>
    <xf numFmtId="172" fontId="2" fillId="5" borderId="39" xfId="96" applyNumberFormat="1" applyFont="1" applyFill="1" applyBorder="1"/>
    <xf numFmtId="172" fontId="80" fillId="5" borderId="39" xfId="96" applyNumberFormat="1" applyFont="1" applyFill="1" applyBorder="1"/>
    <xf numFmtId="0" fontId="2" fillId="0" borderId="39" xfId="96" applyFont="1" applyBorder="1" applyAlignment="1">
      <alignment horizontal="left"/>
    </xf>
    <xf numFmtId="172" fontId="2" fillId="0" borderId="39" xfId="96" applyNumberFormat="1" applyFont="1" applyBorder="1" applyAlignment="1">
      <alignment horizontal="center"/>
    </xf>
    <xf numFmtId="0" fontId="106" fillId="0" borderId="39" xfId="96" applyFont="1" applyBorder="1"/>
    <xf numFmtId="178" fontId="106" fillId="0" borderId="39" xfId="96" applyNumberFormat="1" applyFont="1" applyBorder="1"/>
    <xf numFmtId="0" fontId="106" fillId="0" borderId="1" xfId="96" applyFont="1" applyBorder="1"/>
    <xf numFmtId="43" fontId="81" fillId="0" borderId="39" xfId="113" applyFont="1" applyFill="1" applyBorder="1"/>
    <xf numFmtId="43" fontId="106" fillId="0" borderId="39" xfId="113" applyFont="1" applyFill="1" applyBorder="1"/>
    <xf numFmtId="178" fontId="106" fillId="0" borderId="13" xfId="96" applyNumberFormat="1" applyFont="1" applyBorder="1"/>
    <xf numFmtId="172" fontId="179" fillId="0" borderId="41" xfId="96" applyNumberFormat="1" applyFont="1" applyBorder="1"/>
    <xf numFmtId="0" fontId="123" fillId="14" borderId="101" xfId="96" applyFont="1" applyFill="1" applyBorder="1"/>
    <xf numFmtId="172" fontId="123" fillId="14" borderId="115" xfId="96" applyNumberFormat="1" applyFont="1" applyFill="1" applyBorder="1"/>
    <xf numFmtId="44" fontId="80" fillId="2" borderId="0" xfId="114" applyNumberFormat="1" applyFont="1" applyFill="1"/>
    <xf numFmtId="172" fontId="2" fillId="0" borderId="0" xfId="112" applyNumberFormat="1" applyFont="1" applyBorder="1"/>
    <xf numFmtId="43" fontId="81" fillId="0" borderId="0" xfId="113" applyFont="1" applyFill="1" applyBorder="1"/>
    <xf numFmtId="0" fontId="106" fillId="0" borderId="8" xfId="96" applyFont="1" applyBorder="1"/>
    <xf numFmtId="0" fontId="185" fillId="0" borderId="116" xfId="114" applyFont="1" applyBorder="1" applyAlignment="1">
      <alignment horizontal="center"/>
    </xf>
    <xf numFmtId="43" fontId="106" fillId="0" borderId="0" xfId="113" applyFont="1" applyFill="1" applyBorder="1"/>
    <xf numFmtId="178" fontId="106" fillId="0" borderId="0" xfId="96" applyNumberFormat="1" applyFont="1"/>
    <xf numFmtId="172" fontId="106" fillId="0" borderId="0" xfId="96" applyNumberFormat="1" applyFont="1"/>
    <xf numFmtId="43" fontId="106" fillId="0" borderId="0" xfId="113" applyFont="1" applyFill="1"/>
    <xf numFmtId="0" fontId="106" fillId="0" borderId="0" xfId="96" applyFont="1"/>
    <xf numFmtId="172" fontId="80" fillId="0" borderId="0" xfId="96" applyNumberFormat="1" applyFont="1"/>
    <xf numFmtId="0" fontId="79" fillId="0" borderId="117" xfId="96" applyFont="1" applyBorder="1" applyAlignment="1">
      <alignment horizontal="center"/>
    </xf>
    <xf numFmtId="9" fontId="2" fillId="0" borderId="0" xfId="63" applyFont="1"/>
    <xf numFmtId="0" fontId="2" fillId="0" borderId="0" xfId="96" applyFont="1" applyAlignment="1">
      <alignment horizontal="right"/>
    </xf>
    <xf numFmtId="43" fontId="2" fillId="0" borderId="0" xfId="113" applyFont="1" applyFill="1"/>
    <xf numFmtId="44" fontId="2" fillId="0" borderId="0" xfId="96" applyNumberFormat="1" applyFont="1"/>
    <xf numFmtId="0" fontId="2" fillId="0" borderId="0" xfId="114" applyFont="1" applyAlignment="1">
      <alignment horizontal="right"/>
    </xf>
    <xf numFmtId="0" fontId="103" fillId="0" borderId="0" xfId="114" applyFont="1" applyAlignment="1">
      <alignment horizontal="right"/>
    </xf>
    <xf numFmtId="0" fontId="44" fillId="4" borderId="0" xfId="114" applyFont="1" applyFill="1"/>
    <xf numFmtId="0" fontId="187" fillId="0" borderId="0" xfId="114" quotePrefix="1" applyFont="1" applyAlignment="1">
      <alignment horizontal="right"/>
    </xf>
    <xf numFmtId="0" fontId="187" fillId="4" borderId="0" xfId="114" applyFont="1" applyFill="1" applyAlignment="1">
      <alignment wrapText="1"/>
    </xf>
    <xf numFmtId="171" fontId="44" fillId="4" borderId="3" xfId="66" applyNumberFormat="1" applyFont="1" applyFill="1" applyBorder="1"/>
    <xf numFmtId="171" fontId="44" fillId="4" borderId="0" xfId="66" applyNumberFormat="1" applyFont="1" applyFill="1"/>
    <xf numFmtId="171" fontId="188" fillId="4" borderId="0" xfId="66" applyNumberFormat="1" applyFont="1" applyFill="1"/>
    <xf numFmtId="171" fontId="188" fillId="4" borderId="3" xfId="66" applyNumberFormat="1" applyFont="1" applyFill="1" applyBorder="1"/>
    <xf numFmtId="0" fontId="44" fillId="4" borderId="0" xfId="114" applyFont="1" applyFill="1" applyAlignment="1">
      <alignment horizontal="left" indent="2"/>
    </xf>
    <xf numFmtId="172" fontId="44" fillId="4" borderId="0" xfId="2" applyNumberFormat="1" applyFont="1" applyFill="1"/>
    <xf numFmtId="172" fontId="44" fillId="4" borderId="51" xfId="2" applyNumberFormat="1" applyFont="1" applyFill="1" applyBorder="1"/>
    <xf numFmtId="172" fontId="44" fillId="9" borderId="51" xfId="2" applyNumberFormat="1" applyFont="1" applyFill="1" applyBorder="1"/>
    <xf numFmtId="0" fontId="44" fillId="4" borderId="0" xfId="114" applyFont="1" applyFill="1" applyAlignment="1">
      <alignment horizontal="center"/>
    </xf>
    <xf numFmtId="171" fontId="44" fillId="4" borderId="3" xfId="66" applyNumberFormat="1" applyFont="1" applyFill="1" applyBorder="1" applyAlignment="1">
      <alignment horizontal="center"/>
    </xf>
    <xf numFmtId="171" fontId="44" fillId="4" borderId="0" xfId="66" applyNumberFormat="1" applyFont="1" applyFill="1" applyAlignment="1">
      <alignment horizontal="center"/>
    </xf>
    <xf numFmtId="171" fontId="44" fillId="9" borderId="3" xfId="66" applyNumberFormat="1" applyFont="1" applyFill="1" applyBorder="1" applyAlignment="1">
      <alignment horizontal="center"/>
    </xf>
    <xf numFmtId="0" fontId="188" fillId="4" borderId="0" xfId="0" applyFont="1" applyFill="1" applyAlignment="1">
      <alignment horizontal="center"/>
    </xf>
    <xf numFmtId="171" fontId="188" fillId="4" borderId="0" xfId="66" applyNumberFormat="1" applyFont="1" applyFill="1" applyAlignment="1">
      <alignment horizontal="center"/>
    </xf>
    <xf numFmtId="171" fontId="188" fillId="4" borderId="3" xfId="66" applyNumberFormat="1" applyFont="1" applyFill="1" applyBorder="1" applyAlignment="1">
      <alignment horizontal="center"/>
    </xf>
    <xf numFmtId="171" fontId="44" fillId="4" borderId="0" xfId="66" applyNumberFormat="1" applyFont="1" applyFill="1" applyBorder="1" applyAlignment="1">
      <alignment horizontal="center"/>
    </xf>
    <xf numFmtId="172" fontId="44" fillId="4" borderId="15" xfId="2" applyNumberFormat="1" applyFont="1" applyFill="1" applyBorder="1"/>
    <xf numFmtId="172" fontId="44" fillId="9" borderId="15" xfId="2" applyNumberFormat="1" applyFont="1" applyFill="1" applyBorder="1"/>
    <xf numFmtId="171" fontId="44" fillId="4" borderId="0" xfId="0" applyNumberFormat="1" applyFont="1" applyFill="1"/>
    <xf numFmtId="171" fontId="44" fillId="9" borderId="0" xfId="66" applyNumberFormat="1" applyFont="1" applyFill="1"/>
    <xf numFmtId="43" fontId="44" fillId="4" borderId="0" xfId="66" applyFont="1" applyFill="1"/>
    <xf numFmtId="171" fontId="44" fillId="4" borderId="0" xfId="114" applyNumberFormat="1" applyFont="1" applyFill="1"/>
    <xf numFmtId="171" fontId="189" fillId="4" borderId="0" xfId="66" applyNumberFormat="1" applyFont="1" applyFill="1"/>
    <xf numFmtId="171" fontId="44" fillId="9" borderId="0" xfId="66" applyNumberFormat="1" applyFont="1" applyFill="1" applyAlignment="1">
      <alignment horizontal="center"/>
    </xf>
    <xf numFmtId="171" fontId="188" fillId="9" borderId="0" xfId="66" applyNumberFormat="1" applyFont="1" applyFill="1" applyAlignment="1">
      <alignment horizontal="center"/>
    </xf>
    <xf numFmtId="0" fontId="188" fillId="4" borderId="0" xfId="114" applyFont="1" applyFill="1" applyAlignment="1">
      <alignment horizontal="center"/>
    </xf>
    <xf numFmtId="171" fontId="44" fillId="2" borderId="0" xfId="66" applyNumberFormat="1" applyFont="1" applyFill="1"/>
    <xf numFmtId="171" fontId="44" fillId="4" borderId="0" xfId="66" applyNumberFormat="1" applyFont="1" applyFill="1" applyBorder="1"/>
    <xf numFmtId="171" fontId="44" fillId="9" borderId="0" xfId="66" applyNumberFormat="1" applyFont="1" applyFill="1" applyBorder="1"/>
    <xf numFmtId="9" fontId="44" fillId="4" borderId="0" xfId="7" applyFont="1" applyFill="1" applyAlignment="1">
      <alignment horizontal="center"/>
    </xf>
    <xf numFmtId="0" fontId="188" fillId="4" borderId="0" xfId="114" applyFont="1" applyFill="1" applyAlignment="1">
      <alignment horizontal="center" wrapText="1"/>
    </xf>
    <xf numFmtId="171" fontId="44" fillId="4" borderId="10" xfId="114" applyNumberFormat="1" applyFont="1" applyFill="1" applyBorder="1"/>
    <xf numFmtId="0" fontId="44" fillId="4" borderId="0" xfId="114" applyFont="1" applyFill="1" applyAlignment="1">
      <alignment wrapText="1"/>
    </xf>
    <xf numFmtId="0" fontId="190" fillId="9" borderId="0" xfId="114" applyFont="1" applyFill="1" applyAlignment="1">
      <alignment horizontal="center" wrapText="1"/>
    </xf>
    <xf numFmtId="14" fontId="190" fillId="4" borderId="0" xfId="114" applyNumberFormat="1" applyFont="1" applyFill="1" applyAlignment="1">
      <alignment horizontal="center" wrapText="1"/>
    </xf>
    <xf numFmtId="0" fontId="190" fillId="4" borderId="0" xfId="114" applyFont="1" applyFill="1" applyAlignment="1">
      <alignment horizontal="center" wrapText="1"/>
    </xf>
    <xf numFmtId="0" fontId="44" fillId="4" borderId="0" xfId="114" applyFont="1" applyFill="1" applyAlignment="1">
      <alignment horizontal="left" wrapText="1"/>
    </xf>
    <xf numFmtId="0" fontId="190" fillId="4" borderId="0" xfId="0" applyFont="1" applyFill="1" applyAlignment="1">
      <alignment horizontal="center" wrapText="1"/>
    </xf>
    <xf numFmtId="14" fontId="190" fillId="4" borderId="24" xfId="0" quotePrefix="1" applyNumberFormat="1" applyFont="1" applyFill="1" applyBorder="1" applyAlignment="1">
      <alignment horizontal="center" wrapText="1"/>
    </xf>
    <xf numFmtId="0" fontId="190" fillId="9" borderId="24" xfId="0" applyFont="1" applyFill="1" applyBorder="1" applyAlignment="1">
      <alignment horizontal="center" wrapText="1"/>
    </xf>
    <xf numFmtId="0" fontId="190" fillId="4" borderId="24" xfId="0" applyFont="1" applyFill="1" applyBorder="1" applyAlignment="1">
      <alignment horizontal="center" wrapText="1"/>
    </xf>
    <xf numFmtId="0" fontId="190" fillId="9" borderId="24" xfId="114" applyFont="1" applyFill="1" applyBorder="1" applyAlignment="1">
      <alignment horizontal="center" wrapText="1"/>
    </xf>
    <xf numFmtId="0" fontId="190" fillId="0" borderId="24" xfId="0" applyFont="1" applyBorder="1" applyAlignment="1">
      <alignment horizontal="center" wrapText="1"/>
    </xf>
    <xf numFmtId="14" fontId="190" fillId="4" borderId="24" xfId="114" applyNumberFormat="1" applyFont="1" applyFill="1" applyBorder="1" applyAlignment="1">
      <alignment horizontal="center" wrapText="1"/>
    </xf>
    <xf numFmtId="0" fontId="190" fillId="4" borderId="0" xfId="114" applyFont="1" applyFill="1" applyAlignment="1">
      <alignment horizontal="left" wrapText="1"/>
    </xf>
    <xf numFmtId="0" fontId="187" fillId="4" borderId="0" xfId="114" applyFont="1" applyFill="1"/>
    <xf numFmtId="0" fontId="190" fillId="9" borderId="0" xfId="114" applyFont="1" applyFill="1" applyAlignment="1">
      <alignment horizontal="center"/>
    </xf>
    <xf numFmtId="0" fontId="190" fillId="4" borderId="0" xfId="0" applyFont="1" applyFill="1" applyAlignment="1">
      <alignment horizontal="center"/>
    </xf>
    <xf numFmtId="0" fontId="190" fillId="4" borderId="0" xfId="0" quotePrefix="1" applyFont="1" applyFill="1" applyAlignment="1">
      <alignment horizontal="center"/>
    </xf>
    <xf numFmtId="0" fontId="190" fillId="4" borderId="0" xfId="114" applyFont="1" applyFill="1" applyAlignment="1">
      <alignment horizontal="center"/>
    </xf>
    <xf numFmtId="0" fontId="190" fillId="4" borderId="0" xfId="114" applyFont="1" applyFill="1"/>
    <xf numFmtId="0" fontId="188" fillId="9" borderId="0" xfId="0" applyFont="1" applyFill="1" applyAlignment="1">
      <alignment horizontal="center"/>
    </xf>
    <xf numFmtId="0" fontId="187" fillId="4" borderId="0" xfId="0" applyFont="1" applyFill="1"/>
    <xf numFmtId="0" fontId="188" fillId="9" borderId="0" xfId="114" applyFont="1" applyFill="1" applyAlignment="1">
      <alignment horizontal="center"/>
    </xf>
    <xf numFmtId="0" fontId="191" fillId="4" borderId="0" xfId="114" applyFont="1" applyFill="1"/>
    <xf numFmtId="0" fontId="188" fillId="9" borderId="0" xfId="0" quotePrefix="1" applyFont="1" applyFill="1" applyAlignment="1">
      <alignment horizontal="center"/>
    </xf>
    <xf numFmtId="0" fontId="190" fillId="9" borderId="17" xfId="0" applyFont="1" applyFill="1" applyBorder="1" applyAlignment="1">
      <alignment horizontal="center"/>
    </xf>
    <xf numFmtId="0" fontId="190" fillId="9" borderId="17" xfId="114" applyFont="1" applyFill="1" applyBorder="1" applyAlignment="1">
      <alignment horizontal="center"/>
    </xf>
    <xf numFmtId="0" fontId="44" fillId="4" borderId="0" xfId="0" applyFont="1" applyFill="1"/>
    <xf numFmtId="0" fontId="188" fillId="0" borderId="0" xfId="17" applyFont="1"/>
    <xf numFmtId="9" fontId="44" fillId="4" borderId="0" xfId="114" applyNumberFormat="1" applyFont="1" applyFill="1"/>
    <xf numFmtId="0" fontId="123" fillId="0" borderId="0" xfId="17" applyFont="1"/>
    <xf numFmtId="3" fontId="147" fillId="0" borderId="0" xfId="0" applyNumberFormat="1" applyFont="1"/>
    <xf numFmtId="3" fontId="83" fillId="0" borderId="0" xfId="0" applyNumberFormat="1" applyFont="1"/>
    <xf numFmtId="0" fontId="83" fillId="0" borderId="0" xfId="0" applyFont="1" applyAlignment="1">
      <alignment horizontal="right"/>
    </xf>
    <xf numFmtId="0" fontId="0" fillId="0" borderId="39" xfId="0" applyBorder="1"/>
    <xf numFmtId="0" fontId="53" fillId="0" borderId="15" xfId="0" applyFont="1" applyBorder="1"/>
    <xf numFmtId="5" fontId="0" fillId="0" borderId="13" xfId="0" applyNumberFormat="1" applyBorder="1"/>
    <xf numFmtId="0" fontId="53" fillId="0" borderId="0" xfId="0" applyFont="1" applyAlignment="1">
      <alignment horizontal="left" indent="1"/>
    </xf>
    <xf numFmtId="179" fontId="83" fillId="0" borderId="0" xfId="0" applyNumberFormat="1" applyFont="1"/>
    <xf numFmtId="5" fontId="192" fillId="0" borderId="0" xfId="0" applyNumberFormat="1" applyFont="1"/>
    <xf numFmtId="3" fontId="25" fillId="0" borderId="0" xfId="0" applyNumberFormat="1" applyFont="1"/>
    <xf numFmtId="0" fontId="0" fillId="0" borderId="112" xfId="0" applyBorder="1"/>
    <xf numFmtId="203" fontId="0" fillId="0" borderId="0" xfId="0" applyNumberFormat="1"/>
    <xf numFmtId="3" fontId="0" fillId="0" borderId="118" xfId="0" applyNumberFormat="1" applyBorder="1"/>
    <xf numFmtId="3" fontId="8" fillId="22" borderId="0" xfId="0" applyNumberFormat="1" applyFont="1" applyFill="1"/>
    <xf numFmtId="3" fontId="147" fillId="22" borderId="0" xfId="0" applyNumberFormat="1" applyFont="1" applyFill="1"/>
    <xf numFmtId="9" fontId="147" fillId="0" borderId="0" xfId="0" applyNumberFormat="1" applyFont="1"/>
    <xf numFmtId="3" fontId="0" fillId="0" borderId="5" xfId="0" applyNumberFormat="1" applyBorder="1"/>
    <xf numFmtId="3" fontId="8" fillId="0" borderId="1" xfId="0" applyNumberFormat="1" applyFont="1" applyBorder="1"/>
    <xf numFmtId="179" fontId="147" fillId="0" borderId="0" xfId="0" applyNumberFormat="1" applyFont="1"/>
    <xf numFmtId="3" fontId="8" fillId="0" borderId="5" xfId="0" applyNumberFormat="1" applyFont="1" applyBorder="1"/>
    <xf numFmtId="3" fontId="8" fillId="0" borderId="0" xfId="0" applyNumberFormat="1" applyFont="1"/>
    <xf numFmtId="0" fontId="25" fillId="0" borderId="0" xfId="0" applyFont="1" applyAlignment="1">
      <alignment horizontal="center" wrapText="1"/>
    </xf>
    <xf numFmtId="0" fontId="193" fillId="0" borderId="0" xfId="0" applyFont="1" applyAlignment="1">
      <alignment horizontal="center"/>
    </xf>
    <xf numFmtId="0" fontId="101" fillId="0" borderId="0" xfId="0" applyFont="1"/>
    <xf numFmtId="204" fontId="8" fillId="0" borderId="0" xfId="0" applyNumberFormat="1" applyFont="1"/>
    <xf numFmtId="0" fontId="25" fillId="0" borderId="0" xfId="0" applyFont="1" applyAlignment="1">
      <alignment horizontal="center"/>
    </xf>
    <xf numFmtId="3" fontId="0" fillId="0" borderId="1" xfId="0" applyNumberFormat="1" applyBorder="1"/>
    <xf numFmtId="3" fontId="0" fillId="0" borderId="3" xfId="0" applyNumberFormat="1" applyBorder="1"/>
    <xf numFmtId="3" fontId="147" fillId="0" borderId="3" xfId="0" applyNumberFormat="1" applyFont="1" applyBorder="1" applyAlignment="1">
      <alignment horizontal="center"/>
    </xf>
    <xf numFmtId="3" fontId="25" fillId="0" borderId="0" xfId="0" applyNumberFormat="1" applyFont="1" applyAlignment="1">
      <alignment horizontal="center"/>
    </xf>
    <xf numFmtId="3" fontId="147" fillId="0" borderId="0" xfId="0" applyNumberFormat="1" applyFont="1" applyAlignment="1">
      <alignment horizontal="center"/>
    </xf>
    <xf numFmtId="3" fontId="8" fillId="0" borderId="3" xfId="0" applyNumberFormat="1" applyFont="1" applyBorder="1"/>
    <xf numFmtId="3" fontId="147" fillId="0" borderId="3" xfId="0" applyNumberFormat="1" applyFont="1" applyBorder="1"/>
    <xf numFmtId="3" fontId="192" fillId="0" borderId="0" xfId="0" applyNumberFormat="1" applyFont="1"/>
    <xf numFmtId="0" fontId="8" fillId="0" borderId="0" xfId="0" applyFont="1" applyAlignment="1">
      <alignment vertical="center" wrapText="1"/>
    </xf>
    <xf numFmtId="3" fontId="8" fillId="0" borderId="0" xfId="0" applyNumberFormat="1" applyFont="1" applyAlignment="1">
      <alignment horizontal="center"/>
    </xf>
    <xf numFmtId="0" fontId="0" fillId="0" borderId="0" xfId="0" applyAlignment="1">
      <alignment horizontal="left" vertical="center" indent="1"/>
    </xf>
    <xf numFmtId="0" fontId="8" fillId="0" borderId="0" xfId="0" applyFont="1" applyAlignment="1">
      <alignment wrapText="1"/>
    </xf>
    <xf numFmtId="0" fontId="101" fillId="0" borderId="5" xfId="0" applyFont="1" applyBorder="1" applyAlignment="1">
      <alignment horizontal="center"/>
    </xf>
    <xf numFmtId="0" fontId="194" fillId="0" borderId="5" xfId="0" applyFont="1" applyBorder="1" applyAlignment="1">
      <alignment horizontal="right"/>
    </xf>
    <xf numFmtId="0" fontId="194" fillId="0" borderId="0" xfId="0" applyFont="1" applyAlignment="1">
      <alignment horizontal="right"/>
    </xf>
    <xf numFmtId="0" fontId="194" fillId="0" borderId="1" xfId="0" applyFont="1" applyBorder="1" applyAlignment="1">
      <alignment horizontal="right"/>
    </xf>
    <xf numFmtId="3" fontId="147" fillId="2" borderId="0" xfId="0" applyNumberFormat="1" applyFont="1" applyFill="1"/>
    <xf numFmtId="3" fontId="169" fillId="0" borderId="0" xfId="0" applyNumberFormat="1" applyFont="1"/>
    <xf numFmtId="3" fontId="8" fillId="0" borderId="10" xfId="0" applyNumberFormat="1" applyFont="1" applyBorder="1"/>
    <xf numFmtId="3" fontId="147" fillId="0" borderId="10" xfId="0" applyNumberFormat="1" applyFont="1" applyBorder="1"/>
    <xf numFmtId="3" fontId="169" fillId="0" borderId="10" xfId="0" applyNumberFormat="1" applyFont="1" applyBorder="1"/>
    <xf numFmtId="3" fontId="0" fillId="0" borderId="8" xfId="0" applyNumberFormat="1" applyBorder="1"/>
    <xf numFmtId="179" fontId="0" fillId="0" borderId="0" xfId="7" applyNumberFormat="1" applyFont="1"/>
    <xf numFmtId="3" fontId="8" fillId="5" borderId="0" xfId="0" applyNumberFormat="1" applyFont="1" applyFill="1"/>
    <xf numFmtId="3" fontId="147" fillId="5" borderId="0" xfId="0" applyNumberFormat="1" applyFont="1" applyFill="1"/>
    <xf numFmtId="0" fontId="193" fillId="0" borderId="0" xfId="0" applyFont="1"/>
    <xf numFmtId="0" fontId="25" fillId="0" borderId="0" xfId="0" applyFont="1"/>
    <xf numFmtId="3" fontId="8" fillId="0" borderId="39" xfId="0" applyNumberFormat="1" applyFont="1" applyBorder="1"/>
    <xf numFmtId="3" fontId="8" fillId="0" borderId="15" xfId="0" applyNumberFormat="1" applyFont="1" applyBorder="1"/>
    <xf numFmtId="3" fontId="169" fillId="0" borderId="15" xfId="0" applyNumberFormat="1" applyFont="1" applyBorder="1"/>
    <xf numFmtId="0" fontId="25" fillId="0" borderId="0" xfId="0" applyFont="1" applyAlignment="1">
      <alignment horizontal="left" indent="1"/>
    </xf>
    <xf numFmtId="0" fontId="25" fillId="0" borderId="0" xfId="0" applyFont="1" applyAlignment="1">
      <alignment wrapText="1"/>
    </xf>
    <xf numFmtId="0" fontId="0" fillId="0" borderId="0" xfId="0" applyAlignment="1">
      <alignment horizontal="left" wrapText="1"/>
    </xf>
    <xf numFmtId="3" fontId="195" fillId="0" borderId="0" xfId="0" applyNumberFormat="1" applyFont="1"/>
    <xf numFmtId="0" fontId="0" fillId="0" borderId="5" xfId="0" applyBorder="1"/>
    <xf numFmtId="0" fontId="194" fillId="0" borderId="5" xfId="0" applyFont="1" applyBorder="1" applyAlignment="1">
      <alignment horizontal="center"/>
    </xf>
    <xf numFmtId="2" fontId="68" fillId="0" borderId="0" xfId="0" applyNumberFormat="1" applyFont="1" applyAlignment="1">
      <alignment horizontal="center"/>
    </xf>
    <xf numFmtId="0" fontId="194" fillId="0" borderId="0" xfId="0" applyFont="1" applyAlignment="1">
      <alignment horizontal="center"/>
    </xf>
    <xf numFmtId="0" fontId="194" fillId="0" borderId="1" xfId="0" applyFont="1" applyBorder="1" applyAlignment="1">
      <alignment horizontal="center"/>
    </xf>
    <xf numFmtId="0" fontId="25" fillId="0" borderId="0" xfId="0" applyFont="1" applyAlignment="1">
      <alignment horizontal="left"/>
    </xf>
    <xf numFmtId="0" fontId="196" fillId="0" borderId="0" xfId="0" applyFont="1"/>
    <xf numFmtId="199" fontId="25" fillId="0" borderId="0" xfId="0" applyNumberFormat="1" applyFont="1"/>
    <xf numFmtId="5" fontId="25" fillId="0" borderId="0" xfId="0" applyNumberFormat="1" applyFont="1"/>
    <xf numFmtId="37" fontId="25" fillId="0" borderId="0" xfId="0" applyNumberFormat="1" applyFont="1"/>
    <xf numFmtId="0" fontId="25" fillId="0" borderId="3" xfId="0" applyFont="1" applyBorder="1"/>
    <xf numFmtId="37" fontId="196" fillId="0" borderId="0" xfId="0" applyNumberFormat="1" applyFont="1"/>
    <xf numFmtId="0" fontId="197" fillId="0" borderId="0" xfId="0" applyFont="1"/>
    <xf numFmtId="37" fontId="195" fillId="4" borderId="0" xfId="0" applyNumberFormat="1" applyFont="1" applyFill="1"/>
    <xf numFmtId="5" fontId="25" fillId="0" borderId="3" xfId="0" applyNumberFormat="1" applyFont="1" applyBorder="1"/>
    <xf numFmtId="0" fontId="25" fillId="4" borderId="0" xfId="0" applyFont="1" applyFill="1"/>
    <xf numFmtId="0" fontId="196" fillId="4" borderId="0" xfId="0" applyFont="1" applyFill="1"/>
    <xf numFmtId="10" fontId="25" fillId="0" borderId="0" xfId="7" applyNumberFormat="1" applyFont="1"/>
    <xf numFmtId="0" fontId="25" fillId="0" borderId="10" xfId="0" applyFont="1" applyBorder="1" applyAlignment="1">
      <alignment horizontal="center"/>
    </xf>
    <xf numFmtId="0" fontId="196" fillId="0" borderId="0" xfId="0" applyFont="1" applyAlignment="1">
      <alignment horizontal="left"/>
    </xf>
    <xf numFmtId="10" fontId="25" fillId="0" borderId="0" xfId="0" applyNumberFormat="1" applyFont="1"/>
    <xf numFmtId="39" fontId="25" fillId="0" borderId="0" xfId="0" applyNumberFormat="1" applyFont="1"/>
    <xf numFmtId="0" fontId="198" fillId="0" borderId="0" xfId="0" applyFont="1"/>
    <xf numFmtId="10" fontId="198" fillId="0" borderId="0" xfId="0" applyNumberFormat="1" applyFont="1"/>
    <xf numFmtId="0" fontId="198" fillId="0" borderId="0" xfId="0" applyFont="1" applyAlignment="1">
      <alignment horizontal="left"/>
    </xf>
    <xf numFmtId="5" fontId="198" fillId="0" borderId="0" xfId="0" applyNumberFormat="1" applyFont="1"/>
    <xf numFmtId="5" fontId="25" fillId="0" borderId="10" xfId="0" applyNumberFormat="1" applyFont="1" applyBorder="1"/>
    <xf numFmtId="37" fontId="25" fillId="0" borderId="10" xfId="0" applyNumberFormat="1" applyFont="1" applyBorder="1"/>
    <xf numFmtId="167" fontId="25" fillId="0" borderId="0" xfId="7" applyNumberFormat="1" applyFont="1"/>
    <xf numFmtId="5" fontId="25" fillId="0" borderId="0" xfId="0" applyNumberFormat="1" applyFont="1" applyAlignment="1">
      <alignment horizontal="left" indent="1"/>
    </xf>
    <xf numFmtId="199" fontId="25" fillId="0" borderId="10" xfId="0" applyNumberFormat="1" applyFont="1" applyBorder="1"/>
    <xf numFmtId="0" fontId="25" fillId="0" borderId="10" xfId="0" applyFont="1" applyBorder="1"/>
    <xf numFmtId="199" fontId="25" fillId="4" borderId="10" xfId="0" applyNumberFormat="1" applyFont="1" applyFill="1" applyBorder="1"/>
    <xf numFmtId="199" fontId="25" fillId="0" borderId="0" xfId="0" applyNumberFormat="1" applyFont="1" applyAlignment="1">
      <alignment horizontal="left" indent="1"/>
    </xf>
    <xf numFmtId="3" fontId="25" fillId="0" borderId="0" xfId="0" applyNumberFormat="1" applyFont="1" applyAlignment="1">
      <alignment horizontal="left" indent="1"/>
    </xf>
    <xf numFmtId="0" fontId="25" fillId="0" borderId="15" xfId="0" applyFont="1" applyBorder="1"/>
    <xf numFmtId="205" fontId="25" fillId="0" borderId="10" xfId="0" applyNumberFormat="1" applyFont="1" applyBorder="1"/>
    <xf numFmtId="6" fontId="25" fillId="0" borderId="0" xfId="2" applyNumberFormat="1" applyFont="1"/>
    <xf numFmtId="37" fontId="25" fillId="0" borderId="10" xfId="2" applyNumberFormat="1" applyFont="1" applyBorder="1"/>
    <xf numFmtId="6" fontId="25" fillId="0" borderId="3" xfId="2" applyNumberFormat="1" applyFont="1" applyBorder="1"/>
    <xf numFmtId="206" fontId="25" fillId="0" borderId="0" xfId="0" applyNumberFormat="1" applyFont="1"/>
    <xf numFmtId="206" fontId="25" fillId="0" borderId="0" xfId="2" applyNumberFormat="1" applyFont="1"/>
    <xf numFmtId="207" fontId="25" fillId="0" borderId="0" xfId="0" applyNumberFormat="1" applyFont="1"/>
    <xf numFmtId="0" fontId="199" fillId="0" borderId="10" xfId="0" applyFont="1" applyBorder="1"/>
    <xf numFmtId="5" fontId="25" fillId="0" borderId="0" xfId="2" applyNumberFormat="1" applyFont="1"/>
    <xf numFmtId="5" fontId="25" fillId="0" borderId="10" xfId="2" applyNumberFormat="1" applyFont="1" applyBorder="1"/>
    <xf numFmtId="199" fontId="25" fillId="4" borderId="0" xfId="0" applyNumberFormat="1" applyFont="1" applyFill="1"/>
    <xf numFmtId="37" fontId="195" fillId="0" borderId="0" xfId="0" applyNumberFormat="1" applyFont="1"/>
    <xf numFmtId="37" fontId="172" fillId="0" borderId="0" xfId="0" applyNumberFormat="1" applyFont="1"/>
    <xf numFmtId="37" fontId="172" fillId="4" borderId="0" xfId="0" applyNumberFormat="1" applyFont="1" applyFill="1"/>
    <xf numFmtId="37" fontId="25" fillId="4" borderId="0" xfId="2" applyNumberFormat="1" applyFont="1" applyFill="1"/>
    <xf numFmtId="3" fontId="25" fillId="4" borderId="0" xfId="0" applyNumberFormat="1" applyFont="1" applyFill="1" applyAlignment="1">
      <alignment horizontal="left" indent="1"/>
    </xf>
    <xf numFmtId="37" fontId="25" fillId="0" borderId="0" xfId="2" applyNumberFormat="1" applyFont="1"/>
    <xf numFmtId="37" fontId="172" fillId="0" borderId="0" xfId="2" applyNumberFormat="1" applyFont="1"/>
    <xf numFmtId="171" fontId="172" fillId="0" borderId="0" xfId="1" applyNumberFormat="1" applyFont="1" applyFill="1"/>
    <xf numFmtId="171" fontId="200" fillId="0" borderId="0" xfId="1" applyNumberFormat="1" applyFont="1" applyFill="1"/>
    <xf numFmtId="37" fontId="25" fillId="0" borderId="0" xfId="2" applyNumberFormat="1" applyFont="1" applyBorder="1"/>
    <xf numFmtId="5" fontId="25" fillId="4" borderId="0" xfId="0" applyNumberFormat="1" applyFont="1" applyFill="1"/>
    <xf numFmtId="6" fontId="25" fillId="0" borderId="0" xfId="2" applyNumberFormat="1" applyFont="1" applyBorder="1"/>
    <xf numFmtId="208" fontId="196" fillId="4" borderId="0" xfId="0" applyNumberFormat="1" applyFont="1" applyFill="1"/>
    <xf numFmtId="208" fontId="196" fillId="0" borderId="0" xfId="0" applyNumberFormat="1" applyFont="1"/>
    <xf numFmtId="0" fontId="195" fillId="0" borderId="0" xfId="0" applyFont="1"/>
    <xf numFmtId="208" fontId="201" fillId="4" borderId="0" xfId="0" applyNumberFormat="1" applyFont="1" applyFill="1"/>
    <xf numFmtId="0" fontId="195" fillId="4" borderId="0" xfId="0" applyFont="1" applyFill="1"/>
    <xf numFmtId="209" fontId="201" fillId="4" borderId="0" xfId="0" applyNumberFormat="1" applyFont="1" applyFill="1"/>
    <xf numFmtId="209" fontId="196" fillId="0" borderId="0" xfId="0" applyNumberFormat="1" applyFont="1"/>
    <xf numFmtId="0" fontId="202" fillId="0" borderId="0" xfId="0" applyFont="1" applyAlignment="1">
      <alignment horizontal="left"/>
    </xf>
    <xf numFmtId="210" fontId="196" fillId="0" borderId="0" xfId="0" applyNumberFormat="1" applyFont="1"/>
    <xf numFmtId="0" fontId="196" fillId="0" borderId="0" xfId="0" quotePrefix="1" applyFont="1"/>
    <xf numFmtId="180" fontId="25" fillId="0" borderId="0" xfId="0" applyNumberFormat="1" applyFont="1" applyAlignment="1">
      <alignment horizontal="center"/>
    </xf>
    <xf numFmtId="0" fontId="203" fillId="0" borderId="0" xfId="0" applyFont="1"/>
    <xf numFmtId="3" fontId="25" fillId="4" borderId="0" xfId="0" applyNumberFormat="1" applyFont="1" applyFill="1"/>
    <xf numFmtId="211" fontId="196" fillId="0" borderId="0" xfId="0" applyNumberFormat="1" applyFont="1"/>
    <xf numFmtId="206" fontId="25" fillId="0" borderId="10" xfId="0" applyNumberFormat="1" applyFont="1" applyBorder="1"/>
    <xf numFmtId="206" fontId="25" fillId="0" borderId="3" xfId="0" applyNumberFormat="1" applyFont="1" applyBorder="1"/>
    <xf numFmtId="206" fontId="25" fillId="0" borderId="0" xfId="0" applyNumberFormat="1" applyFont="1" applyAlignment="1">
      <alignment horizontal="center"/>
    </xf>
    <xf numFmtId="206" fontId="25" fillId="4" borderId="0" xfId="0" applyNumberFormat="1" applyFont="1" applyFill="1"/>
    <xf numFmtId="0" fontId="196" fillId="0" borderId="0" xfId="0" applyFont="1" applyAlignment="1">
      <alignment horizontal="right"/>
    </xf>
    <xf numFmtId="0" fontId="205" fillId="0" borderId="0" xfId="0" applyFont="1" applyAlignment="1">
      <alignment horizontal="left" indent="1"/>
    </xf>
    <xf numFmtId="0" fontId="196" fillId="0" borderId="0" xfId="0" applyFont="1" applyAlignment="1">
      <alignment horizontal="center"/>
    </xf>
    <xf numFmtId="0" fontId="206" fillId="0" borderId="0" xfId="0" applyFont="1"/>
    <xf numFmtId="0" fontId="207" fillId="0" borderId="0" xfId="0" applyFont="1" applyAlignment="1">
      <alignment horizontal="left"/>
    </xf>
    <xf numFmtId="167" fontId="29" fillId="0" borderId="16" xfId="7" applyNumberFormat="1" applyFont="1" applyBorder="1"/>
    <xf numFmtId="171" fontId="0" fillId="0" borderId="10" xfId="1" applyNumberFormat="1" applyFont="1" applyBorder="1"/>
    <xf numFmtId="171" fontId="0" fillId="0" borderId="9" xfId="1" applyNumberFormat="1" applyFont="1" applyBorder="1"/>
    <xf numFmtId="171" fontId="0" fillId="0" borderId="0" xfId="1" applyNumberFormat="1" applyFont="1" applyFill="1" applyAlignment="1">
      <alignment horizontal="center"/>
    </xf>
    <xf numFmtId="0" fontId="57" fillId="0" borderId="0" xfId="36"/>
    <xf numFmtId="0" fontId="57" fillId="0" borderId="0" xfId="36" applyAlignment="1">
      <alignment horizontal="left"/>
    </xf>
    <xf numFmtId="49" fontId="57" fillId="4" borderId="0" xfId="36" applyNumberFormat="1" applyFill="1" applyAlignment="1">
      <alignment horizontal="center"/>
    </xf>
    <xf numFmtId="3" fontId="57" fillId="0" borderId="0" xfId="36" applyNumberFormat="1"/>
    <xf numFmtId="0" fontId="45" fillId="0" borderId="0" xfId="36" applyFont="1" applyAlignment="1">
      <alignment horizontal="left"/>
    </xf>
    <xf numFmtId="3" fontId="45" fillId="0" borderId="0" xfId="36" applyNumberFormat="1" applyFont="1" applyAlignment="1">
      <alignment horizontal="left"/>
    </xf>
    <xf numFmtId="49" fontId="45" fillId="4" borderId="0" xfId="36" applyNumberFormat="1" applyFont="1" applyFill="1" applyAlignment="1">
      <alignment horizontal="center"/>
    </xf>
    <xf numFmtId="173" fontId="45" fillId="0" borderId="0" xfId="36" applyNumberFormat="1" applyFont="1" applyAlignment="1">
      <alignment horizontal="left"/>
    </xf>
    <xf numFmtId="37" fontId="45" fillId="0" borderId="0" xfId="36" applyNumberFormat="1" applyFont="1" applyAlignment="1">
      <alignment shrinkToFit="1"/>
    </xf>
    <xf numFmtId="37" fontId="45" fillId="0" borderId="7" xfId="36" applyNumberFormat="1" applyFont="1" applyBorder="1" applyAlignment="1">
      <alignment shrinkToFit="1"/>
    </xf>
    <xf numFmtId="37" fontId="45" fillId="4" borderId="0" xfId="36" applyNumberFormat="1" applyFont="1" applyFill="1" applyAlignment="1">
      <alignment shrinkToFit="1"/>
    </xf>
    <xf numFmtId="174" fontId="45" fillId="0" borderId="0" xfId="36" applyNumberFormat="1" applyFont="1" applyAlignment="1">
      <alignment horizontal="left"/>
    </xf>
    <xf numFmtId="3" fontId="57" fillId="2" borderId="0" xfId="36" applyNumberFormat="1" applyFill="1"/>
    <xf numFmtId="0" fontId="57" fillId="2" borderId="0" xfId="36" applyFill="1"/>
    <xf numFmtId="0" fontId="209" fillId="2" borderId="0" xfId="36" applyFont="1" applyFill="1"/>
    <xf numFmtId="37" fontId="45" fillId="23" borderId="0" xfId="36" applyNumberFormat="1" applyFont="1" applyFill="1" applyAlignment="1">
      <alignment shrinkToFit="1"/>
    </xf>
    <xf numFmtId="37" fontId="210" fillId="2" borderId="7" xfId="36" applyNumberFormat="1" applyFont="1" applyFill="1" applyBorder="1" applyAlignment="1">
      <alignment shrinkToFit="1"/>
    </xf>
    <xf numFmtId="49" fontId="45" fillId="0" borderId="0" xfId="36" applyNumberFormat="1" applyFont="1" applyAlignment="1">
      <alignment horizontal="left"/>
    </xf>
    <xf numFmtId="3" fontId="41" fillId="2" borderId="0" xfId="36" applyNumberFormat="1" applyFont="1" applyFill="1"/>
    <xf numFmtId="3" fontId="211" fillId="2" borderId="0" xfId="36" applyNumberFormat="1" applyFont="1" applyFill="1"/>
    <xf numFmtId="37" fontId="210" fillId="0" borderId="0" xfId="36" applyNumberFormat="1" applyFont="1" applyAlignment="1">
      <alignment shrinkToFit="1"/>
    </xf>
    <xf numFmtId="37" fontId="210" fillId="23" borderId="0" xfId="36" applyNumberFormat="1" applyFont="1" applyFill="1" applyAlignment="1">
      <alignment shrinkToFit="1"/>
    </xf>
    <xf numFmtId="3" fontId="41" fillId="0" borderId="0" xfId="36" applyNumberFormat="1" applyFont="1"/>
    <xf numFmtId="37" fontId="210" fillId="2" borderId="0" xfId="36" applyNumberFormat="1" applyFont="1" applyFill="1" applyAlignment="1">
      <alignment shrinkToFit="1"/>
    </xf>
    <xf numFmtId="3" fontId="45" fillId="0" borderId="10" xfId="36" applyNumberFormat="1" applyFont="1" applyBorder="1" applyAlignment="1">
      <alignment horizontal="right"/>
    </xf>
    <xf numFmtId="0" fontId="45" fillId="0" borderId="10" xfId="36" applyFont="1" applyBorder="1" applyAlignment="1">
      <alignment horizontal="left"/>
    </xf>
    <xf numFmtId="3" fontId="45" fillId="0" borderId="10" xfId="36" applyNumberFormat="1" applyFont="1" applyBorder="1" applyAlignment="1">
      <alignment horizontal="left"/>
    </xf>
    <xf numFmtId="173" fontId="45" fillId="0" borderId="10" xfId="36" applyNumberFormat="1" applyFont="1" applyBorder="1" applyAlignment="1">
      <alignment horizontal="left"/>
    </xf>
    <xf numFmtId="49" fontId="45" fillId="4" borderId="10" xfId="36" applyNumberFormat="1" applyFont="1" applyFill="1" applyBorder="1" applyAlignment="1">
      <alignment horizontal="center"/>
    </xf>
    <xf numFmtId="0" fontId="45" fillId="0" borderId="8" xfId="36" applyFont="1" applyBorder="1" applyAlignment="1">
      <alignment horizontal="left"/>
    </xf>
    <xf numFmtId="0" fontId="45" fillId="0" borderId="11" xfId="36" applyFont="1" applyBorder="1" applyAlignment="1">
      <alignment horizontal="left"/>
    </xf>
    <xf numFmtId="49" fontId="45" fillId="4" borderId="9" xfId="36" applyNumberFormat="1" applyFont="1" applyFill="1" applyBorder="1"/>
    <xf numFmtId="3" fontId="45" fillId="0" borderId="0" xfId="36" applyNumberFormat="1" applyFont="1"/>
    <xf numFmtId="173" fontId="45" fillId="0" borderId="5" xfId="36" applyNumberFormat="1" applyFont="1" applyBorder="1" applyAlignment="1">
      <alignment horizontal="left"/>
    </xf>
    <xf numFmtId="0" fontId="45" fillId="0" borderId="7" xfId="36" applyFont="1" applyBorder="1" applyAlignment="1">
      <alignment horizontal="left"/>
    </xf>
    <xf numFmtId="49" fontId="45" fillId="4" borderId="6" xfId="36" applyNumberFormat="1" applyFont="1" applyFill="1" applyBorder="1"/>
    <xf numFmtId="173" fontId="210" fillId="0" borderId="5" xfId="36" applyNumberFormat="1" applyFont="1" applyBorder="1" applyAlignment="1">
      <alignment horizontal="left"/>
    </xf>
    <xf numFmtId="0" fontId="45" fillId="0" borderId="4" xfId="36" applyFont="1" applyBorder="1" applyAlignment="1">
      <alignment horizontal="left"/>
    </xf>
    <xf numFmtId="0" fontId="45" fillId="0" borderId="3" xfId="36" applyFont="1" applyBorder="1" applyAlignment="1">
      <alignment horizontal="left"/>
    </xf>
    <xf numFmtId="173" fontId="45" fillId="0" borderId="3" xfId="36" applyNumberFormat="1" applyFont="1" applyBorder="1" applyAlignment="1">
      <alignment horizontal="left"/>
    </xf>
    <xf numFmtId="49" fontId="210" fillId="4" borderId="2" xfId="36" applyNumberFormat="1" applyFont="1" applyFill="1" applyBorder="1"/>
    <xf numFmtId="0" fontId="45" fillId="0" borderId="1" xfId="36" applyFont="1" applyBorder="1" applyAlignment="1">
      <alignment horizontal="left"/>
    </xf>
    <xf numFmtId="0" fontId="45" fillId="0" borderId="14" xfId="36" applyFont="1" applyBorder="1" applyAlignment="1">
      <alignment horizontal="left"/>
    </xf>
    <xf numFmtId="0" fontId="45" fillId="0" borderId="15" xfId="36" applyFont="1" applyBorder="1" applyAlignment="1">
      <alignment horizontal="left"/>
    </xf>
    <xf numFmtId="173" fontId="45" fillId="0" borderId="15" xfId="36" applyNumberFormat="1" applyFont="1" applyBorder="1" applyAlignment="1">
      <alignment horizontal="left"/>
    </xf>
    <xf numFmtId="49" fontId="45" fillId="4" borderId="13" xfId="36" applyNumberFormat="1" applyFont="1" applyFill="1" applyBorder="1"/>
    <xf numFmtId="0" fontId="80" fillId="0" borderId="0" xfId="228" applyFont="1"/>
    <xf numFmtId="0" fontId="1" fillId="0" borderId="0" xfId="228"/>
    <xf numFmtId="0" fontId="80" fillId="0" borderId="0" xfId="229" applyNumberFormat="1" applyFont="1" applyAlignment="1">
      <alignment horizontal="center"/>
    </xf>
    <xf numFmtId="171" fontId="80" fillId="0" borderId="0" xfId="229" applyNumberFormat="1" applyFont="1" applyAlignment="1">
      <alignment horizontal="center"/>
    </xf>
    <xf numFmtId="171" fontId="1" fillId="0" borderId="0" xfId="229" applyNumberFormat="1" applyFont="1" applyAlignment="1">
      <alignment horizontal="right"/>
    </xf>
    <xf numFmtId="171" fontId="1" fillId="0" borderId="39" xfId="1" applyNumberFormat="1" applyFont="1" applyBorder="1" applyAlignment="1">
      <alignment horizontal="center"/>
    </xf>
    <xf numFmtId="171" fontId="1" fillId="0" borderId="0" xfId="1" applyNumberFormat="1" applyFont="1" applyFill="1" applyBorder="1" applyAlignment="1">
      <alignment horizontal="center"/>
    </xf>
    <xf numFmtId="171" fontId="0" fillId="0" borderId="98" xfId="0" applyNumberFormat="1" applyBorder="1"/>
    <xf numFmtId="0" fontId="106" fillId="0" borderId="0" xfId="228" applyFont="1"/>
    <xf numFmtId="49" fontId="181" fillId="0" borderId="0" xfId="230" applyNumberFormat="1" applyFont="1" applyAlignment="1">
      <alignment horizontal="center" wrapText="1"/>
    </xf>
    <xf numFmtId="212" fontId="212" fillId="0" borderId="0" xfId="230" applyNumberFormat="1" applyFont="1" applyAlignment="1">
      <alignment horizontal="left"/>
    </xf>
    <xf numFmtId="170" fontId="212" fillId="0" borderId="0" xfId="231" applyNumberFormat="1" applyFont="1" applyFill="1"/>
    <xf numFmtId="0" fontId="213" fillId="0" borderId="0" xfId="228" applyFont="1"/>
    <xf numFmtId="171" fontId="1" fillId="0" borderId="0" xfId="228" applyNumberFormat="1"/>
    <xf numFmtId="1" fontId="80" fillId="0" borderId="0" xfId="228" applyNumberFormat="1" applyFont="1" applyAlignment="1">
      <alignment horizontal="left"/>
    </xf>
    <xf numFmtId="170" fontId="1" fillId="0" borderId="0" xfId="19" applyNumberFormat="1" applyFont="1"/>
    <xf numFmtId="170" fontId="1" fillId="0" borderId="0" xfId="232" applyNumberFormat="1" applyFont="1" applyFill="1"/>
    <xf numFmtId="0" fontId="179" fillId="0" borderId="0" xfId="228" applyFont="1"/>
    <xf numFmtId="0" fontId="1" fillId="0" borderId="0" xfId="228" applyAlignment="1">
      <alignment horizontal="right"/>
    </xf>
    <xf numFmtId="0" fontId="106" fillId="0" borderId="0" xfId="228" applyFont="1" applyAlignment="1">
      <alignment horizontal="right"/>
    </xf>
    <xf numFmtId="0" fontId="80" fillId="13" borderId="0" xfId="228" applyFont="1" applyFill="1" applyAlignment="1">
      <alignment horizontal="left"/>
    </xf>
    <xf numFmtId="171" fontId="1" fillId="0" borderId="39" xfId="229" applyNumberFormat="1" applyFont="1" applyBorder="1" applyAlignment="1">
      <alignment horizontal="center"/>
    </xf>
    <xf numFmtId="171" fontId="1" fillId="13" borderId="0" xfId="229" applyNumberFormat="1" applyFont="1" applyFill="1"/>
    <xf numFmtId="0" fontId="1" fillId="13" borderId="0" xfId="228" applyFill="1"/>
    <xf numFmtId="171" fontId="1" fillId="13" borderId="0" xfId="228" applyNumberFormat="1" applyFill="1"/>
    <xf numFmtId="171" fontId="1" fillId="0" borderId="0" xfId="229" applyNumberFormat="1" applyFont="1" applyFill="1"/>
    <xf numFmtId="171" fontId="1" fillId="0" borderId="15" xfId="229" applyNumberFormat="1" applyFont="1" applyBorder="1"/>
    <xf numFmtId="171" fontId="1" fillId="0" borderId="0" xfId="229" applyNumberFormat="1" applyFont="1"/>
    <xf numFmtId="0" fontId="108" fillId="5" borderId="0" xfId="0" applyFont="1" applyFill="1"/>
    <xf numFmtId="43" fontId="0" fillId="0" borderId="0" xfId="233" applyFont="1"/>
    <xf numFmtId="171" fontId="0" fillId="0" borderId="0" xfId="233" applyNumberFormat="1" applyFont="1"/>
    <xf numFmtId="171" fontId="80" fillId="0" borderId="0" xfId="234" applyNumberFormat="1" applyFont="1" applyAlignment="1">
      <alignment horizontal="center"/>
    </xf>
    <xf numFmtId="164" fontId="0" fillId="2" borderId="0" xfId="0" applyNumberFormat="1" applyFill="1"/>
    <xf numFmtId="171" fontId="80" fillId="0" borderId="0" xfId="233" applyNumberFormat="1" applyFont="1"/>
    <xf numFmtId="171" fontId="0" fillId="0" borderId="0" xfId="234" applyNumberFormat="1" applyFont="1"/>
    <xf numFmtId="0" fontId="0" fillId="24" borderId="0" xfId="0" applyFill="1"/>
    <xf numFmtId="14" fontId="0" fillId="0" borderId="0" xfId="0" applyNumberFormat="1"/>
    <xf numFmtId="0" fontId="80" fillId="0" borderId="10" xfId="0" applyFont="1" applyBorder="1"/>
    <xf numFmtId="171" fontId="182" fillId="0" borderId="0" xfId="233" applyNumberFormat="1" applyFont="1" applyFill="1"/>
    <xf numFmtId="0" fontId="182" fillId="0" borderId="0" xfId="0" applyFont="1"/>
    <xf numFmtId="171" fontId="0" fillId="0" borderId="0" xfId="234" applyNumberFormat="1" applyFont="1" applyBorder="1" applyAlignment="1">
      <alignment horizontal="left" vertical="top" wrapText="1"/>
    </xf>
    <xf numFmtId="171" fontId="0" fillId="7" borderId="17" xfId="233" applyNumberFormat="1" applyFont="1" applyFill="1" applyBorder="1"/>
    <xf numFmtId="171" fontId="0" fillId="0" borderId="10" xfId="234" applyNumberFormat="1" applyFont="1" applyBorder="1"/>
    <xf numFmtId="171" fontId="0" fillId="0" borderId="10" xfId="234" applyNumberFormat="1" applyFont="1" applyBorder="1" applyAlignment="1">
      <alignment horizontal="left" vertical="top" wrapText="1"/>
    </xf>
    <xf numFmtId="171" fontId="0" fillId="0" borderId="24" xfId="234" applyNumberFormat="1" applyFont="1" applyBorder="1"/>
    <xf numFmtId="171" fontId="0" fillId="0" borderId="120" xfId="234" applyNumberFormat="1" applyFont="1" applyBorder="1"/>
    <xf numFmtId="0" fontId="80" fillId="17" borderId="0" xfId="0" applyFont="1" applyFill="1"/>
    <xf numFmtId="0" fontId="0" fillId="17" borderId="0" xfId="0" applyFill="1"/>
    <xf numFmtId="164" fontId="0" fillId="17" borderId="0" xfId="0" applyNumberFormat="1" applyFill="1"/>
    <xf numFmtId="171" fontId="0" fillId="0" borderId="0" xfId="233" applyNumberFormat="1" applyFont="1" applyFill="1"/>
    <xf numFmtId="171" fontId="182" fillId="0" borderId="0" xfId="233" applyNumberFormat="1" applyFont="1"/>
    <xf numFmtId="171" fontId="0" fillId="0" borderId="1" xfId="233" applyNumberFormat="1" applyFont="1" applyBorder="1"/>
    <xf numFmtId="171" fontId="80" fillId="7" borderId="17" xfId="233" applyNumberFormat="1" applyFont="1" applyFill="1" applyBorder="1"/>
    <xf numFmtId="171" fontId="0" fillId="0" borderId="5" xfId="233" applyNumberFormat="1" applyFont="1" applyBorder="1"/>
    <xf numFmtId="0" fontId="80" fillId="4" borderId="0" xfId="0" applyFont="1" applyFill="1"/>
    <xf numFmtId="164" fontId="0" fillId="4" borderId="0" xfId="0" applyNumberFormat="1" applyFill="1"/>
    <xf numFmtId="0" fontId="0" fillId="0" borderId="0" xfId="0" applyAlignment="1">
      <alignment vertical="top"/>
    </xf>
    <xf numFmtId="164" fontId="0" fillId="24" borderId="0" xfId="0" applyNumberFormat="1" applyFill="1"/>
    <xf numFmtId="171" fontId="0" fillId="0" borderId="24" xfId="233" applyNumberFormat="1" applyFont="1" applyBorder="1"/>
    <xf numFmtId="14" fontId="80" fillId="2" borderId="0" xfId="0" applyNumberFormat="1" applyFont="1" applyFill="1"/>
    <xf numFmtId="171" fontId="0" fillId="0" borderId="8" xfId="233" applyNumberFormat="1" applyFont="1" applyBorder="1"/>
    <xf numFmtId="171" fontId="0" fillId="2" borderId="0" xfId="233" applyNumberFormat="1" applyFont="1" applyFill="1"/>
    <xf numFmtId="171" fontId="167" fillId="0" borderId="0" xfId="0" applyNumberFormat="1" applyFont="1"/>
    <xf numFmtId="171" fontId="0" fillId="0" borderId="10" xfId="233" applyNumberFormat="1" applyFont="1" applyBorder="1"/>
    <xf numFmtId="43" fontId="182" fillId="0" borderId="0" xfId="233" applyFont="1"/>
    <xf numFmtId="43" fontId="79" fillId="0" borderId="0" xfId="233" applyFont="1"/>
    <xf numFmtId="171" fontId="80" fillId="7" borderId="15" xfId="233" applyNumberFormat="1" applyFont="1" applyFill="1" applyBorder="1"/>
    <xf numFmtId="171" fontId="0" fillId="5" borderId="0" xfId="233" applyNumberFormat="1" applyFont="1" applyFill="1"/>
    <xf numFmtId="0" fontId="1" fillId="0" borderId="0" xfId="235"/>
    <xf numFmtId="0" fontId="80" fillId="13" borderId="0" xfId="0" applyFont="1" applyFill="1"/>
    <xf numFmtId="164" fontId="80" fillId="13" borderId="0" xfId="0" applyNumberFormat="1" applyFont="1" applyFill="1"/>
    <xf numFmtId="164" fontId="0" fillId="13" borderId="0" xfId="0" applyNumberFormat="1" applyFill="1"/>
    <xf numFmtId="0" fontId="80" fillId="24" borderId="0" xfId="0" applyFont="1" applyFill="1"/>
    <xf numFmtId="164" fontId="80" fillId="24" borderId="0" xfId="0" applyNumberFormat="1" applyFont="1" applyFill="1"/>
    <xf numFmtId="171" fontId="0" fillId="9" borderId="0" xfId="234" applyNumberFormat="1" applyFont="1" applyFill="1"/>
    <xf numFmtId="0" fontId="80" fillId="16" borderId="0" xfId="0" applyFont="1" applyFill="1"/>
    <xf numFmtId="164" fontId="80" fillId="16" borderId="0" xfId="0" applyNumberFormat="1" applyFont="1" applyFill="1"/>
    <xf numFmtId="164" fontId="0" fillId="16" borderId="0" xfId="0" applyNumberFormat="1" applyFill="1"/>
    <xf numFmtId="164" fontId="80" fillId="0" borderId="0" xfId="0" applyNumberFormat="1" applyFont="1"/>
    <xf numFmtId="171" fontId="0" fillId="6" borderId="0" xfId="233" applyNumberFormat="1" applyFont="1" applyFill="1"/>
    <xf numFmtId="0" fontId="182" fillId="0" borderId="0" xfId="0" applyFont="1" applyAlignment="1">
      <alignment horizontal="center"/>
    </xf>
    <xf numFmtId="0" fontId="80" fillId="0" borderId="0" xfId="0" applyFont="1" applyAlignment="1">
      <alignment horizontal="left"/>
    </xf>
    <xf numFmtId="171" fontId="0" fillId="0" borderId="1" xfId="0" applyNumberFormat="1" applyBorder="1"/>
    <xf numFmtId="0" fontId="182" fillId="0" borderId="0" xfId="0" applyFont="1" applyAlignment="1">
      <alignment horizontal="right"/>
    </xf>
    <xf numFmtId="171" fontId="0" fillId="5" borderId="98" xfId="0" applyNumberFormat="1" applyFill="1" applyBorder="1"/>
    <xf numFmtId="15" fontId="80" fillId="0" borderId="0" xfId="0" applyNumberFormat="1" applyFont="1"/>
    <xf numFmtId="171" fontId="0" fillId="7" borderId="26" xfId="0" applyNumberFormat="1" applyFill="1" applyBorder="1"/>
    <xf numFmtId="171" fontId="0" fillId="7" borderId="17" xfId="0" applyNumberFormat="1" applyFill="1" applyBorder="1"/>
    <xf numFmtId="15" fontId="0" fillId="0" borderId="0" xfId="0" applyNumberFormat="1"/>
    <xf numFmtId="43" fontId="0" fillId="0" borderId="0" xfId="233" applyFont="1" applyBorder="1"/>
    <xf numFmtId="43" fontId="0" fillId="0" borderId="51" xfId="233" applyFont="1" applyBorder="1"/>
    <xf numFmtId="44" fontId="0" fillId="0" borderId="0" xfId="64" applyFont="1" applyFill="1"/>
    <xf numFmtId="0" fontId="188" fillId="0" borderId="0" xfId="0" applyFont="1" applyAlignment="1">
      <alignment vertical="center"/>
    </xf>
    <xf numFmtId="171" fontId="0" fillId="0" borderId="0" xfId="92" applyNumberFormat="1" applyFont="1" applyFill="1" applyBorder="1"/>
    <xf numFmtId="171" fontId="44" fillId="0" borderId="39" xfId="92" applyNumberFormat="1" applyFont="1" applyFill="1" applyBorder="1"/>
    <xf numFmtId="172" fontId="215" fillId="0" borderId="0" xfId="0" applyNumberFormat="1" applyFont="1"/>
    <xf numFmtId="9" fontId="0" fillId="0" borderId="0" xfId="131" applyFont="1" applyFill="1"/>
    <xf numFmtId="171" fontId="0" fillId="0" borderId="0" xfId="92" applyNumberFormat="1" applyFont="1" applyFill="1"/>
    <xf numFmtId="170" fontId="15" fillId="0" borderId="0" xfId="236" applyNumberFormat="1" applyFont="1"/>
    <xf numFmtId="170" fontId="21" fillId="0" borderId="0" xfId="236" applyNumberFormat="1" applyFont="1"/>
    <xf numFmtId="0" fontId="15" fillId="0" borderId="0" xfId="236" applyFont="1"/>
    <xf numFmtId="0" fontId="216" fillId="0" borderId="0" xfId="0" applyFont="1"/>
    <xf numFmtId="0" fontId="15" fillId="0" borderId="0" xfId="236" applyFont="1" applyAlignment="1">
      <alignment horizontal="center"/>
    </xf>
    <xf numFmtId="0" fontId="15" fillId="0" borderId="0" xfId="236" applyFont="1" applyAlignment="1">
      <alignment horizontal="right"/>
    </xf>
    <xf numFmtId="0" fontId="15" fillId="0" borderId="10" xfId="236" applyFont="1" applyBorder="1" applyAlignment="1">
      <alignment horizontal="center"/>
    </xf>
    <xf numFmtId="172" fontId="217" fillId="0" borderId="39" xfId="0" applyNumberFormat="1" applyFont="1" applyBorder="1"/>
    <xf numFmtId="0" fontId="123" fillId="16" borderId="0" xfId="0" applyFont="1" applyFill="1" applyAlignment="1">
      <alignment horizontal="center"/>
    </xf>
    <xf numFmtId="164" fontId="218" fillId="0" borderId="0" xfId="0" applyNumberFormat="1" applyFont="1"/>
    <xf numFmtId="172" fontId="0" fillId="16" borderId="5" xfId="64" applyNumberFormat="1" applyFont="1" applyFill="1" applyBorder="1"/>
    <xf numFmtId="172" fontId="0" fillId="16" borderId="0" xfId="0" applyNumberFormat="1" applyFill="1"/>
    <xf numFmtId="9" fontId="0" fillId="0" borderId="39" xfId="131" applyFont="1" applyFill="1" applyBorder="1"/>
    <xf numFmtId="164" fontId="0" fillId="0" borderId="39" xfId="0" applyNumberFormat="1" applyBorder="1"/>
    <xf numFmtId="164" fontId="0" fillId="16" borderId="39" xfId="0" applyNumberFormat="1" applyFill="1" applyBorder="1"/>
    <xf numFmtId="170" fontId="0" fillId="16" borderId="39" xfId="0" applyNumberFormat="1" applyFill="1" applyBorder="1"/>
    <xf numFmtId="184" fontId="0" fillId="0" borderId="0" xfId="0" applyNumberFormat="1" applyAlignment="1">
      <alignment horizontal="center"/>
    </xf>
    <xf numFmtId="0" fontId="0" fillId="0" borderId="39" xfId="0" applyBorder="1" applyAlignment="1">
      <alignment horizontal="left"/>
    </xf>
    <xf numFmtId="172" fontId="0" fillId="0" borderId="39" xfId="64" applyNumberFormat="1" applyFont="1" applyFill="1" applyBorder="1"/>
    <xf numFmtId="170" fontId="44" fillId="0" borderId="39" xfId="0" applyNumberFormat="1" applyFont="1" applyBorder="1"/>
    <xf numFmtId="0" fontId="0" fillId="0" borderId="0" xfId="0" quotePrefix="1" applyAlignment="1">
      <alignment horizontal="center"/>
    </xf>
    <xf numFmtId="10" fontId="0" fillId="0" borderId="0" xfId="131" applyNumberFormat="1" applyFont="1" applyFill="1"/>
    <xf numFmtId="0" fontId="123" fillId="16" borderId="39" xfId="0" applyFont="1" applyFill="1" applyBorder="1" applyAlignment="1">
      <alignment horizontal="center" vertical="center"/>
    </xf>
    <xf numFmtId="170" fontId="123" fillId="16" borderId="39" xfId="0" applyNumberFormat="1" applyFont="1" applyFill="1" applyBorder="1"/>
    <xf numFmtId="0" fontId="123" fillId="16" borderId="39" xfId="0" applyFont="1" applyFill="1" applyBorder="1" applyAlignment="1">
      <alignment horizontal="center" wrapText="1"/>
    </xf>
    <xf numFmtId="170" fontId="123" fillId="16" borderId="39" xfId="0" applyNumberFormat="1" applyFont="1" applyFill="1" applyBorder="1" applyAlignment="1">
      <alignment horizontal="center"/>
    </xf>
    <xf numFmtId="0" fontId="15" fillId="0" borderId="0" xfId="237" applyFont="1"/>
    <xf numFmtId="10" fontId="15" fillId="0" borderId="0" xfId="131" applyNumberFormat="1" applyFont="1" applyFill="1" applyBorder="1"/>
    <xf numFmtId="0" fontId="16" fillId="0" borderId="0" xfId="237" applyFont="1"/>
    <xf numFmtId="0" fontId="15" fillId="5" borderId="0" xfId="237" applyFont="1" applyFill="1"/>
    <xf numFmtId="10" fontId="15" fillId="5" borderId="12" xfId="131" applyNumberFormat="1" applyFont="1" applyFill="1" applyBorder="1"/>
    <xf numFmtId="0" fontId="16" fillId="5" borderId="0" xfId="237" applyFont="1" applyFill="1"/>
    <xf numFmtId="2" fontId="15" fillId="0" borderId="10" xfId="237" applyNumberFormat="1" applyFont="1" applyBorder="1"/>
    <xf numFmtId="0" fontId="21" fillId="0" borderId="0" xfId="237" applyFont="1" applyAlignment="1">
      <alignment horizontal="center"/>
    </xf>
    <xf numFmtId="2" fontId="15" fillId="0" borderId="0" xfId="237" applyNumberFormat="1" applyFont="1"/>
    <xf numFmtId="10" fontId="21" fillId="0" borderId="10" xfId="131" applyNumberFormat="1" applyFont="1" applyFill="1" applyBorder="1"/>
    <xf numFmtId="164" fontId="15" fillId="0" borderId="0" xfId="237" applyNumberFormat="1" applyFont="1"/>
    <xf numFmtId="164" fontId="220" fillId="0" borderId="0" xfId="237" applyNumberFormat="1" applyFont="1"/>
    <xf numFmtId="0" fontId="76" fillId="0" borderId="0" xfId="237" applyFont="1"/>
    <xf numFmtId="10" fontId="15" fillId="5" borderId="12" xfId="237" applyNumberFormat="1" applyFont="1" applyFill="1" applyBorder="1"/>
    <xf numFmtId="0" fontId="15" fillId="0" borderId="10" xfId="237" applyFont="1" applyBorder="1"/>
    <xf numFmtId="2" fontId="15" fillId="0" borderId="10" xfId="131" applyNumberFormat="1" applyFont="1" applyFill="1" applyBorder="1"/>
    <xf numFmtId="10" fontId="15" fillId="0" borderId="12" xfId="131" applyNumberFormat="1" applyFont="1" applyFill="1" applyBorder="1"/>
    <xf numFmtId="2" fontId="16" fillId="0" borderId="0" xfId="237" applyNumberFormat="1" applyFont="1"/>
    <xf numFmtId="164" fontId="21" fillId="0" borderId="0" xfId="237" applyNumberFormat="1" applyFont="1" applyAlignment="1">
      <alignment horizontal="center"/>
    </xf>
    <xf numFmtId="164" fontId="15" fillId="0" borderId="0" xfId="237" applyNumberFormat="1" applyFont="1" applyAlignment="1">
      <alignment horizontal="center"/>
    </xf>
    <xf numFmtId="0" fontId="21" fillId="0" borderId="0" xfId="237" applyFont="1"/>
    <xf numFmtId="9" fontId="0" fillId="0" borderId="0" xfId="131" applyFont="1"/>
    <xf numFmtId="172" fontId="0" fillId="0" borderId="0" xfId="64" applyNumberFormat="1" applyFont="1"/>
    <xf numFmtId="172" fontId="0" fillId="0" borderId="10" xfId="64" applyNumberFormat="1" applyFont="1" applyFill="1" applyBorder="1"/>
    <xf numFmtId="172" fontId="0" fillId="7" borderId="0" xfId="64" applyNumberFormat="1" applyFont="1" applyFill="1"/>
    <xf numFmtId="172" fontId="0" fillId="0" borderId="10" xfId="64" applyNumberFormat="1" applyFont="1" applyBorder="1"/>
    <xf numFmtId="44" fontId="0" fillId="0" borderId="0" xfId="64" applyFont="1"/>
    <xf numFmtId="172" fontId="0" fillId="0" borderId="15" xfId="0" applyNumberFormat="1" applyBorder="1"/>
    <xf numFmtId="172" fontId="0" fillId="0" borderId="0" xfId="64" applyNumberFormat="1" applyFont="1" applyFill="1"/>
    <xf numFmtId="164" fontId="0" fillId="7" borderId="0" xfId="0" applyNumberFormat="1" applyFill="1"/>
    <xf numFmtId="10" fontId="0" fillId="0" borderId="0" xfId="131" applyNumberFormat="1" applyFont="1"/>
    <xf numFmtId="184" fontId="0" fillId="0" borderId="0" xfId="0" applyNumberFormat="1"/>
    <xf numFmtId="171" fontId="0" fillId="0" borderId="10" xfId="92" applyNumberFormat="1" applyFont="1" applyBorder="1"/>
    <xf numFmtId="171" fontId="0" fillId="0" borderId="0" xfId="92" applyNumberFormat="1" applyFont="1" applyBorder="1"/>
    <xf numFmtId="0" fontId="123" fillId="21" borderId="0" xfId="0" applyFont="1" applyFill="1"/>
    <xf numFmtId="0" fontId="123" fillId="21" borderId="99" xfId="0" applyFont="1" applyFill="1" applyBorder="1"/>
    <xf numFmtId="164" fontId="0" fillId="21" borderId="0" xfId="0" applyNumberFormat="1" applyFill="1"/>
    <xf numFmtId="164" fontId="123" fillId="14" borderId="101" xfId="0" applyNumberFormat="1" applyFont="1" applyFill="1" applyBorder="1"/>
    <xf numFmtId="0" fontId="0" fillId="14" borderId="39" xfId="0" applyFill="1" applyBorder="1"/>
    <xf numFmtId="0" fontId="123" fillId="14" borderId="39" xfId="0" applyFont="1" applyFill="1" applyBorder="1"/>
    <xf numFmtId="0" fontId="123" fillId="21" borderId="39" xfId="0" applyFont="1" applyFill="1" applyBorder="1"/>
    <xf numFmtId="164" fontId="0" fillId="21" borderId="39" xfId="0" applyNumberFormat="1" applyFill="1" applyBorder="1"/>
    <xf numFmtId="0" fontId="123" fillId="14" borderId="39" xfId="0" applyFont="1" applyFill="1" applyBorder="1" applyAlignment="1">
      <alignment horizontal="left"/>
    </xf>
    <xf numFmtId="164" fontId="123" fillId="14" borderId="39" xfId="0" applyNumberFormat="1" applyFont="1" applyFill="1" applyBorder="1"/>
    <xf numFmtId="164" fontId="123" fillId="7" borderId="39" xfId="0" applyNumberFormat="1" applyFont="1" applyFill="1" applyBorder="1"/>
    <xf numFmtId="0" fontId="179" fillId="0" borderId="0" xfId="238" applyFont="1" applyAlignment="1">
      <alignment horizontal="left"/>
    </xf>
    <xf numFmtId="0" fontId="106" fillId="0" borderId="0" xfId="238" applyFont="1" applyAlignment="1">
      <alignment horizontal="left"/>
    </xf>
    <xf numFmtId="37" fontId="106" fillId="0" borderId="0" xfId="0" applyNumberFormat="1" applyFont="1"/>
    <xf numFmtId="0" fontId="62" fillId="0" borderId="0" xfId="69"/>
    <xf numFmtId="0" fontId="62" fillId="0" borderId="0" xfId="69" applyAlignment="1">
      <alignment horizontal="center"/>
    </xf>
    <xf numFmtId="37" fontId="179" fillId="0" borderId="0" xfId="238" applyNumberFormat="1" applyFont="1"/>
    <xf numFmtId="0" fontId="179" fillId="0" borderId="0" xfId="238" applyFont="1" applyAlignment="1">
      <alignment horizontal="center"/>
    </xf>
    <xf numFmtId="37" fontId="179" fillId="0" borderId="0" xfId="0" applyNumberFormat="1" applyFont="1"/>
    <xf numFmtId="37" fontId="179" fillId="0" borderId="13" xfId="0" applyNumberFormat="1" applyFont="1" applyBorder="1"/>
    <xf numFmtId="37" fontId="179" fillId="0" borderId="14" xfId="0" applyNumberFormat="1" applyFont="1" applyBorder="1"/>
    <xf numFmtId="37" fontId="179" fillId="0" borderId="0" xfId="238" applyNumberFormat="1" applyFont="1" applyAlignment="1">
      <alignment horizontal="left" vertical="center"/>
    </xf>
    <xf numFmtId="37" fontId="179" fillId="0" borderId="0" xfId="238" applyNumberFormat="1" applyFont="1" applyAlignment="1">
      <alignment horizontal="center" vertical="center"/>
    </xf>
    <xf numFmtId="0" fontId="0" fillId="0" borderId="0" xfId="0" applyAlignment="1">
      <alignment horizontal="center" vertical="center"/>
    </xf>
    <xf numFmtId="14" fontId="179" fillId="0" borderId="0" xfId="238" applyNumberFormat="1" applyFont="1" applyAlignment="1">
      <alignment horizontal="center" vertical="center" wrapText="1"/>
    </xf>
    <xf numFmtId="0" fontId="179" fillId="0" borderId="0" xfId="238" applyFont="1" applyAlignment="1">
      <alignment horizontal="center" vertical="center" wrapText="1"/>
    </xf>
    <xf numFmtId="0" fontId="179" fillId="0" borderId="0" xfId="238" applyFont="1" applyAlignment="1">
      <alignment horizontal="center" vertical="center"/>
    </xf>
    <xf numFmtId="37" fontId="106" fillId="0" borderId="0" xfId="0" applyNumberFormat="1" applyFont="1" applyAlignment="1">
      <alignment horizontal="center" vertical="center"/>
    </xf>
    <xf numFmtId="37" fontId="179" fillId="0" borderId="13" xfId="0" applyNumberFormat="1" applyFont="1" applyBorder="1" applyAlignment="1">
      <alignment horizontal="center" vertical="center"/>
    </xf>
    <xf numFmtId="37" fontId="179" fillId="0" borderId="14" xfId="0" applyNumberFormat="1" applyFont="1" applyBorder="1" applyAlignment="1">
      <alignment horizontal="center" vertical="center"/>
    </xf>
    <xf numFmtId="194" fontId="106" fillId="0" borderId="0" xfId="238" applyNumberFormat="1" applyFont="1" applyAlignment="1">
      <alignment horizontal="center"/>
    </xf>
    <xf numFmtId="194" fontId="106" fillId="0" borderId="0" xfId="238" applyNumberFormat="1" applyFont="1" applyAlignment="1">
      <alignment horizontal="left"/>
    </xf>
    <xf numFmtId="37" fontId="106" fillId="0" borderId="0" xfId="238" applyNumberFormat="1" applyFont="1" applyAlignment="1">
      <alignment horizontal="right"/>
    </xf>
    <xf numFmtId="37" fontId="106" fillId="0" borderId="0" xfId="86" applyNumberFormat="1" applyFont="1" applyFill="1" applyBorder="1"/>
    <xf numFmtId="9" fontId="106" fillId="0" borderId="0" xfId="239" applyFont="1" applyFill="1" applyBorder="1"/>
    <xf numFmtId="0" fontId="75" fillId="14" borderId="0" xfId="0" applyFont="1" applyFill="1"/>
    <xf numFmtId="0" fontId="75" fillId="14" borderId="99" xfId="0" applyFont="1" applyFill="1" applyBorder="1"/>
    <xf numFmtId="194" fontId="106" fillId="0" borderId="0" xfId="238" quotePrefix="1" applyNumberFormat="1" applyFont="1" applyAlignment="1">
      <alignment horizontal="center"/>
    </xf>
    <xf numFmtId="0" fontId="75" fillId="14" borderId="101" xfId="0" applyFont="1" applyFill="1" applyBorder="1" applyAlignment="1">
      <alignment horizontal="left"/>
    </xf>
    <xf numFmtId="172" fontId="75" fillId="7" borderId="101" xfId="0" applyNumberFormat="1" applyFont="1" applyFill="1" applyBorder="1"/>
    <xf numFmtId="172" fontId="75" fillId="14" borderId="101" xfId="0" applyNumberFormat="1" applyFont="1" applyFill="1" applyBorder="1"/>
    <xf numFmtId="37" fontId="179" fillId="7" borderId="15" xfId="238" applyNumberFormat="1" applyFont="1" applyFill="1" applyBorder="1" applyAlignment="1">
      <alignment horizontal="right"/>
    </xf>
    <xf numFmtId="37" fontId="106" fillId="0" borderId="15" xfId="238" applyNumberFormat="1" applyFont="1" applyBorder="1" applyAlignment="1">
      <alignment horizontal="right"/>
    </xf>
    <xf numFmtId="9" fontId="106" fillId="0" borderId="15" xfId="239" applyFont="1" applyFill="1" applyBorder="1"/>
    <xf numFmtId="37" fontId="106" fillId="0" borderId="0" xfId="238" applyNumberFormat="1" applyFont="1"/>
    <xf numFmtId="37" fontId="223" fillId="0" borderId="0" xfId="238" applyNumberFormat="1" applyFont="1" applyAlignment="1">
      <alignment horizontal="right"/>
    </xf>
    <xf numFmtId="37" fontId="223" fillId="0" borderId="0" xfId="0" applyNumberFormat="1" applyFont="1"/>
    <xf numFmtId="0" fontId="179" fillId="0" borderId="26" xfId="238" applyFont="1" applyBorder="1"/>
    <xf numFmtId="0" fontId="179" fillId="0" borderId="27" xfId="238" applyFont="1" applyBorder="1"/>
    <xf numFmtId="0" fontId="179" fillId="0" borderId="28" xfId="238" applyFont="1" applyBorder="1"/>
    <xf numFmtId="167" fontId="106" fillId="0" borderId="0" xfId="239" applyNumberFormat="1" applyFont="1" applyFill="1" applyBorder="1"/>
    <xf numFmtId="14" fontId="179" fillId="0" borderId="0" xfId="238" applyNumberFormat="1" applyFont="1" applyAlignment="1">
      <alignment horizontal="center"/>
    </xf>
    <xf numFmtId="37" fontId="179" fillId="0" borderId="13" xfId="0" applyNumberFormat="1" applyFont="1" applyBorder="1" applyAlignment="1">
      <alignment vertical="center"/>
    </xf>
    <xf numFmtId="37" fontId="179" fillId="0" borderId="14" xfId="0" applyNumberFormat="1" applyFont="1" applyBorder="1" applyAlignment="1">
      <alignment vertical="center"/>
    </xf>
    <xf numFmtId="37" fontId="179" fillId="0" borderId="13" xfId="0" applyNumberFormat="1" applyFont="1" applyBorder="1" applyAlignment="1">
      <alignment vertical="center" wrapText="1"/>
    </xf>
    <xf numFmtId="37" fontId="179" fillId="0" borderId="14" xfId="0" applyNumberFormat="1" applyFont="1" applyBorder="1" applyAlignment="1">
      <alignment vertical="center" wrapText="1"/>
    </xf>
    <xf numFmtId="0" fontId="179" fillId="0" borderId="0" xfId="238" applyFont="1" applyAlignment="1">
      <alignment horizontal="center" wrapText="1"/>
    </xf>
    <xf numFmtId="0" fontId="223" fillId="0" borderId="0" xfId="238" quotePrefix="1" applyFont="1" applyAlignment="1">
      <alignment horizontal="center"/>
    </xf>
    <xf numFmtId="37" fontId="224" fillId="0" borderId="0" xfId="238" applyNumberFormat="1" applyFont="1" applyAlignment="1">
      <alignment horizontal="right"/>
    </xf>
    <xf numFmtId="172" fontId="106" fillId="0" borderId="0" xfId="86" applyNumberFormat="1" applyFont="1" applyFill="1" applyBorder="1"/>
    <xf numFmtId="0" fontId="75" fillId="14" borderId="99" xfId="0" applyFont="1" applyFill="1" applyBorder="1" applyAlignment="1">
      <alignment wrapText="1"/>
    </xf>
    <xf numFmtId="9" fontId="106" fillId="0" borderId="0" xfId="239" applyFont="1" applyFill="1"/>
    <xf numFmtId="172" fontId="106" fillId="0" borderId="12" xfId="72" applyNumberFormat="1" applyFont="1" applyFill="1" applyBorder="1"/>
    <xf numFmtId="10" fontId="106" fillId="0" borderId="0" xfId="239" applyNumberFormat="1" applyFont="1" applyFill="1"/>
    <xf numFmtId="0" fontId="225" fillId="0" borderId="0" xfId="134" applyFont="1" applyAlignment="1">
      <alignment horizontal="left"/>
    </xf>
    <xf numFmtId="0" fontId="106" fillId="0" borderId="0" xfId="134" applyFont="1" applyAlignment="1">
      <alignment horizontal="right"/>
    </xf>
    <xf numFmtId="0" fontId="106" fillId="0" borderId="0" xfId="134" applyFont="1"/>
    <xf numFmtId="178" fontId="106" fillId="0" borderId="0" xfId="134" applyNumberFormat="1" applyFont="1" applyAlignment="1">
      <alignment horizontal="right"/>
    </xf>
    <xf numFmtId="172" fontId="106" fillId="2" borderId="41" xfId="72" applyNumberFormat="1" applyFont="1" applyFill="1" applyBorder="1"/>
    <xf numFmtId="44" fontId="227" fillId="0" borderId="0" xfId="86" applyFont="1" applyFill="1" applyAlignment="1">
      <alignment horizontal="right"/>
    </xf>
    <xf numFmtId="44" fontId="0" fillId="0" borderId="0" xfId="74" applyFont="1"/>
    <xf numFmtId="172" fontId="106" fillId="0" borderId="0" xfId="72" applyNumberFormat="1" applyFont="1" applyFill="1" applyBorder="1"/>
    <xf numFmtId="0" fontId="80" fillId="0" borderId="0" xfId="96" applyFont="1"/>
    <xf numFmtId="0" fontId="1" fillId="0" borderId="0" xfId="96" applyFont="1"/>
    <xf numFmtId="0" fontId="43" fillId="0" borderId="0" xfId="96" applyFont="1"/>
    <xf numFmtId="0" fontId="228" fillId="0" borderId="104" xfId="75" applyFont="1" applyBorder="1" applyAlignment="1">
      <alignment horizontal="left" vertical="top" wrapText="1"/>
    </xf>
    <xf numFmtId="0" fontId="8" fillId="0" borderId="0" xfId="75"/>
    <xf numFmtId="0" fontId="179" fillId="0" borderId="0" xfId="96" applyFont="1"/>
    <xf numFmtId="0" fontId="228" fillId="0" borderId="71" xfId="75" applyFont="1" applyBorder="1" applyAlignment="1">
      <alignment horizontal="right" vertical="top"/>
    </xf>
    <xf numFmtId="0" fontId="228" fillId="0" borderId="69" xfId="75" applyFont="1" applyBorder="1" applyAlignment="1">
      <alignment horizontal="right" vertical="top"/>
    </xf>
    <xf numFmtId="0" fontId="229" fillId="0" borderId="104" xfId="75" applyFont="1" applyBorder="1" applyAlignment="1">
      <alignment horizontal="left" vertical="top"/>
    </xf>
    <xf numFmtId="0" fontId="229" fillId="0" borderId="110" xfId="75" applyFont="1" applyBorder="1" applyAlignment="1">
      <alignment horizontal="center" vertical="center"/>
    </xf>
    <xf numFmtId="0" fontId="229" fillId="0" borderId="110" xfId="75" applyFont="1" applyBorder="1" applyAlignment="1">
      <alignment horizontal="center" vertical="top"/>
    </xf>
    <xf numFmtId="0" fontId="1" fillId="16" borderId="0" xfId="96" applyFont="1" applyFill="1"/>
    <xf numFmtId="0" fontId="80" fillId="16" borderId="0" xfId="96" applyFont="1" applyFill="1" applyAlignment="1">
      <alignment horizontal="center"/>
    </xf>
    <xf numFmtId="0" fontId="228" fillId="0" borderId="104" xfId="75" applyFont="1" applyBorder="1" applyAlignment="1">
      <alignment horizontal="left" vertical="top"/>
    </xf>
    <xf numFmtId="213" fontId="228" fillId="0" borderId="104" xfId="75" applyNumberFormat="1" applyFont="1" applyBorder="1" applyAlignment="1">
      <alignment horizontal="right" vertical="top"/>
    </xf>
    <xf numFmtId="0" fontId="80" fillId="0" borderId="0" xfId="96" applyFont="1" applyAlignment="1">
      <alignment horizontal="center" wrapText="1"/>
    </xf>
    <xf numFmtId="0" fontId="228" fillId="5" borderId="71" xfId="75" applyFont="1" applyFill="1" applyBorder="1" applyAlignment="1">
      <alignment horizontal="center" vertical="top"/>
    </xf>
    <xf numFmtId="0" fontId="228" fillId="5" borderId="105" xfId="75" applyFont="1" applyFill="1" applyBorder="1" applyAlignment="1">
      <alignment horizontal="center" vertical="top"/>
    </xf>
    <xf numFmtId="213" fontId="228" fillId="5" borderId="108" xfId="75" applyNumberFormat="1" applyFont="1" applyFill="1" applyBorder="1" applyAlignment="1">
      <alignment horizontal="right" vertical="top"/>
    </xf>
    <xf numFmtId="0" fontId="80" fillId="16" borderId="0" xfId="96" applyFont="1" applyFill="1" applyAlignment="1">
      <alignment horizontal="center" wrapText="1"/>
    </xf>
    <xf numFmtId="0" fontId="80" fillId="16" borderId="0" xfId="96" applyFont="1" applyFill="1" applyAlignment="1">
      <alignment horizontal="center" vertical="center" wrapText="1"/>
    </xf>
    <xf numFmtId="0" fontId="179" fillId="0" borderId="18" xfId="96" applyFont="1" applyBorder="1" applyAlignment="1">
      <alignment horizontal="center" wrapText="1"/>
    </xf>
    <xf numFmtId="0" fontId="179" fillId="0" borderId="19" xfId="96" applyFont="1" applyBorder="1" applyAlignment="1">
      <alignment horizontal="center"/>
    </xf>
    <xf numFmtId="0" fontId="179" fillId="0" borderId="20" xfId="96" applyFont="1" applyBorder="1" applyAlignment="1">
      <alignment horizontal="center"/>
    </xf>
    <xf numFmtId="0" fontId="179" fillId="0" borderId="4" xfId="96" applyFont="1" applyBorder="1" applyAlignment="1">
      <alignment horizontal="center"/>
    </xf>
    <xf numFmtId="0" fontId="8" fillId="0" borderId="39" xfId="75" applyBorder="1"/>
    <xf numFmtId="0" fontId="106" fillId="0" borderId="39" xfId="75" applyFont="1" applyBorder="1"/>
    <xf numFmtId="10" fontId="106" fillId="0" borderId="39" xfId="77" applyNumberFormat="1" applyFont="1" applyFill="1" applyBorder="1"/>
    <xf numFmtId="10" fontId="106" fillId="0" borderId="13" xfId="77" applyNumberFormat="1" applyFont="1" applyFill="1" applyBorder="1"/>
    <xf numFmtId="10" fontId="179" fillId="7" borderId="120" xfId="77" applyNumberFormat="1" applyFont="1" applyFill="1" applyBorder="1"/>
    <xf numFmtId="10" fontId="106" fillId="0" borderId="14" xfId="77" applyNumberFormat="1" applyFont="1" applyFill="1" applyBorder="1"/>
    <xf numFmtId="0" fontId="230" fillId="0" borderId="0" xfId="96" applyFont="1" applyAlignment="1">
      <alignment horizontal="right"/>
    </xf>
    <xf numFmtId="172" fontId="1" fillId="0" borderId="0" xfId="117" applyNumberFormat="1" applyFont="1" applyFill="1" applyBorder="1"/>
    <xf numFmtId="0" fontId="231" fillId="0" borderId="0" xfId="96" applyFont="1" applyAlignment="1">
      <alignment horizontal="center"/>
    </xf>
    <xf numFmtId="0" fontId="106" fillId="0" borderId="21" xfId="96" applyFont="1" applyBorder="1"/>
    <xf numFmtId="172" fontId="106" fillId="0" borderId="22" xfId="96" applyNumberFormat="1" applyFont="1" applyBorder="1"/>
    <xf numFmtId="172" fontId="106" fillId="0" borderId="7" xfId="96" applyNumberFormat="1" applyFont="1" applyBorder="1"/>
    <xf numFmtId="0" fontId="56" fillId="0" borderId="0" xfId="96" applyFont="1" applyAlignment="1">
      <alignment horizontal="center"/>
    </xf>
    <xf numFmtId="172" fontId="1" fillId="0" borderId="0" xfId="86" applyNumberFormat="1" applyFont="1" applyFill="1" applyBorder="1"/>
    <xf numFmtId="0" fontId="106" fillId="0" borderId="23" xfId="96" applyFont="1" applyBorder="1"/>
    <xf numFmtId="172" fontId="106" fillId="0" borderId="24" xfId="96" applyNumberFormat="1" applyFont="1" applyBorder="1"/>
    <xf numFmtId="172" fontId="106" fillId="0" borderId="25" xfId="96" applyNumberFormat="1" applyFont="1" applyBorder="1"/>
    <xf numFmtId="172" fontId="106" fillId="0" borderId="11" xfId="96" applyNumberFormat="1" applyFont="1" applyBorder="1"/>
    <xf numFmtId="0" fontId="15" fillId="0" borderId="0" xfId="96" applyFont="1"/>
    <xf numFmtId="10" fontId="0" fillId="0" borderId="0" xfId="239" applyNumberFormat="1" applyFont="1"/>
    <xf numFmtId="0" fontId="1" fillId="0" borderId="0" xfId="96" applyFont="1" applyAlignment="1">
      <alignment horizontal="left"/>
    </xf>
    <xf numFmtId="0" fontId="79" fillId="0" borderId="0" xfId="96" applyFont="1"/>
    <xf numFmtId="0" fontId="52" fillId="0" borderId="0" xfId="96" applyFont="1"/>
    <xf numFmtId="0" fontId="228" fillId="0" borderId="0" xfId="75" applyFont="1" applyAlignment="1">
      <alignment horizontal="right" vertical="top"/>
    </xf>
    <xf numFmtId="0" fontId="106" fillId="0" borderId="0" xfId="96" applyFont="1" applyAlignment="1">
      <alignment horizontal="center"/>
    </xf>
    <xf numFmtId="172" fontId="1" fillId="16" borderId="0" xfId="86" applyNumberFormat="1" applyFont="1" applyFill="1"/>
    <xf numFmtId="0" fontId="171" fillId="0" borderId="0" xfId="96" applyFont="1"/>
    <xf numFmtId="0" fontId="229" fillId="0" borderId="0" xfId="75" applyFont="1" applyAlignment="1">
      <alignment horizontal="right" vertical="top"/>
    </xf>
    <xf numFmtId="0" fontId="229" fillId="0" borderId="0" xfId="75" applyFont="1" applyAlignment="1">
      <alignment horizontal="center" vertical="top"/>
    </xf>
    <xf numFmtId="0" fontId="228" fillId="0" borderId="0" xfId="75" applyFont="1" applyAlignment="1">
      <alignment horizontal="right" vertical="center"/>
    </xf>
    <xf numFmtId="0" fontId="229" fillId="0" borderId="0" xfId="75" applyFont="1" applyAlignment="1">
      <alignment horizontal="center" vertical="center"/>
    </xf>
    <xf numFmtId="0" fontId="228" fillId="0" borderId="0" xfId="75" applyFont="1" applyAlignment="1">
      <alignment horizontal="left" vertical="top"/>
    </xf>
    <xf numFmtId="0" fontId="232" fillId="0" borderId="0" xfId="75" applyFont="1" applyAlignment="1">
      <alignment horizontal="center" vertical="top"/>
    </xf>
    <xf numFmtId="214" fontId="228" fillId="0" borderId="0" xfId="75" applyNumberFormat="1" applyFont="1" applyAlignment="1">
      <alignment horizontal="right" vertical="center"/>
    </xf>
    <xf numFmtId="0" fontId="228" fillId="0" borderId="0" xfId="75" applyFont="1" applyAlignment="1">
      <alignment horizontal="center" vertical="top"/>
    </xf>
    <xf numFmtId="172" fontId="106" fillId="0" borderId="0" xfId="96" applyNumberFormat="1" applyFont="1" applyAlignment="1">
      <alignment horizontal="left" wrapText="1"/>
    </xf>
    <xf numFmtId="214" fontId="228" fillId="0" borderId="10" xfId="75" applyNumberFormat="1" applyFont="1" applyBorder="1" applyAlignment="1">
      <alignment horizontal="right" vertical="center"/>
    </xf>
    <xf numFmtId="0" fontId="229" fillId="0" borderId="0" xfId="75" applyFont="1" applyAlignment="1">
      <alignment horizontal="left" vertical="top"/>
    </xf>
    <xf numFmtId="214" fontId="229" fillId="0" borderId="0" xfId="75" applyNumberFormat="1" applyFont="1" applyAlignment="1">
      <alignment horizontal="right" vertical="center"/>
    </xf>
    <xf numFmtId="171" fontId="106" fillId="0" borderId="0" xfId="76" applyNumberFormat="1" applyFont="1" applyFill="1" applyBorder="1"/>
    <xf numFmtId="0" fontId="106" fillId="0" borderId="0" xfId="96" applyFont="1" applyAlignment="1">
      <alignment horizontal="right"/>
    </xf>
    <xf numFmtId="10" fontId="106" fillId="0" borderId="0" xfId="96" applyNumberFormat="1" applyFont="1" applyAlignment="1">
      <alignment horizontal="center"/>
    </xf>
    <xf numFmtId="0" fontId="106" fillId="0" borderId="0" xfId="96" applyFont="1" applyAlignment="1">
      <alignment horizontal="center" vertical="top"/>
    </xf>
    <xf numFmtId="0" fontId="225" fillId="0" borderId="0" xfId="96" applyFont="1"/>
    <xf numFmtId="182" fontId="106" fillId="0" borderId="0" xfId="96" applyNumberFormat="1" applyFont="1"/>
    <xf numFmtId="171" fontId="106" fillId="0" borderId="10" xfId="76" applyNumberFormat="1" applyFont="1" applyFill="1" applyBorder="1"/>
    <xf numFmtId="43" fontId="185" fillId="0" borderId="0" xfId="76" applyFont="1" applyBorder="1"/>
    <xf numFmtId="10" fontId="106" fillId="0" borderId="0" xfId="96" applyNumberFormat="1" applyFont="1"/>
    <xf numFmtId="9" fontId="233" fillId="0" borderId="0" xfId="239" applyFont="1" applyFill="1" applyBorder="1"/>
    <xf numFmtId="37" fontId="179" fillId="0" borderId="0" xfId="96" applyNumberFormat="1" applyFont="1" applyAlignment="1">
      <alignment horizontal="center" wrapText="1"/>
    </xf>
    <xf numFmtId="0" fontId="179" fillId="0" borderId="0" xfId="96" applyFont="1" applyAlignment="1">
      <alignment horizontal="center"/>
    </xf>
    <xf numFmtId="0" fontId="179" fillId="0" borderId="0" xfId="134" applyFont="1" applyAlignment="1">
      <alignment horizontal="center"/>
    </xf>
    <xf numFmtId="0" fontId="225" fillId="0" borderId="0" xfId="96" applyFont="1" applyAlignment="1">
      <alignment horizontal="center"/>
    </xf>
    <xf numFmtId="37" fontId="106" fillId="0" borderId="0" xfId="96" applyNumberFormat="1" applyFont="1"/>
    <xf numFmtId="172" fontId="179" fillId="0" borderId="0" xfId="96" applyNumberFormat="1" applyFont="1"/>
    <xf numFmtId="172" fontId="106" fillId="7" borderId="41" xfId="72" applyNumberFormat="1" applyFont="1" applyFill="1" applyBorder="1"/>
    <xf numFmtId="171" fontId="106" fillId="0" borderId="0" xfId="76" applyNumberFormat="1" applyFont="1" applyBorder="1"/>
    <xf numFmtId="172" fontId="106" fillId="0" borderId="41" xfId="72" applyNumberFormat="1" applyFont="1" applyFill="1" applyBorder="1"/>
    <xf numFmtId="0" fontId="233" fillId="0" borderId="0" xfId="96" applyFont="1"/>
    <xf numFmtId="172" fontId="106" fillId="7" borderId="39" xfId="96" applyNumberFormat="1" applyFont="1" applyFill="1" applyBorder="1"/>
    <xf numFmtId="10" fontId="233" fillId="0" borderId="0" xfId="239" applyNumberFormat="1" applyFont="1" applyBorder="1"/>
    <xf numFmtId="10" fontId="233" fillId="0" borderId="0" xfId="96" applyNumberFormat="1" applyFont="1"/>
    <xf numFmtId="172" fontId="1" fillId="0" borderId="0" xfId="112" applyNumberFormat="1" applyFont="1"/>
    <xf numFmtId="0" fontId="107" fillId="0" borderId="0" xfId="228" applyFont="1"/>
    <xf numFmtId="14" fontId="79" fillId="0" borderId="0" xfId="228" applyNumberFormat="1" applyFont="1" applyAlignment="1">
      <alignment horizontal="center" vertical="center"/>
    </xf>
    <xf numFmtId="0" fontId="80" fillId="25" borderId="0" xfId="228" applyFont="1" applyFill="1" applyAlignment="1">
      <alignment horizontal="center" wrapText="1"/>
    </xf>
    <xf numFmtId="0" fontId="80" fillId="20" borderId="39" xfId="228" applyFont="1" applyFill="1" applyBorder="1" applyAlignment="1">
      <alignment horizontal="center" wrapText="1"/>
    </xf>
    <xf numFmtId="0" fontId="1" fillId="25" borderId="0" xfId="228" applyFill="1"/>
    <xf numFmtId="0" fontId="1" fillId="0" borderId="0" xfId="228" applyAlignment="1">
      <alignment horizontal="left" indent="1"/>
    </xf>
    <xf numFmtId="171" fontId="0" fillId="25" borderId="0" xfId="234" applyNumberFormat="1" applyFont="1" applyFill="1" applyBorder="1"/>
    <xf numFmtId="171" fontId="0" fillId="0" borderId="0" xfId="234" applyNumberFormat="1" applyFont="1" applyFill="1"/>
    <xf numFmtId="0" fontId="1" fillId="0" borderId="0" xfId="96" applyFont="1" applyAlignment="1">
      <alignment vertical="center"/>
    </xf>
    <xf numFmtId="0" fontId="1" fillId="0" borderId="0" xfId="96" applyFont="1" applyAlignment="1">
      <alignment horizontal="center" vertical="center"/>
    </xf>
    <xf numFmtId="171" fontId="1" fillId="0" borderId="10" xfId="228" applyNumberFormat="1" applyBorder="1"/>
    <xf numFmtId="0" fontId="1" fillId="0" borderId="39" xfId="96" applyFont="1" applyBorder="1"/>
    <xf numFmtId="172" fontId="1" fillId="0" borderId="39" xfId="112" applyNumberFormat="1" applyFont="1" applyBorder="1"/>
    <xf numFmtId="172" fontId="1" fillId="0" borderId="39" xfId="112" applyNumberFormat="1" applyFont="1" applyFill="1" applyBorder="1"/>
    <xf numFmtId="172" fontId="1" fillId="0" borderId="39" xfId="96" applyNumberFormat="1" applyFont="1" applyBorder="1"/>
    <xf numFmtId="171" fontId="1" fillId="25" borderId="0" xfId="228" applyNumberFormat="1" applyFill="1"/>
    <xf numFmtId="171" fontId="1" fillId="0" borderId="15" xfId="228" applyNumberFormat="1" applyBorder="1"/>
    <xf numFmtId="9" fontId="1" fillId="0" borderId="0" xfId="63" applyFont="1" applyFill="1" applyBorder="1"/>
    <xf numFmtId="0" fontId="1" fillId="0" borderId="24" xfId="228" applyBorder="1"/>
    <xf numFmtId="172" fontId="1" fillId="0" borderId="24" xfId="228" applyNumberFormat="1" applyBorder="1"/>
    <xf numFmtId="44" fontId="1" fillId="0" borderId="0" xfId="96" applyNumberFormat="1" applyFont="1"/>
    <xf numFmtId="172" fontId="1" fillId="5" borderId="39" xfId="96" applyNumberFormat="1" applyFont="1" applyFill="1" applyBorder="1"/>
    <xf numFmtId="0" fontId="1" fillId="0" borderId="39" xfId="96" applyFont="1" applyBorder="1" applyAlignment="1">
      <alignment horizontal="left"/>
    </xf>
    <xf numFmtId="172" fontId="1" fillId="0" borderId="39" xfId="96" applyNumberFormat="1" applyFont="1" applyBorder="1" applyAlignment="1">
      <alignment horizontal="center"/>
    </xf>
    <xf numFmtId="172" fontId="1" fillId="0" borderId="0" xfId="112" applyNumberFormat="1" applyFont="1" applyBorder="1"/>
    <xf numFmtId="43" fontId="179" fillId="0" borderId="10" xfId="113" applyFont="1" applyFill="1" applyBorder="1" applyAlignment="1">
      <alignment horizontal="center"/>
    </xf>
    <xf numFmtId="0" fontId="179" fillId="0" borderId="10" xfId="96" applyFont="1" applyBorder="1" applyAlignment="1">
      <alignment horizontal="center"/>
    </xf>
    <xf numFmtId="172" fontId="80" fillId="0" borderId="0" xfId="112" applyNumberFormat="1" applyFont="1"/>
    <xf numFmtId="172" fontId="106" fillId="0" borderId="15" xfId="112" applyNumberFormat="1" applyFont="1" applyFill="1" applyBorder="1"/>
    <xf numFmtId="172" fontId="106" fillId="0" borderId="0" xfId="112" applyNumberFormat="1" applyFont="1" applyFill="1"/>
    <xf numFmtId="0" fontId="234" fillId="5" borderId="23" xfId="96" applyFont="1" applyFill="1" applyBorder="1" applyAlignment="1">
      <alignment vertical="center"/>
    </xf>
    <xf numFmtId="0" fontId="136" fillId="5" borderId="24" xfId="96" applyFont="1" applyFill="1" applyBorder="1" applyAlignment="1">
      <alignment vertical="center"/>
    </xf>
    <xf numFmtId="0" fontId="136" fillId="0" borderId="0" xfId="96" applyFont="1" applyAlignment="1">
      <alignment vertical="center"/>
    </xf>
    <xf numFmtId="0" fontId="234" fillId="0" borderId="21" xfId="96" applyFont="1" applyBorder="1" applyAlignment="1">
      <alignment vertical="center"/>
    </xf>
    <xf numFmtId="0" fontId="80" fillId="0" borderId="0" xfId="96" applyFont="1" applyAlignment="1">
      <alignment vertical="center"/>
    </xf>
    <xf numFmtId="0" fontId="80" fillId="0" borderId="0" xfId="96" applyFont="1" applyAlignment="1">
      <alignment horizontal="center" vertical="center"/>
    </xf>
    <xf numFmtId="0" fontId="80" fillId="0" borderId="126" xfId="96" applyFont="1" applyBorder="1" applyAlignment="1">
      <alignment horizontal="left" vertical="center"/>
    </xf>
    <xf numFmtId="0" fontId="8" fillId="0" borderId="39" xfId="96" applyBorder="1" applyAlignment="1">
      <alignment horizontal="left" vertical="center"/>
    </xf>
    <xf numFmtId="0" fontId="8" fillId="0" borderId="39" xfId="96" applyBorder="1" applyAlignment="1">
      <alignment horizontal="center" vertical="center"/>
    </xf>
    <xf numFmtId="0" fontId="8" fillId="0" borderId="39" xfId="96" applyBorder="1"/>
    <xf numFmtId="17" fontId="8" fillId="0" borderId="39" xfId="96" applyNumberFormat="1" applyBorder="1" applyAlignment="1">
      <alignment horizontal="center"/>
    </xf>
    <xf numFmtId="172" fontId="0" fillId="0" borderId="39" xfId="2" applyNumberFormat="1" applyFont="1" applyBorder="1"/>
    <xf numFmtId="172" fontId="0" fillId="0" borderId="39" xfId="2" applyNumberFormat="1" applyFont="1" applyBorder="1" applyAlignment="1">
      <alignment horizontal="center"/>
    </xf>
    <xf numFmtId="1" fontId="0" fillId="0" borderId="0" xfId="2" applyNumberFormat="1" applyFont="1" applyBorder="1" applyAlignment="1">
      <alignment horizontal="center"/>
    </xf>
    <xf numFmtId="172" fontId="0" fillId="0" borderId="0" xfId="2" applyNumberFormat="1" applyFont="1" applyBorder="1"/>
    <xf numFmtId="172" fontId="0" fillId="0" borderId="0" xfId="2" applyNumberFormat="1" applyFont="1" applyFill="1" applyBorder="1"/>
    <xf numFmtId="0" fontId="208" fillId="26" borderId="24" xfId="96" applyFont="1" applyFill="1" applyBorder="1" applyAlignment="1">
      <alignment horizontal="right"/>
    </xf>
    <xf numFmtId="172" fontId="208" fillId="26" borderId="127" xfId="96" applyNumberFormat="1" applyFont="1" applyFill="1" applyBorder="1"/>
    <xf numFmtId="1" fontId="80" fillId="0" borderId="128" xfId="2" applyNumberFormat="1" applyFont="1" applyBorder="1" applyAlignment="1">
      <alignment horizontal="center"/>
    </xf>
    <xf numFmtId="172" fontId="80" fillId="2" borderId="15" xfId="2" applyNumberFormat="1" applyFont="1" applyFill="1" applyBorder="1"/>
    <xf numFmtId="172" fontId="80" fillId="0" borderId="0" xfId="2" applyNumberFormat="1" applyFont="1" applyFill="1" applyBorder="1"/>
    <xf numFmtId="0" fontId="179" fillId="0" borderId="0" xfId="96" applyFont="1" applyAlignment="1">
      <alignment horizontal="right"/>
    </xf>
    <xf numFmtId="172" fontId="179" fillId="0" borderId="0" xfId="2" applyNumberFormat="1" applyFont="1" applyFill="1" applyBorder="1"/>
    <xf numFmtId="0" fontId="8" fillId="0" borderId="0" xfId="96" applyAlignment="1">
      <alignment horizontal="right"/>
    </xf>
    <xf numFmtId="172" fontId="8" fillId="2" borderId="41" xfId="96" applyNumberFormat="1" applyFill="1" applyBorder="1"/>
    <xf numFmtId="0" fontId="8" fillId="0" borderId="0" xfId="96" applyAlignment="1">
      <alignment vertical="top" wrapText="1"/>
    </xf>
    <xf numFmtId="170" fontId="8" fillId="0" borderId="0" xfId="96" applyNumberFormat="1"/>
    <xf numFmtId="170" fontId="0" fillId="0" borderId="0" xfId="7" applyNumberFormat="1" applyFont="1"/>
    <xf numFmtId="14" fontId="106" fillId="0" borderId="39" xfId="2" applyNumberFormat="1" applyFont="1" applyBorder="1" applyAlignment="1">
      <alignment horizontal="center"/>
    </xf>
    <xf numFmtId="172" fontId="0" fillId="0" borderId="39" xfId="2" applyNumberFormat="1" applyFont="1" applyFill="1" applyBorder="1" applyAlignment="1">
      <alignment horizontal="center"/>
    </xf>
    <xf numFmtId="1" fontId="0" fillId="0" borderId="0" xfId="2" applyNumberFormat="1" applyFont="1" applyFill="1" applyBorder="1" applyAlignment="1">
      <alignment horizontal="center"/>
    </xf>
    <xf numFmtId="1" fontId="80" fillId="0" borderId="15" xfId="2" applyNumberFormat="1" applyFont="1" applyBorder="1" applyAlignment="1">
      <alignment horizontal="center"/>
    </xf>
    <xf numFmtId="172" fontId="80" fillId="0" borderId="15" xfId="2" applyNumberFormat="1" applyFont="1" applyBorder="1"/>
    <xf numFmtId="172" fontId="80" fillId="0" borderId="15" xfId="2" applyNumberFormat="1" applyFont="1" applyFill="1" applyBorder="1"/>
    <xf numFmtId="0" fontId="166" fillId="0" borderId="0" xfId="96" applyFont="1"/>
    <xf numFmtId="14" fontId="0" fillId="0" borderId="19" xfId="2" applyNumberFormat="1" applyFont="1" applyBorder="1" applyAlignment="1">
      <alignment horizontal="center"/>
    </xf>
    <xf numFmtId="172" fontId="179" fillId="0" borderId="0" xfId="2" applyNumberFormat="1" applyFont="1" applyBorder="1"/>
    <xf numFmtId="172" fontId="8" fillId="0" borderId="41" xfId="96" applyNumberFormat="1" applyBorder="1"/>
    <xf numFmtId="0" fontId="8" fillId="0" borderId="0" xfId="96" applyAlignment="1">
      <alignment horizontal="center"/>
    </xf>
    <xf numFmtId="215" fontId="8" fillId="0" borderId="0" xfId="96" applyNumberFormat="1"/>
    <xf numFmtId="172" fontId="8" fillId="7" borderId="34" xfId="96" applyNumberFormat="1" applyFill="1" applyBorder="1"/>
    <xf numFmtId="215" fontId="0" fillId="0" borderId="0" xfId="7" applyNumberFormat="1" applyFont="1"/>
    <xf numFmtId="172" fontId="8" fillId="7" borderId="36" xfId="96" applyNumberFormat="1" applyFill="1" applyBorder="1"/>
    <xf numFmtId="0" fontId="235" fillId="0" borderId="0" xfId="17" applyFont="1"/>
    <xf numFmtId="0" fontId="68" fillId="0" borderId="0" xfId="17" applyFont="1" applyAlignment="1">
      <alignment wrapText="1"/>
    </xf>
    <xf numFmtId="0" fontId="179" fillId="0" borderId="0" xfId="240" applyFont="1"/>
    <xf numFmtId="0" fontId="68" fillId="0" borderId="0" xfId="17" applyFont="1" applyAlignment="1">
      <alignment vertical="top" wrapText="1"/>
    </xf>
    <xf numFmtId="0" fontId="204" fillId="0" borderId="0" xfId="17" applyFont="1" applyAlignment="1">
      <alignment vertical="top" wrapText="1"/>
    </xf>
    <xf numFmtId="0" fontId="213" fillId="0" borderId="0" xfId="240" applyFont="1"/>
    <xf numFmtId="0" fontId="8" fillId="5" borderId="0" xfId="17" applyFill="1"/>
    <xf numFmtId="0" fontId="68" fillId="0" borderId="19" xfId="17" applyFont="1" applyBorder="1" applyAlignment="1">
      <alignment wrapText="1"/>
    </xf>
    <xf numFmtId="0" fontId="68" fillId="0" borderId="20" xfId="17" applyFont="1" applyBorder="1" applyAlignment="1">
      <alignment vertical="top" wrapText="1"/>
    </xf>
    <xf numFmtId="172" fontId="236" fillId="9" borderId="18" xfId="2" applyNumberFormat="1" applyFont="1" applyFill="1" applyBorder="1"/>
    <xf numFmtId="0" fontId="204" fillId="9" borderId="19" xfId="17" applyFont="1" applyFill="1" applyBorder="1" applyAlignment="1">
      <alignment vertical="top" wrapText="1"/>
    </xf>
    <xf numFmtId="172" fontId="236" fillId="9" borderId="20" xfId="2" applyNumberFormat="1" applyFont="1" applyFill="1" applyBorder="1" applyAlignment="1">
      <alignment vertical="top" wrapText="1"/>
    </xf>
    <xf numFmtId="10" fontId="204" fillId="0" borderId="18" xfId="7" applyNumberFormat="1" applyFont="1" applyBorder="1"/>
    <xf numFmtId="9" fontId="204" fillId="0" borderId="19" xfId="7" applyFont="1" applyFill="1" applyBorder="1" applyAlignment="1">
      <alignment vertical="top" wrapText="1"/>
    </xf>
    <xf numFmtId="0" fontId="68" fillId="0" borderId="20" xfId="17" applyFont="1" applyBorder="1" applyAlignment="1">
      <alignment wrapText="1"/>
    </xf>
    <xf numFmtId="0" fontId="213" fillId="0" borderId="0" xfId="240" applyFont="1" applyAlignment="1">
      <alignment horizontal="center"/>
    </xf>
    <xf numFmtId="0" fontId="179" fillId="0" borderId="10" xfId="240" applyFont="1" applyBorder="1" applyAlignment="1">
      <alignment horizontal="left"/>
    </xf>
    <xf numFmtId="0" fontId="204" fillId="0" borderId="0" xfId="96" applyFont="1"/>
    <xf numFmtId="171" fontId="53" fillId="0" borderId="0" xfId="66" applyNumberFormat="1" applyFont="1"/>
    <xf numFmtId="0" fontId="68" fillId="0" borderId="21" xfId="17" applyFont="1" applyBorder="1" applyAlignment="1">
      <alignment vertical="top" wrapText="1"/>
    </xf>
    <xf numFmtId="9" fontId="53" fillId="0" borderId="0" xfId="7" applyFont="1" applyFill="1" applyBorder="1"/>
    <xf numFmtId="0" fontId="68" fillId="0" borderId="22" xfId="17" applyFont="1" applyBorder="1" applyAlignment="1">
      <alignment vertical="top" wrapText="1"/>
    </xf>
    <xf numFmtId="0" fontId="53" fillId="0" borderId="0" xfId="96" applyFont="1"/>
    <xf numFmtId="0" fontId="53" fillId="9" borderId="23" xfId="96" applyFont="1" applyFill="1" applyBorder="1"/>
    <xf numFmtId="0" fontId="204" fillId="9" borderId="24" xfId="17" applyFont="1" applyFill="1" applyBorder="1" applyAlignment="1">
      <alignment vertical="top" wrapText="1"/>
    </xf>
    <xf numFmtId="172" fontId="236" fillId="9" borderId="25" xfId="2" applyNumberFormat="1" applyFont="1" applyFill="1" applyBorder="1" applyAlignment="1">
      <alignment vertical="top" wrapText="1"/>
    </xf>
    <xf numFmtId="0" fontId="213" fillId="0" borderId="0" xfId="240" applyFont="1" applyAlignment="1">
      <alignment vertical="center"/>
    </xf>
    <xf numFmtId="171" fontId="213" fillId="0" borderId="0" xfId="66" applyNumberFormat="1" applyFont="1"/>
    <xf numFmtId="171" fontId="179" fillId="0" borderId="0" xfId="66" applyNumberFormat="1" applyFont="1" applyAlignment="1">
      <alignment horizontal="center" vertical="center" wrapText="1"/>
    </xf>
    <xf numFmtId="0" fontId="179" fillId="5" borderId="0" xfId="240" applyFont="1" applyFill="1"/>
    <xf numFmtId="171" fontId="179" fillId="7" borderId="0" xfId="66" applyNumberFormat="1" applyFont="1" applyFill="1" applyAlignment="1">
      <alignment horizontal="center" wrapText="1"/>
    </xf>
    <xf numFmtId="172" fontId="179" fillId="0" borderId="0" xfId="240" applyNumberFormat="1" applyFont="1"/>
    <xf numFmtId="0" fontId="126" fillId="0" borderId="0" xfId="17" applyFont="1"/>
    <xf numFmtId="172" fontId="179" fillId="5" borderId="0" xfId="240" applyNumberFormat="1" applyFont="1" applyFill="1"/>
    <xf numFmtId="172" fontId="8" fillId="0" borderId="0" xfId="17" applyNumberFormat="1"/>
    <xf numFmtId="172" fontId="0" fillId="0" borderId="0" xfId="14" applyNumberFormat="1" applyFont="1" applyFill="1" applyBorder="1"/>
    <xf numFmtId="0" fontId="204" fillId="0" borderId="21" xfId="96" applyFont="1" applyBorder="1"/>
    <xf numFmtId="0" fontId="204" fillId="0" borderId="23" xfId="96" applyFont="1" applyBorder="1"/>
    <xf numFmtId="0" fontId="204" fillId="0" borderId="24" xfId="96" applyFont="1" applyBorder="1"/>
    <xf numFmtId="0" fontId="204" fillId="0" borderId="25" xfId="96" applyFont="1" applyBorder="1"/>
    <xf numFmtId="171" fontId="179" fillId="0" borderId="0" xfId="66" applyNumberFormat="1" applyFont="1"/>
    <xf numFmtId="14" fontId="238" fillId="0" borderId="10" xfId="66" applyNumberFormat="1" applyFont="1" applyFill="1" applyBorder="1"/>
    <xf numFmtId="14" fontId="238" fillId="0" borderId="0" xfId="66" applyNumberFormat="1" applyFont="1" applyFill="1" applyBorder="1"/>
    <xf numFmtId="14" fontId="238" fillId="6" borderId="10" xfId="66" applyNumberFormat="1" applyFont="1" applyFill="1" applyBorder="1"/>
    <xf numFmtId="171" fontId="179" fillId="0" borderId="0" xfId="66" applyNumberFormat="1" applyFont="1" applyAlignment="1">
      <alignment horizontal="center" wrapText="1"/>
    </xf>
    <xf numFmtId="171" fontId="179" fillId="7" borderId="0" xfId="66" quotePrefix="1" applyNumberFormat="1" applyFont="1" applyFill="1" applyAlignment="1">
      <alignment horizontal="center" wrapText="1"/>
    </xf>
    <xf numFmtId="172" fontId="179" fillId="0" borderId="0" xfId="14" applyNumberFormat="1" applyFont="1" applyFill="1" applyBorder="1"/>
    <xf numFmtId="172" fontId="179" fillId="5" borderId="0" xfId="14" applyNumberFormat="1" applyFont="1" applyFill="1" applyBorder="1"/>
    <xf numFmtId="5" fontId="68" fillId="0" borderId="0" xfId="17" applyNumberFormat="1" applyFont="1"/>
    <xf numFmtId="0" fontId="204" fillId="0" borderId="0" xfId="96" applyFont="1" applyAlignment="1">
      <alignment horizontal="center" wrapText="1"/>
    </xf>
    <xf numFmtId="14" fontId="204" fillId="0" borderId="0" xfId="96" applyNumberFormat="1" applyFont="1" applyAlignment="1">
      <alignment horizontal="center"/>
    </xf>
    <xf numFmtId="0" fontId="204" fillId="0" borderId="15" xfId="96" applyFont="1" applyBorder="1" applyAlignment="1">
      <alignment horizontal="center"/>
    </xf>
    <xf numFmtId="0" fontId="53" fillId="0" borderId="0" xfId="96" applyFont="1" applyAlignment="1">
      <alignment wrapText="1"/>
    </xf>
    <xf numFmtId="0" fontId="204" fillId="0" borderId="14" xfId="96" applyFont="1" applyBorder="1"/>
    <xf numFmtId="171" fontId="53" fillId="5" borderId="39" xfId="66" applyNumberFormat="1" applyFont="1" applyFill="1" applyBorder="1" applyAlignment="1">
      <alignment horizontal="center" wrapText="1"/>
    </xf>
    <xf numFmtId="171" fontId="53" fillId="0" borderId="39" xfId="66" applyNumberFormat="1" applyFont="1" applyBorder="1" applyAlignment="1">
      <alignment horizontal="center" wrapText="1"/>
    </xf>
    <xf numFmtId="171" fontId="53" fillId="0" borderId="39" xfId="66" applyNumberFormat="1" applyFont="1" applyBorder="1" applyAlignment="1">
      <alignment horizontal="center"/>
    </xf>
    <xf numFmtId="171" fontId="53" fillId="0" borderId="39" xfId="66" applyNumberFormat="1" applyFont="1" applyFill="1" applyBorder="1" applyAlignment="1">
      <alignment horizontal="center" wrapText="1"/>
    </xf>
    <xf numFmtId="171" fontId="53" fillId="0" borderId="39" xfId="66" applyNumberFormat="1" applyFont="1" applyFill="1" applyBorder="1" applyAlignment="1">
      <alignment horizontal="center"/>
    </xf>
    <xf numFmtId="171" fontId="53" fillId="7" borderId="39" xfId="66" applyNumberFormat="1" applyFont="1" applyFill="1" applyBorder="1" applyAlignment="1">
      <alignment horizontal="center" wrapText="1"/>
    </xf>
    <xf numFmtId="0" fontId="53" fillId="0" borderId="0" xfId="96" quotePrefix="1" applyFont="1" applyAlignment="1">
      <alignment wrapText="1"/>
    </xf>
    <xf numFmtId="172" fontId="179" fillId="0" borderId="24" xfId="14" applyNumberFormat="1" applyFont="1" applyBorder="1"/>
    <xf numFmtId="171" fontId="53" fillId="0" borderId="0" xfId="66" applyNumberFormat="1" applyFont="1" applyFill="1"/>
    <xf numFmtId="0" fontId="53" fillId="6" borderId="0" xfId="96" applyFont="1" applyFill="1"/>
    <xf numFmtId="5" fontId="204" fillId="0" borderId="15" xfId="66" applyNumberFormat="1" applyFont="1" applyFill="1" applyBorder="1"/>
    <xf numFmtId="5" fontId="53" fillId="0" borderId="15" xfId="66" applyNumberFormat="1" applyFont="1" applyFill="1" applyBorder="1"/>
    <xf numFmtId="0" fontId="53" fillId="0" borderId="15" xfId="96" applyFont="1" applyBorder="1"/>
    <xf numFmtId="167" fontId="204" fillId="0" borderId="15" xfId="7" applyNumberFormat="1" applyFont="1" applyFill="1" applyBorder="1"/>
    <xf numFmtId="9" fontId="53" fillId="0" borderId="15" xfId="19" applyFont="1" applyBorder="1"/>
    <xf numFmtId="164" fontId="204" fillId="0" borderId="15" xfId="96" applyNumberFormat="1" applyFont="1" applyBorder="1"/>
    <xf numFmtId="164" fontId="53" fillId="0" borderId="15" xfId="96" applyNumberFormat="1" applyFont="1" applyBorder="1"/>
    <xf numFmtId="164" fontId="204" fillId="0" borderId="0" xfId="96" applyNumberFormat="1" applyFont="1"/>
    <xf numFmtId="164" fontId="53" fillId="0" borderId="0" xfId="96" applyNumberFormat="1" applyFont="1"/>
    <xf numFmtId="0" fontId="106" fillId="0" borderId="0" xfId="240" applyFont="1" applyAlignment="1">
      <alignment wrapText="1"/>
    </xf>
    <xf numFmtId="0" fontId="179" fillId="0" borderId="0" xfId="240" applyFont="1" applyAlignment="1">
      <alignment horizontal="center" wrapText="1"/>
    </xf>
    <xf numFmtId="0" fontId="106" fillId="5" borderId="0" xfId="240" applyFont="1" applyFill="1" applyAlignment="1">
      <alignment wrapText="1"/>
    </xf>
    <xf numFmtId="0" fontId="179" fillId="0" borderId="24" xfId="240" applyFont="1" applyBorder="1" applyAlignment="1">
      <alignment horizontal="center" wrapText="1"/>
    </xf>
    <xf numFmtId="0" fontId="179" fillId="5" borderId="0" xfId="240" applyFont="1" applyFill="1" applyAlignment="1">
      <alignment horizontal="center" wrapText="1"/>
    </xf>
    <xf numFmtId="0" fontId="68" fillId="5" borderId="0" xfId="17" applyFont="1" applyFill="1" applyAlignment="1">
      <alignment horizontal="center"/>
    </xf>
    <xf numFmtId="0" fontId="68" fillId="0" borderId="0" xfId="17" applyFont="1" applyAlignment="1">
      <alignment horizontal="center" wrapText="1"/>
    </xf>
    <xf numFmtId="167" fontId="53" fillId="0" borderId="0" xfId="96" applyNumberFormat="1" applyFont="1"/>
    <xf numFmtId="0" fontId="106" fillId="0" borderId="0" xfId="240" applyFont="1" applyAlignment="1">
      <alignment horizontal="right"/>
    </xf>
    <xf numFmtId="0" fontId="106" fillId="0" borderId="0" xfId="240" applyFont="1"/>
    <xf numFmtId="0" fontId="106" fillId="5" borderId="0" xfId="240" applyFont="1" applyFill="1"/>
    <xf numFmtId="172" fontId="182" fillId="0" borderId="129" xfId="14" applyNumberFormat="1" applyFont="1" applyFill="1" applyBorder="1"/>
    <xf numFmtId="164" fontId="235" fillId="0" borderId="12" xfId="17" applyNumberFormat="1" applyFont="1" applyBorder="1"/>
    <xf numFmtId="172" fontId="179" fillId="5" borderId="0" xfId="14" applyNumberFormat="1" applyFont="1" applyFill="1"/>
    <xf numFmtId="172" fontId="68" fillId="0" borderId="16" xfId="17" applyNumberFormat="1" applyFont="1" applyBorder="1"/>
    <xf numFmtId="172" fontId="8" fillId="5" borderId="0" xfId="17" applyNumberFormat="1" applyFill="1"/>
    <xf numFmtId="164" fontId="8" fillId="0" borderId="0" xfId="17" applyNumberFormat="1"/>
    <xf numFmtId="0" fontId="126" fillId="0" borderId="0" xfId="17" applyFont="1" applyAlignment="1">
      <alignment horizontal="right"/>
    </xf>
    <xf numFmtId="0" fontId="225" fillId="0" borderId="0" xfId="240" applyFont="1" applyAlignment="1">
      <alignment horizontal="right"/>
    </xf>
    <xf numFmtId="10" fontId="53" fillId="0" borderId="15" xfId="96" applyNumberFormat="1" applyFont="1" applyBorder="1"/>
    <xf numFmtId="164" fontId="66" fillId="0" borderId="0" xfId="115" applyNumberFormat="1"/>
    <xf numFmtId="178" fontId="106" fillId="0" borderId="0" xfId="240" applyNumberFormat="1" applyFont="1" applyAlignment="1">
      <alignment horizontal="right"/>
    </xf>
    <xf numFmtId="172" fontId="106" fillId="7" borderId="12" xfId="14" applyNumberFormat="1" applyFont="1" applyFill="1" applyBorder="1"/>
    <xf numFmtId="164" fontId="8" fillId="7" borderId="12" xfId="17" applyNumberFormat="1" applyFill="1" applyBorder="1"/>
    <xf numFmtId="172" fontId="106" fillId="5" borderId="0" xfId="14" applyNumberFormat="1" applyFont="1" applyFill="1" applyBorder="1"/>
    <xf numFmtId="172" fontId="68" fillId="7" borderId="17" xfId="17" applyNumberFormat="1" applyFont="1" applyFill="1" applyBorder="1"/>
    <xf numFmtId="0" fontId="66" fillId="0" borderId="0" xfId="115"/>
    <xf numFmtId="0" fontId="68" fillId="0" borderId="18" xfId="17" applyFont="1" applyBorder="1"/>
    <xf numFmtId="0" fontId="68" fillId="0" borderId="19" xfId="17" applyFont="1" applyBorder="1" applyAlignment="1">
      <alignment horizontal="center"/>
    </xf>
    <xf numFmtId="0" fontId="68" fillId="0" borderId="20" xfId="17" applyFont="1" applyBorder="1" applyAlignment="1">
      <alignment horizontal="center"/>
    </xf>
    <xf numFmtId="0" fontId="204" fillId="7" borderId="26" xfId="96" applyFont="1" applyFill="1" applyBorder="1" applyAlignment="1">
      <alignment horizontal="right"/>
    </xf>
    <xf numFmtId="172" fontId="204" fillId="7" borderId="27" xfId="2" applyNumberFormat="1" applyFont="1" applyFill="1" applyBorder="1"/>
    <xf numFmtId="0" fontId="204" fillId="7" borderId="28" xfId="96" applyFont="1" applyFill="1" applyBorder="1"/>
    <xf numFmtId="171" fontId="204" fillId="0" borderId="15" xfId="66" applyNumberFormat="1" applyFont="1" applyFill="1" applyBorder="1"/>
    <xf numFmtId="171" fontId="53" fillId="0" borderId="15" xfId="66" applyNumberFormat="1" applyFont="1" applyFill="1" applyBorder="1"/>
    <xf numFmtId="171" fontId="204" fillId="5" borderId="15" xfId="66" applyNumberFormat="1" applyFont="1" applyFill="1" applyBorder="1"/>
    <xf numFmtId="171" fontId="53" fillId="0" borderId="0" xfId="96" applyNumberFormat="1" applyFont="1"/>
    <xf numFmtId="171" fontId="204" fillId="7" borderId="15" xfId="66" applyNumberFormat="1" applyFont="1" applyFill="1" applyBorder="1"/>
    <xf numFmtId="171" fontId="163" fillId="0" borderId="0" xfId="66" applyNumberFormat="1" applyFont="1" applyAlignment="1">
      <alignment horizontal="center"/>
    </xf>
    <xf numFmtId="171" fontId="163" fillId="0" borderId="0" xfId="66" applyNumberFormat="1" applyFont="1" applyFill="1" applyAlignment="1">
      <alignment horizontal="center"/>
    </xf>
    <xf numFmtId="172" fontId="106" fillId="2" borderId="12" xfId="14" applyNumberFormat="1" applyFont="1" applyFill="1" applyBorder="1"/>
    <xf numFmtId="172" fontId="68" fillId="7" borderId="26" xfId="17" applyNumberFormat="1" applyFont="1" applyFill="1" applyBorder="1"/>
    <xf numFmtId="9" fontId="53" fillId="0" borderId="0" xfId="96" applyNumberFormat="1" applyFont="1"/>
    <xf numFmtId="171" fontId="53" fillId="0" borderId="10" xfId="1" applyNumberFormat="1" applyFont="1" applyBorder="1"/>
    <xf numFmtId="0" fontId="53" fillId="0" borderId="0" xfId="96" applyFont="1" applyAlignment="1">
      <alignment horizontal="right"/>
    </xf>
    <xf numFmtId="171" fontId="53" fillId="0" borderId="0" xfId="1" applyNumberFormat="1" applyFont="1" applyBorder="1"/>
    <xf numFmtId="0" fontId="239" fillId="0" borderId="0" xfId="96" applyFont="1"/>
    <xf numFmtId="0" fontId="240" fillId="5" borderId="0" xfId="96" applyFont="1" applyFill="1"/>
    <xf numFmtId="171" fontId="241" fillId="0" borderId="0" xfId="66" applyNumberFormat="1" applyFont="1" applyAlignment="1">
      <alignment horizontal="center"/>
    </xf>
    <xf numFmtId="171" fontId="53" fillId="7" borderId="17" xfId="1" applyNumberFormat="1" applyFont="1" applyFill="1" applyBorder="1"/>
    <xf numFmtId="171" fontId="53" fillId="5" borderId="17" xfId="1" applyNumberFormat="1" applyFont="1" applyFill="1" applyBorder="1"/>
    <xf numFmtId="172" fontId="240" fillId="5" borderId="0" xfId="2" applyNumberFormat="1" applyFont="1" applyFill="1" applyBorder="1"/>
    <xf numFmtId="0" fontId="53" fillId="0" borderId="0" xfId="96" applyFont="1" applyAlignment="1">
      <alignment vertical="top" wrapText="1"/>
    </xf>
    <xf numFmtId="171" fontId="53" fillId="0" borderId="130" xfId="1" applyNumberFormat="1" applyFont="1" applyFill="1" applyBorder="1" applyAlignment="1">
      <alignment vertical="top" wrapText="1"/>
    </xf>
    <xf numFmtId="0" fontId="204" fillId="0" borderId="131" xfId="96" applyFont="1" applyBorder="1" applyAlignment="1">
      <alignment horizontal="center"/>
    </xf>
    <xf numFmtId="0" fontId="204" fillId="0" borderId="0" xfId="96" applyFont="1" applyAlignment="1">
      <alignment horizontal="center"/>
    </xf>
    <xf numFmtId="0" fontId="204" fillId="0" borderId="24" xfId="96" applyFont="1" applyBorder="1" applyAlignment="1">
      <alignment horizontal="right"/>
    </xf>
    <xf numFmtId="171" fontId="53" fillId="0" borderId="24" xfId="96" applyNumberFormat="1" applyFont="1" applyBorder="1" applyAlignment="1">
      <alignment vertical="top" wrapText="1"/>
    </xf>
    <xf numFmtId="171" fontId="204" fillId="0" borderId="24" xfId="96" applyNumberFormat="1" applyFont="1" applyBorder="1" applyAlignment="1">
      <alignment vertical="top" wrapText="1"/>
    </xf>
    <xf numFmtId="172" fontId="53" fillId="0" borderId="0" xfId="2" applyNumberFormat="1" applyFont="1" applyBorder="1"/>
    <xf numFmtId="172" fontId="53" fillId="0" borderId="6" xfId="96" applyNumberFormat="1" applyFont="1" applyBorder="1"/>
    <xf numFmtId="172" fontId="53" fillId="0" borderId="0" xfId="96" applyNumberFormat="1" applyFont="1"/>
    <xf numFmtId="172" fontId="53" fillId="0" borderId="11" xfId="2" applyNumberFormat="1" applyFont="1" applyBorder="1"/>
    <xf numFmtId="172" fontId="53" fillId="0" borderId="9" xfId="96" applyNumberFormat="1" applyFont="1" applyBorder="1"/>
    <xf numFmtId="172" fontId="106" fillId="0" borderId="0" xfId="14" applyNumberFormat="1" applyFont="1" applyBorder="1"/>
    <xf numFmtId="171" fontId="53" fillId="0" borderId="0" xfId="96" applyNumberFormat="1" applyFont="1" applyAlignment="1">
      <alignment vertical="top" wrapText="1"/>
    </xf>
    <xf numFmtId="172" fontId="204" fillId="0" borderId="0" xfId="96" applyNumberFormat="1" applyFont="1"/>
    <xf numFmtId="44" fontId="53" fillId="0" borderId="0" xfId="96" applyNumberFormat="1" applyFont="1"/>
    <xf numFmtId="0" fontId="53" fillId="0" borderId="6" xfId="96" applyFont="1" applyBorder="1"/>
    <xf numFmtId="171" fontId="53" fillId="0" borderId="10" xfId="96" applyNumberFormat="1" applyFont="1" applyBorder="1" applyAlignment="1">
      <alignment vertical="top" wrapText="1"/>
    </xf>
    <xf numFmtId="171" fontId="53" fillId="0" borderId="10" xfId="96" applyNumberFormat="1" applyFont="1" applyBorder="1"/>
    <xf numFmtId="171" fontId="53" fillId="0" borderId="6" xfId="96" applyNumberFormat="1" applyFont="1" applyBorder="1"/>
    <xf numFmtId="43" fontId="53" fillId="0" borderId="0" xfId="96" applyNumberFormat="1" applyFont="1"/>
    <xf numFmtId="171" fontId="204" fillId="0" borderId="10" xfId="96" applyNumberFormat="1" applyFont="1" applyBorder="1"/>
    <xf numFmtId="171" fontId="242" fillId="0" borderId="0" xfId="66" applyNumberFormat="1" applyFont="1" applyBorder="1"/>
    <xf numFmtId="171" fontId="242" fillId="5" borderId="0" xfId="66" applyNumberFormat="1" applyFont="1" applyFill="1" applyBorder="1"/>
    <xf numFmtId="178" fontId="53" fillId="0" borderId="0" xfId="96" applyNumberFormat="1" applyFont="1"/>
    <xf numFmtId="0" fontId="204" fillId="5" borderId="131" xfId="96" applyFont="1" applyFill="1" applyBorder="1" applyAlignment="1">
      <alignment horizontal="center"/>
    </xf>
    <xf numFmtId="0" fontId="53" fillId="5" borderId="0" xfId="96" applyFont="1" applyFill="1"/>
    <xf numFmtId="0" fontId="204" fillId="5" borderId="0" xfId="96" applyFont="1" applyFill="1" applyAlignment="1">
      <alignment horizontal="right"/>
    </xf>
    <xf numFmtId="0" fontId="106" fillId="5" borderId="0" xfId="240" applyFont="1" applyFill="1" applyAlignment="1">
      <alignment horizontal="center"/>
    </xf>
    <xf numFmtId="0" fontId="106" fillId="0" borderId="0" xfId="240" applyFont="1" applyAlignment="1">
      <alignment horizontal="center"/>
    </xf>
    <xf numFmtId="171" fontId="242" fillId="5" borderId="0" xfId="66" applyNumberFormat="1" applyFont="1" applyFill="1" applyBorder="1" applyAlignment="1">
      <alignment horizontal="center"/>
    </xf>
    <xf numFmtId="171" fontId="242" fillId="0" borderId="0" xfId="66" applyNumberFormat="1" applyFont="1" applyBorder="1" applyAlignment="1">
      <alignment horizontal="center"/>
    </xf>
    <xf numFmtId="171" fontId="125" fillId="0" borderId="0" xfId="66" applyNumberFormat="1" applyFont="1" applyBorder="1" applyAlignment="1">
      <alignment horizontal="center"/>
    </xf>
    <xf numFmtId="0" fontId="204" fillId="0" borderId="18" xfId="96" applyFont="1" applyBorder="1" applyAlignment="1">
      <alignment vertical="top" wrapText="1"/>
    </xf>
    <xf numFmtId="171" fontId="204" fillId="0" borderId="20" xfId="96" applyNumberFormat="1" applyFont="1" applyBorder="1" applyAlignment="1">
      <alignment vertical="top" wrapText="1"/>
    </xf>
    <xf numFmtId="0" fontId="53" fillId="0" borderId="18" xfId="96" applyFont="1" applyBorder="1" applyAlignment="1">
      <alignment vertical="top" wrapText="1"/>
    </xf>
    <xf numFmtId="171" fontId="53" fillId="0" borderId="20" xfId="96" applyNumberFormat="1" applyFont="1" applyBorder="1" applyAlignment="1">
      <alignment vertical="top" wrapText="1"/>
    </xf>
    <xf numFmtId="172" fontId="53" fillId="0" borderId="34" xfId="96" applyNumberFormat="1" applyFont="1" applyBorder="1"/>
    <xf numFmtId="171" fontId="204" fillId="7" borderId="20" xfId="96" applyNumberFormat="1" applyFont="1" applyFill="1" applyBorder="1" applyAlignment="1">
      <alignment vertical="top" wrapText="1"/>
    </xf>
    <xf numFmtId="172" fontId="53" fillId="5" borderId="34" xfId="96" applyNumberFormat="1" applyFont="1" applyFill="1" applyBorder="1"/>
    <xf numFmtId="171" fontId="204" fillId="5" borderId="20" xfId="96" applyNumberFormat="1" applyFont="1" applyFill="1" applyBorder="1" applyAlignment="1">
      <alignment vertical="top" wrapText="1"/>
    </xf>
    <xf numFmtId="9" fontId="106" fillId="0" borderId="0" xfId="240" applyNumberFormat="1" applyFont="1"/>
    <xf numFmtId="172" fontId="106" fillId="5" borderId="0" xfId="240" applyNumberFormat="1" applyFont="1" applyFill="1"/>
    <xf numFmtId="172" fontId="106" fillId="0" borderId="0" xfId="240" applyNumberFormat="1" applyFont="1"/>
    <xf numFmtId="44" fontId="8" fillId="0" borderId="0" xfId="240" applyNumberFormat="1" applyFont="1"/>
    <xf numFmtId="171" fontId="204" fillId="0" borderId="25" xfId="96" applyNumberFormat="1" applyFont="1" applyBorder="1"/>
    <xf numFmtId="0" fontId="53" fillId="0" borderId="23" xfId="96" applyFont="1" applyBorder="1"/>
    <xf numFmtId="171" fontId="53" fillId="0" borderId="25" xfId="96" applyNumberFormat="1" applyFont="1" applyBorder="1"/>
    <xf numFmtId="172" fontId="53" fillId="0" borderId="36" xfId="96" applyNumberFormat="1" applyFont="1" applyBorder="1"/>
    <xf numFmtId="171" fontId="204" fillId="7" borderId="25" xfId="96" applyNumberFormat="1" applyFont="1" applyFill="1" applyBorder="1"/>
    <xf numFmtId="172" fontId="53" fillId="5" borderId="36" xfId="96" applyNumberFormat="1" applyFont="1" applyFill="1" applyBorder="1"/>
    <xf numFmtId="171" fontId="204" fillId="5" borderId="25" xfId="96" applyNumberFormat="1" applyFont="1" applyFill="1" applyBorder="1"/>
    <xf numFmtId="0" fontId="243" fillId="0" borderId="0" xfId="96" applyFont="1"/>
    <xf numFmtId="171" fontId="244" fillId="0" borderId="0" xfId="96" applyNumberFormat="1" applyFont="1"/>
    <xf numFmtId="0" fontId="245" fillId="0" borderId="0" xfId="96" applyFont="1"/>
    <xf numFmtId="0" fontId="246" fillId="0" borderId="0" xfId="96" applyFont="1"/>
    <xf numFmtId="171" fontId="246" fillId="0" borderId="0" xfId="96" applyNumberFormat="1" applyFont="1"/>
    <xf numFmtId="172" fontId="106" fillId="0" borderId="41" xfId="14" applyNumberFormat="1" applyFont="1" applyBorder="1"/>
    <xf numFmtId="172" fontId="8" fillId="0" borderId="41" xfId="14" applyNumberFormat="1" applyFont="1" applyBorder="1"/>
    <xf numFmtId="0" fontId="243" fillId="0" borderId="0" xfId="96" applyFont="1" applyAlignment="1">
      <alignment vertical="top"/>
    </xf>
    <xf numFmtId="171" fontId="244" fillId="0" borderId="0" xfId="96" applyNumberFormat="1" applyFont="1" applyAlignment="1">
      <alignment vertical="top"/>
    </xf>
    <xf numFmtId="0" fontId="246" fillId="0" borderId="0" xfId="96" applyFont="1" applyAlignment="1">
      <alignment vertical="top"/>
    </xf>
    <xf numFmtId="171" fontId="246" fillId="0" borderId="0" xfId="96" applyNumberFormat="1" applyFont="1" applyAlignment="1">
      <alignment vertical="top"/>
    </xf>
    <xf numFmtId="0" fontId="8" fillId="0" borderId="0" xfId="240" applyFont="1"/>
    <xf numFmtId="14" fontId="247" fillId="0" borderId="0" xfId="96" applyNumberFormat="1" applyFont="1" applyAlignment="1">
      <alignment horizontal="center"/>
    </xf>
    <xf numFmtId="172" fontId="106" fillId="0" borderId="0" xfId="240" applyNumberFormat="1" applyFont="1" applyAlignment="1">
      <alignment horizontal="center"/>
    </xf>
    <xf numFmtId="0" fontId="8" fillId="0" borderId="0" xfId="240" applyFont="1" applyAlignment="1">
      <alignment horizontal="center"/>
    </xf>
    <xf numFmtId="0" fontId="53" fillId="0" borderId="18" xfId="96" applyFont="1" applyBorder="1"/>
    <xf numFmtId="0" fontId="53" fillId="0" borderId="19" xfId="96" applyFont="1" applyBorder="1"/>
    <xf numFmtId="0" fontId="53" fillId="0" borderId="20" xfId="96" applyFont="1" applyBorder="1"/>
    <xf numFmtId="5" fontId="53" fillId="0" borderId="0" xfId="96" applyNumberFormat="1" applyFont="1"/>
    <xf numFmtId="0" fontId="53" fillId="0" borderId="21" xfId="96" applyFont="1" applyBorder="1"/>
    <xf numFmtId="190" fontId="53" fillId="0" borderId="22" xfId="2" applyNumberFormat="1" applyFont="1" applyBorder="1"/>
    <xf numFmtId="0" fontId="53" fillId="0" borderId="24" xfId="96" applyFont="1" applyBorder="1"/>
    <xf numFmtId="190" fontId="53" fillId="0" borderId="25" xfId="2" applyNumberFormat="1" applyFont="1" applyBorder="1"/>
    <xf numFmtId="0" fontId="101" fillId="0" borderId="0" xfId="17" applyFont="1" applyAlignment="1">
      <alignment horizontal="center"/>
    </xf>
    <xf numFmtId="0" fontId="204" fillId="0" borderId="10" xfId="96" applyFont="1" applyBorder="1"/>
    <xf numFmtId="5" fontId="53" fillId="7" borderId="17" xfId="96" applyNumberFormat="1" applyFont="1" applyFill="1" applyBorder="1"/>
    <xf numFmtId="0" fontId="204" fillId="0" borderId="0" xfId="96" applyFont="1" applyAlignment="1">
      <alignment horizontal="right"/>
    </xf>
    <xf numFmtId="172" fontId="53" fillId="0" borderId="0" xfId="2" applyNumberFormat="1" applyFont="1"/>
    <xf numFmtId="171" fontId="101" fillId="0" borderId="0" xfId="1" applyNumberFormat="1" applyFont="1" applyFill="1" applyBorder="1" applyAlignment="1">
      <alignment horizontal="center"/>
    </xf>
    <xf numFmtId="5" fontId="53" fillId="0" borderId="10" xfId="96" applyNumberFormat="1" applyFont="1" applyBorder="1"/>
    <xf numFmtId="171" fontId="53" fillId="7" borderId="17" xfId="96" applyNumberFormat="1" applyFont="1" applyFill="1" applyBorder="1"/>
    <xf numFmtId="0" fontId="53" fillId="0" borderId="10" xfId="96" applyFont="1" applyBorder="1" applyAlignment="1">
      <alignment horizontal="center"/>
    </xf>
    <xf numFmtId="171" fontId="53" fillId="0" borderId="0" xfId="96" applyNumberFormat="1" applyFont="1" applyAlignment="1">
      <alignment horizontal="center"/>
    </xf>
    <xf numFmtId="172" fontId="53" fillId="0" borderId="0" xfId="14" applyNumberFormat="1" applyFont="1" applyBorder="1"/>
    <xf numFmtId="172" fontId="53" fillId="0" borderId="10" xfId="14" applyNumberFormat="1" applyFont="1" applyBorder="1"/>
    <xf numFmtId="0" fontId="179" fillId="0" borderId="0" xfId="241" applyFont="1" applyAlignment="1">
      <alignment wrapText="1"/>
    </xf>
    <xf numFmtId="0" fontId="64" fillId="0" borderId="0" xfId="241"/>
    <xf numFmtId="0" fontId="80" fillId="0" borderId="0" xfId="241" applyFont="1"/>
    <xf numFmtId="172" fontId="0" fillId="0" borderId="0" xfId="153" applyNumberFormat="1" applyFont="1"/>
    <xf numFmtId="0" fontId="179" fillId="0" borderId="0" xfId="241" applyFont="1" applyAlignment="1">
      <alignment horizontal="center" wrapText="1"/>
    </xf>
    <xf numFmtId="0" fontId="179" fillId="0" borderId="0" xfId="241" applyFont="1" applyAlignment="1">
      <alignment horizontal="right" wrapText="1"/>
    </xf>
    <xf numFmtId="0" fontId="80" fillId="0" borderId="0" xfId="228" applyFont="1" applyAlignment="1">
      <alignment horizontal="center"/>
    </xf>
    <xf numFmtId="0" fontId="80" fillId="0" borderId="0" xfId="228" applyFont="1" applyAlignment="1">
      <alignment horizontal="right"/>
    </xf>
    <xf numFmtId="171" fontId="230" fillId="0" borderId="0" xfId="234" applyNumberFormat="1" applyFont="1" applyAlignment="1">
      <alignment horizontal="right"/>
    </xf>
    <xf numFmtId="172" fontId="1" fillId="13" borderId="0" xfId="14" applyNumberFormat="1" applyFont="1" applyFill="1"/>
    <xf numFmtId="172" fontId="1" fillId="0" borderId="0" xfId="14" applyNumberFormat="1" applyFont="1" applyFill="1"/>
    <xf numFmtId="172" fontId="1" fillId="0" borderId="0" xfId="14" applyNumberFormat="1" applyFont="1" applyFill="1" applyBorder="1"/>
    <xf numFmtId="171" fontId="1" fillId="0" borderId="10" xfId="234" applyNumberFormat="1" applyFont="1" applyBorder="1"/>
    <xf numFmtId="43" fontId="1" fillId="0" borderId="10" xfId="234" applyFont="1" applyFill="1" applyBorder="1"/>
    <xf numFmtId="171" fontId="1" fillId="0" borderId="10" xfId="234" applyNumberFormat="1" applyFont="1" applyFill="1" applyBorder="1"/>
    <xf numFmtId="43" fontId="1" fillId="0" borderId="0" xfId="234" applyFont="1" applyFill="1" applyBorder="1"/>
    <xf numFmtId="171" fontId="1" fillId="0" borderId="0" xfId="234" applyNumberFormat="1" applyFont="1"/>
    <xf numFmtId="172" fontId="179" fillId="0" borderId="0" xfId="14" applyNumberFormat="1" applyFont="1" applyFill="1"/>
    <xf numFmtId="172" fontId="179" fillId="0" borderId="0" xfId="14" applyNumberFormat="1" applyFont="1" applyFill="1" applyBorder="1" applyAlignment="1">
      <alignment horizontal="right"/>
    </xf>
    <xf numFmtId="172" fontId="179" fillId="13" borderId="0" xfId="14" applyNumberFormat="1" applyFont="1" applyFill="1"/>
    <xf numFmtId="172" fontId="0" fillId="0" borderId="3" xfId="153" applyNumberFormat="1" applyFont="1" applyBorder="1"/>
    <xf numFmtId="43" fontId="1" fillId="0" borderId="0" xfId="228" applyNumberFormat="1"/>
    <xf numFmtId="43" fontId="1" fillId="0" borderId="0" xfId="228" applyNumberFormat="1" applyAlignment="1">
      <alignment horizontal="right"/>
    </xf>
    <xf numFmtId="43" fontId="106" fillId="0" borderId="0" xfId="240" applyNumberFormat="1" applyFont="1"/>
    <xf numFmtId="43" fontId="106" fillId="0" borderId="0" xfId="240" applyNumberFormat="1" applyFont="1" applyAlignment="1">
      <alignment horizontal="right"/>
    </xf>
    <xf numFmtId="0" fontId="248" fillId="0" borderId="0" xfId="241" applyFont="1" applyAlignment="1">
      <alignment horizontal="right"/>
    </xf>
    <xf numFmtId="172" fontId="80" fillId="0" borderId="3" xfId="153" applyNumberFormat="1" applyFont="1" applyBorder="1"/>
    <xf numFmtId="0" fontId="226" fillId="0" borderId="0" xfId="240" applyFont="1" applyAlignment="1">
      <alignment horizontal="left"/>
    </xf>
    <xf numFmtId="172" fontId="0" fillId="0" borderId="0" xfId="153" applyNumberFormat="1" applyFont="1" applyBorder="1"/>
    <xf numFmtId="178" fontId="249" fillId="0" borderId="0" xfId="240" applyNumberFormat="1" applyFont="1" applyAlignment="1">
      <alignment horizontal="center"/>
    </xf>
    <xf numFmtId="0" fontId="248" fillId="5" borderId="0" xfId="241" applyFont="1" applyFill="1" applyAlignment="1">
      <alignment horizontal="right"/>
    </xf>
    <xf numFmtId="0" fontId="248" fillId="5" borderId="0" xfId="241" applyFont="1" applyFill="1"/>
    <xf numFmtId="172" fontId="0" fillId="0" borderId="39" xfId="153" applyNumberFormat="1" applyFont="1" applyBorder="1"/>
    <xf numFmtId="172" fontId="80" fillId="24" borderId="17" xfId="241" applyNumberFormat="1" applyFont="1" applyFill="1" applyBorder="1"/>
    <xf numFmtId="0" fontId="64" fillId="0" borderId="0" xfId="241" applyAlignment="1">
      <alignment horizontal="right"/>
    </xf>
    <xf numFmtId="172" fontId="106" fillId="0" borderId="10" xfId="57" applyNumberFormat="1" applyFont="1" applyFill="1" applyBorder="1"/>
    <xf numFmtId="43" fontId="106" fillId="0" borderId="0" xfId="57" applyNumberFormat="1" applyFont="1" applyFill="1" applyBorder="1" applyAlignment="1">
      <alignment horizontal="right"/>
    </xf>
    <xf numFmtId="43" fontId="106" fillId="0" borderId="0" xfId="57" applyNumberFormat="1" applyFont="1" applyFill="1" applyBorder="1"/>
    <xf numFmtId="172" fontId="106" fillId="7" borderId="12" xfId="57" applyNumberFormat="1" applyFont="1" applyFill="1" applyBorder="1"/>
    <xf numFmtId="178" fontId="106" fillId="0" borderId="0" xfId="240" applyNumberFormat="1" applyFont="1" applyAlignment="1">
      <alignment horizontal="center"/>
    </xf>
    <xf numFmtId="172" fontId="80" fillId="0" borderId="0" xfId="153" applyNumberFormat="1" applyFont="1"/>
    <xf numFmtId="172" fontId="106" fillId="0" borderId="12" xfId="57" applyNumberFormat="1" applyFont="1" applyFill="1" applyBorder="1"/>
    <xf numFmtId="178" fontId="106" fillId="0" borderId="0" xfId="57" applyNumberFormat="1" applyFont="1" applyFill="1" applyBorder="1" applyAlignment="1">
      <alignment horizontal="center"/>
    </xf>
    <xf numFmtId="172" fontId="106" fillId="0" borderId="0" xfId="57" applyNumberFormat="1" applyFont="1" applyFill="1" applyBorder="1"/>
    <xf numFmtId="178" fontId="106" fillId="0" borderId="0" xfId="57" applyNumberFormat="1" applyFont="1" applyFill="1" applyBorder="1" applyAlignment="1">
      <alignment horizontal="right"/>
    </xf>
    <xf numFmtId="172" fontId="141" fillId="0" borderId="3" xfId="153" applyNumberFormat="1" applyFont="1" applyBorder="1"/>
    <xf numFmtId="172" fontId="1" fillId="0" borderId="0" xfId="228" applyNumberFormat="1"/>
    <xf numFmtId="172" fontId="1" fillId="0" borderId="0" xfId="228" applyNumberFormat="1" applyAlignment="1">
      <alignment horizontal="right"/>
    </xf>
    <xf numFmtId="172" fontId="80" fillId="0" borderId="0" xfId="153" applyNumberFormat="1" applyFont="1" applyBorder="1"/>
    <xf numFmtId="172" fontId="64" fillId="0" borderId="0" xfId="241" applyNumberFormat="1"/>
    <xf numFmtId="0" fontId="80" fillId="5" borderId="0" xfId="241" applyFont="1" applyFill="1"/>
    <xf numFmtId="172" fontId="64" fillId="0" borderId="39" xfId="241" applyNumberFormat="1" applyBorder="1"/>
    <xf numFmtId="0" fontId="37" fillId="0" borderId="0" xfId="0" applyFont="1"/>
    <xf numFmtId="0" fontId="250" fillId="0" borderId="0" xfId="0" applyFont="1"/>
    <xf numFmtId="0" fontId="249" fillId="0" borderId="0" xfId="0" applyFont="1"/>
    <xf numFmtId="167" fontId="175" fillId="0" borderId="0" xfId="231" applyNumberFormat="1" applyFont="1" applyAlignment="1">
      <alignment horizontal="left"/>
    </xf>
    <xf numFmtId="0" fontId="175" fillId="0" borderId="0" xfId="0" applyFont="1" applyAlignment="1">
      <alignment horizontal="right"/>
    </xf>
    <xf numFmtId="172" fontId="250" fillId="0" borderId="0" xfId="0" applyNumberFormat="1" applyFont="1"/>
    <xf numFmtId="172" fontId="250" fillId="0" borderId="10" xfId="2" applyNumberFormat="1" applyFont="1" applyBorder="1" applyProtection="1">
      <protection locked="0"/>
    </xf>
    <xf numFmtId="166" fontId="28" fillId="0" borderId="0" xfId="0" quotePrefix="1" applyNumberFormat="1" applyFont="1" applyAlignment="1" applyProtection="1">
      <alignment horizontal="right"/>
      <protection locked="0"/>
    </xf>
    <xf numFmtId="0" fontId="251" fillId="0" borderId="0" xfId="0" applyFont="1"/>
    <xf numFmtId="166" fontId="250" fillId="0" borderId="0" xfId="0" applyNumberFormat="1" applyFont="1" applyProtection="1">
      <protection locked="0"/>
    </xf>
    <xf numFmtId="166" fontId="28" fillId="0" borderId="0" xfId="0" applyNumberFormat="1" applyFont="1" applyProtection="1">
      <protection locked="0"/>
    </xf>
    <xf numFmtId="172" fontId="250" fillId="0" borderId="0" xfId="2" applyNumberFormat="1" applyFont="1" applyProtection="1">
      <protection locked="0"/>
    </xf>
    <xf numFmtId="0" fontId="252" fillId="0" borderId="0" xfId="0" applyFont="1"/>
    <xf numFmtId="166" fontId="250" fillId="0" borderId="0" xfId="0" applyNumberFormat="1" applyFont="1"/>
    <xf numFmtId="166" fontId="37" fillId="0" borderId="0" xfId="0" applyNumberFormat="1" applyFont="1"/>
    <xf numFmtId="166" fontId="253" fillId="2" borderId="41" xfId="0" applyNumberFormat="1" applyFont="1" applyFill="1" applyBorder="1"/>
    <xf numFmtId="166" fontId="29" fillId="0" borderId="0" xfId="0" applyNumberFormat="1" applyFont="1"/>
    <xf numFmtId="166" fontId="254" fillId="0" borderId="0" xfId="29" applyNumberFormat="1" applyFont="1"/>
    <xf numFmtId="166" fontId="29" fillId="0" borderId="0" xfId="29" applyNumberFormat="1" applyFont="1"/>
    <xf numFmtId="0" fontId="29" fillId="0" borderId="0" xfId="29" applyFont="1"/>
    <xf numFmtId="0" fontId="37" fillId="0" borderId="0" xfId="0" applyFont="1" applyAlignment="1">
      <alignment horizontal="center"/>
    </xf>
    <xf numFmtId="166" fontId="255" fillId="0" borderId="0" xfId="29" applyNumberFormat="1" applyFont="1" applyProtection="1">
      <protection locked="0"/>
    </xf>
    <xf numFmtId="166" fontId="256" fillId="0" borderId="0" xfId="29" applyNumberFormat="1" applyFont="1" applyProtection="1">
      <protection locked="0"/>
    </xf>
    <xf numFmtId="166" fontId="28" fillId="0" borderId="0" xfId="29" applyNumberFormat="1" applyFont="1" applyProtection="1">
      <protection locked="0"/>
    </xf>
    <xf numFmtId="0" fontId="28" fillId="0" borderId="0" xfId="29" applyFont="1"/>
    <xf numFmtId="166" fontId="257" fillId="0" borderId="3" xfId="29" applyNumberFormat="1" applyFont="1" applyBorder="1"/>
    <xf numFmtId="166" fontId="254" fillId="0" borderId="3" xfId="29" applyNumberFormat="1" applyFont="1" applyBorder="1"/>
    <xf numFmtId="166" fontId="29" fillId="0" borderId="3" xfId="29" applyNumberFormat="1" applyFont="1" applyBorder="1"/>
    <xf numFmtId="0" fontId="28" fillId="0" borderId="0" xfId="29" applyFont="1" applyProtection="1">
      <protection locked="0"/>
    </xf>
    <xf numFmtId="166" fontId="257" fillId="0" borderId="0" xfId="29" applyNumberFormat="1" applyFont="1"/>
    <xf numFmtId="164" fontId="37" fillId="0" borderId="0" xfId="0" applyNumberFormat="1" applyFont="1"/>
    <xf numFmtId="166" fontId="255" fillId="0" borderId="0" xfId="29" applyNumberFormat="1" applyFont="1"/>
    <xf numFmtId="166" fontId="256" fillId="0" borderId="0" xfId="29" applyNumberFormat="1" applyFont="1"/>
    <xf numFmtId="166" fontId="28" fillId="0" borderId="0" xfId="29" applyNumberFormat="1" applyFont="1"/>
    <xf numFmtId="164" fontId="175" fillId="0" borderId="0" xfId="0" applyNumberFormat="1" applyFont="1"/>
    <xf numFmtId="0" fontId="51" fillId="0" borderId="0" xfId="29" applyFont="1"/>
    <xf numFmtId="0" fontId="255" fillId="0" borderId="0" xfId="29" applyFont="1" applyProtection="1">
      <protection locked="0"/>
    </xf>
    <xf numFmtId="0" fontId="256" fillId="0" borderId="0" xfId="29" applyFont="1" applyProtection="1">
      <protection locked="0"/>
    </xf>
    <xf numFmtId="164" fontId="37" fillId="0" borderId="3" xfId="0" applyNumberFormat="1" applyFont="1" applyBorder="1"/>
    <xf numFmtId="178" fontId="37" fillId="0" borderId="0" xfId="0" applyNumberFormat="1" applyFont="1"/>
    <xf numFmtId="0" fontId="37" fillId="0" borderId="0" xfId="0" applyFont="1" applyAlignment="1">
      <alignment horizontal="left"/>
    </xf>
    <xf numFmtId="1" fontId="37" fillId="0" borderId="0" xfId="0" applyNumberFormat="1" applyFont="1"/>
    <xf numFmtId="1" fontId="0" fillId="0" borderId="39" xfId="0" applyNumberFormat="1" applyBorder="1" applyAlignment="1" applyProtection="1">
      <alignment horizontal="left"/>
      <protection locked="0"/>
    </xf>
    <xf numFmtId="166" fontId="257" fillId="0" borderId="3" xfId="29" applyNumberFormat="1" applyFont="1" applyBorder="1" applyProtection="1">
      <protection locked="0"/>
    </xf>
    <xf numFmtId="166" fontId="254" fillId="0" borderId="3" xfId="29" applyNumberFormat="1" applyFont="1" applyBorder="1" applyProtection="1">
      <protection locked="0"/>
    </xf>
    <xf numFmtId="166" fontId="29" fillId="0" borderId="3" xfId="29" applyNumberFormat="1" applyFont="1" applyBorder="1" applyProtection="1">
      <protection locked="0"/>
    </xf>
    <xf numFmtId="0" fontId="258" fillId="0" borderId="0" xfId="0" applyFont="1"/>
    <xf numFmtId="10" fontId="37" fillId="0" borderId="0" xfId="0" applyNumberFormat="1" applyFont="1"/>
    <xf numFmtId="10" fontId="250" fillId="0" borderId="0" xfId="231" applyNumberFormat="1" applyFont="1"/>
    <xf numFmtId="0" fontId="37" fillId="0" borderId="36" xfId="0" applyFont="1" applyBorder="1" applyAlignment="1">
      <alignment horizontal="center"/>
    </xf>
    <xf numFmtId="0" fontId="37" fillId="0" borderId="25" xfId="0" applyFont="1" applyBorder="1" applyAlignment="1">
      <alignment horizontal="center"/>
    </xf>
    <xf numFmtId="0" fontId="37" fillId="0" borderId="24" xfId="0" applyFont="1" applyBorder="1" applyAlignment="1">
      <alignment horizontal="center"/>
    </xf>
    <xf numFmtId="0" fontId="37" fillId="0" borderId="23" xfId="0" applyFont="1" applyBorder="1" applyAlignment="1">
      <alignment horizontal="center"/>
    </xf>
    <xf numFmtId="0" fontId="250" fillId="0" borderId="0" xfId="0" applyFont="1" applyAlignment="1">
      <alignment horizontal="center"/>
    </xf>
    <xf numFmtId="0" fontId="37" fillId="0" borderId="34" xfId="0" applyFont="1" applyBorder="1" applyAlignment="1">
      <alignment horizontal="center"/>
    </xf>
    <xf numFmtId="0" fontId="253" fillId="0" borderId="0" xfId="0" applyFont="1" applyAlignment="1">
      <alignment horizontal="center"/>
    </xf>
    <xf numFmtId="10" fontId="250" fillId="0" borderId="0" xfId="0" applyNumberFormat="1" applyFont="1"/>
    <xf numFmtId="10" fontId="250" fillId="7" borderId="17" xfId="0" applyNumberFormat="1" applyFont="1" applyFill="1" applyBorder="1"/>
    <xf numFmtId="10" fontId="37" fillId="0" borderId="0" xfId="231" applyNumberFormat="1" applyFont="1"/>
    <xf numFmtId="10" fontId="259" fillId="0" borderId="0" xfId="231" applyNumberFormat="1" applyFont="1"/>
    <xf numFmtId="172" fontId="37" fillId="0" borderId="0" xfId="2" applyNumberFormat="1" applyFont="1" applyFill="1"/>
    <xf numFmtId="172" fontId="37" fillId="0" borderId="0" xfId="2" applyNumberFormat="1" applyFont="1"/>
    <xf numFmtId="0" fontId="260" fillId="0" borderId="10" xfId="0" applyFont="1" applyBorder="1" applyAlignment="1">
      <alignment horizontal="center"/>
    </xf>
    <xf numFmtId="0" fontId="37" fillId="0" borderId="10" xfId="0" applyFont="1" applyBorder="1" applyAlignment="1">
      <alignment horizontal="center"/>
    </xf>
    <xf numFmtId="10" fontId="260" fillId="0" borderId="12" xfId="231" applyNumberFormat="1" applyFont="1" applyBorder="1"/>
    <xf numFmtId="5" fontId="261" fillId="0" borderId="41" xfId="233" applyNumberFormat="1" applyFont="1" applyBorder="1" applyAlignment="1">
      <alignment horizontal="right"/>
    </xf>
    <xf numFmtId="172" fontId="261" fillId="0" borderId="41" xfId="233" applyNumberFormat="1" applyFont="1" applyBorder="1" applyAlignment="1">
      <alignment horizontal="right"/>
    </xf>
    <xf numFmtId="172" fontId="261" fillId="0" borderId="0" xfId="233" applyNumberFormat="1" applyFont="1" applyBorder="1" applyAlignment="1">
      <alignment horizontal="right"/>
    </xf>
    <xf numFmtId="0" fontId="0" fillId="0" borderId="3" xfId="0" applyBorder="1"/>
    <xf numFmtId="172" fontId="0" fillId="0" borderId="0" xfId="2" applyNumberFormat="1" applyFont="1"/>
    <xf numFmtId="172" fontId="0" fillId="0" borderId="0" xfId="2" applyNumberFormat="1" applyFont="1" applyFill="1"/>
    <xf numFmtId="0" fontId="80" fillId="0" borderId="10" xfId="0" applyFont="1" applyBorder="1" applyAlignment="1">
      <alignment horizontal="center" wrapText="1"/>
    </xf>
    <xf numFmtId="0" fontId="80" fillId="0" borderId="10" xfId="0" applyFont="1" applyBorder="1" applyAlignment="1">
      <alignment horizontal="left" wrapText="1"/>
    </xf>
    <xf numFmtId="0" fontId="262" fillId="0" borderId="0" xfId="0" applyFont="1"/>
    <xf numFmtId="44" fontId="0" fillId="0" borderId="0" xfId="0" applyNumberFormat="1" applyAlignment="1">
      <alignment wrapText="1"/>
    </xf>
    <xf numFmtId="0" fontId="103" fillId="0" borderId="0" xfId="0" applyFont="1"/>
    <xf numFmtId="44" fontId="103" fillId="0" borderId="0" xfId="0" applyNumberFormat="1" applyFont="1" applyAlignment="1">
      <alignment wrapText="1"/>
    </xf>
    <xf numFmtId="0" fontId="103" fillId="0" borderId="0" xfId="0" applyFont="1" applyAlignment="1">
      <alignment horizontal="right"/>
    </xf>
    <xf numFmtId="217" fontId="106" fillId="0" borderId="0" xfId="0" applyNumberFormat="1" applyFont="1"/>
    <xf numFmtId="14" fontId="106" fillId="0" borderId="0" xfId="0" applyNumberFormat="1" applyFont="1"/>
    <xf numFmtId="44" fontId="80" fillId="0" borderId="24" xfId="2" applyFont="1" applyBorder="1" applyAlignment="1">
      <alignment wrapText="1"/>
    </xf>
    <xf numFmtId="9" fontId="0" fillId="0" borderId="0" xfId="0" applyNumberFormat="1" applyAlignment="1">
      <alignment wrapText="1"/>
    </xf>
    <xf numFmtId="43" fontId="261" fillId="0" borderId="41" xfId="233" applyFont="1" applyBorder="1" applyAlignment="1">
      <alignment horizontal="right"/>
    </xf>
    <xf numFmtId="43" fontId="263" fillId="0" borderId="0" xfId="233" applyFont="1" applyAlignment="1">
      <alignment horizontal="right"/>
    </xf>
    <xf numFmtId="43" fontId="0" fillId="0" borderId="0" xfId="233" applyFont="1" applyFill="1" applyAlignment="1"/>
    <xf numFmtId="43" fontId="0" fillId="0" borderId="0" xfId="233" applyFont="1" applyAlignment="1"/>
    <xf numFmtId="43" fontId="263" fillId="0" borderId="0" xfId="233" applyFont="1" applyAlignment="1"/>
    <xf numFmtId="43" fontId="263" fillId="0" borderId="16" xfId="233" applyFont="1" applyBorder="1" applyAlignment="1"/>
    <xf numFmtId="43" fontId="138" fillId="0" borderId="0" xfId="233" applyFont="1" applyFill="1" applyAlignment="1"/>
    <xf numFmtId="217" fontId="138" fillId="0" borderId="0" xfId="0" applyNumberFormat="1" applyFont="1"/>
    <xf numFmtId="43" fontId="263" fillId="0" borderId="0" xfId="233" applyFont="1" applyFill="1" applyAlignment="1"/>
    <xf numFmtId="43" fontId="262" fillId="0" borderId="0" xfId="233" applyFont="1" applyAlignment="1"/>
    <xf numFmtId="14" fontId="261" fillId="27" borderId="17" xfId="0" applyNumberFormat="1" applyFont="1" applyFill="1" applyBorder="1" applyAlignment="1">
      <alignment horizontal="center"/>
    </xf>
    <xf numFmtId="43" fontId="137" fillId="0" borderId="28" xfId="233" applyFont="1" applyFill="1" applyBorder="1" applyAlignment="1">
      <alignment horizontal="center" vertical="top" wrapText="1"/>
    </xf>
    <xf numFmtId="43" fontId="263" fillId="28" borderId="27" xfId="233" applyFont="1" applyFill="1" applyBorder="1" applyAlignment="1">
      <alignment horizontal="center" vertical="top" wrapText="1"/>
    </xf>
    <xf numFmtId="43" fontId="263" fillId="0" borderId="27" xfId="233" applyFont="1" applyFill="1" applyBorder="1" applyAlignment="1">
      <alignment horizontal="center" vertical="top" wrapText="1"/>
    </xf>
    <xf numFmtId="43" fontId="263" fillId="29" borderId="27" xfId="233" applyFont="1" applyFill="1" applyBorder="1" applyAlignment="1">
      <alignment horizontal="center" vertical="top" wrapText="1"/>
    </xf>
    <xf numFmtId="43" fontId="263" fillId="0" borderId="27" xfId="233" applyFont="1" applyBorder="1" applyAlignment="1">
      <alignment horizontal="center" vertical="top" wrapText="1"/>
    </xf>
    <xf numFmtId="43" fontId="138" fillId="0" borderId="27" xfId="233" applyFont="1" applyFill="1" applyBorder="1" applyAlignment="1">
      <alignment horizontal="center" vertical="top" wrapText="1"/>
    </xf>
    <xf numFmtId="0" fontId="263" fillId="0" borderId="26" xfId="0" applyFont="1" applyBorder="1" applyAlignment="1">
      <alignment horizontal="center" vertical="top" wrapText="1"/>
    </xf>
    <xf numFmtId="43" fontId="137" fillId="0" borderId="25" xfId="233" applyFont="1" applyFill="1" applyBorder="1" applyAlignment="1">
      <alignment horizontal="center" vertical="top" wrapText="1"/>
    </xf>
    <xf numFmtId="43" fontId="263" fillId="0" borderId="24" xfId="233" applyFont="1" applyFill="1" applyBorder="1" applyAlignment="1">
      <alignment horizontal="center" vertical="top" wrapText="1"/>
    </xf>
    <xf numFmtId="43" fontId="263" fillId="0" borderId="24" xfId="233" applyFont="1" applyBorder="1" applyAlignment="1">
      <alignment horizontal="center" vertical="top" wrapText="1"/>
    </xf>
    <xf numFmtId="43" fontId="138" fillId="0" borderId="24" xfId="233" applyFont="1" applyBorder="1" applyAlignment="1">
      <alignment horizontal="center" vertical="top" wrapText="1"/>
    </xf>
    <xf numFmtId="0" fontId="263" fillId="0" borderId="23" xfId="0" applyFont="1" applyBorder="1" applyAlignment="1">
      <alignment horizontal="center" vertical="top" wrapText="1"/>
    </xf>
    <xf numFmtId="43" fontId="263" fillId="0" borderId="22" xfId="233" applyFont="1" applyFill="1" applyBorder="1" applyAlignment="1"/>
    <xf numFmtId="43" fontId="263" fillId="0" borderId="0" xfId="233" applyFont="1" applyBorder="1" applyAlignment="1"/>
    <xf numFmtId="1" fontId="263" fillId="0" borderId="0" xfId="233" applyNumberFormat="1" applyFont="1" applyBorder="1" applyAlignment="1">
      <alignment horizontal="center"/>
    </xf>
    <xf numFmtId="10" fontId="264" fillId="0" borderId="28" xfId="233" applyNumberFormat="1" applyFont="1" applyBorder="1" applyAlignment="1">
      <alignment horizontal="center"/>
    </xf>
    <xf numFmtId="1" fontId="263" fillId="0" borderId="27" xfId="233" applyNumberFormat="1" applyFont="1" applyBorder="1" applyAlignment="1">
      <alignment horizontal="center"/>
    </xf>
    <xf numFmtId="10" fontId="264" fillId="0" borderId="26" xfId="233" applyNumberFormat="1" applyFont="1" applyBorder="1" applyAlignment="1">
      <alignment horizontal="center"/>
    </xf>
    <xf numFmtId="0" fontId="264" fillId="0" borderId="21" xfId="0" applyFont="1" applyBorder="1" applyAlignment="1">
      <alignment horizontal="center"/>
    </xf>
    <xf numFmtId="218" fontId="263" fillId="0" borderId="0" xfId="233" applyNumberFormat="1" applyFont="1" applyBorder="1" applyAlignment="1"/>
    <xf numFmtId="180" fontId="138" fillId="0" borderId="0" xfId="2" applyNumberFormat="1" applyFont="1" applyBorder="1" applyAlignment="1">
      <alignment horizontal="center"/>
    </xf>
    <xf numFmtId="172" fontId="138" fillId="0" borderId="28" xfId="2" applyNumberFormat="1" applyFont="1" applyBorder="1" applyAlignment="1">
      <alignment horizontal="center"/>
    </xf>
    <xf numFmtId="43" fontId="138" fillId="0" borderId="27" xfId="233" applyFont="1" applyBorder="1" applyAlignment="1">
      <alignment horizontal="left"/>
    </xf>
    <xf numFmtId="1" fontId="138" fillId="0" borderId="26" xfId="233" applyNumberFormat="1" applyFont="1" applyBorder="1" applyAlignment="1">
      <alignment horizontal="center"/>
    </xf>
    <xf numFmtId="10" fontId="264" fillId="0" borderId="0" xfId="233" applyNumberFormat="1" applyFont="1" applyBorder="1" applyAlignment="1">
      <alignment horizontal="center"/>
    </xf>
    <xf numFmtId="0" fontId="263" fillId="0" borderId="21" xfId="0" applyFont="1" applyBorder="1"/>
    <xf numFmtId="0" fontId="263" fillId="0" borderId="0" xfId="0" applyFont="1"/>
    <xf numFmtId="43" fontId="261" fillId="0" borderId="0" xfId="233" applyFont="1" applyFill="1" applyAlignment="1"/>
    <xf numFmtId="172" fontId="0" fillId="0" borderId="10" xfId="2" applyNumberFormat="1" applyFont="1" applyFill="1" applyBorder="1"/>
    <xf numFmtId="0" fontId="80" fillId="0" borderId="27" xfId="0" applyFont="1" applyBorder="1"/>
    <xf numFmtId="0" fontId="80" fillId="0" borderId="26" xfId="0" applyFont="1" applyBorder="1" applyAlignment="1">
      <alignment horizontal="left"/>
    </xf>
    <xf numFmtId="0" fontId="8" fillId="0" borderId="0" xfId="75" applyAlignment="1">
      <alignment horizontal="center"/>
    </xf>
    <xf numFmtId="172" fontId="8" fillId="7" borderId="17" xfId="75" applyNumberFormat="1" applyFill="1" applyBorder="1"/>
    <xf numFmtId="172" fontId="8" fillId="0" borderId="0" xfId="75" applyNumberFormat="1"/>
    <xf numFmtId="43" fontId="25" fillId="0" borderId="0" xfId="75" applyNumberFormat="1" applyFont="1"/>
    <xf numFmtId="44" fontId="8" fillId="0" borderId="3" xfId="75" applyNumberFormat="1" applyBorder="1"/>
    <xf numFmtId="172" fontId="8" fillId="0" borderId="17" xfId="75" applyNumberFormat="1" applyBorder="1"/>
    <xf numFmtId="43" fontId="169" fillId="0" borderId="0" xfId="75" applyNumberFormat="1" applyFont="1"/>
    <xf numFmtId="43" fontId="169" fillId="0" borderId="10" xfId="75" applyNumberFormat="1" applyFont="1" applyBorder="1"/>
    <xf numFmtId="44" fontId="8" fillId="0" borderId="0" xfId="75" applyNumberFormat="1"/>
    <xf numFmtId="10" fontId="8" fillId="7" borderId="0" xfId="75" applyNumberFormat="1" applyFill="1"/>
    <xf numFmtId="0" fontId="25" fillId="0" borderId="0" xfId="75" applyFont="1" applyAlignment="1">
      <alignment horizontal="center"/>
    </xf>
    <xf numFmtId="0" fontId="83" fillId="0" borderId="0" xfId="75" applyFont="1" applyAlignment="1">
      <alignment horizontal="center"/>
    </xf>
    <xf numFmtId="0" fontId="83" fillId="0" borderId="0" xfId="75" applyFont="1" applyAlignment="1">
      <alignment horizontal="center" wrapText="1"/>
    </xf>
    <xf numFmtId="0" fontId="169" fillId="0" borderId="0" xfId="75" applyFont="1"/>
    <xf numFmtId="0" fontId="42" fillId="0" borderId="0" xfId="75" applyFont="1"/>
    <xf numFmtId="43" fontId="8" fillId="0" borderId="0" xfId="75" applyNumberFormat="1"/>
    <xf numFmtId="171" fontId="25" fillId="0" borderId="0" xfId="75" applyNumberFormat="1" applyFont="1"/>
    <xf numFmtId="172" fontId="0" fillId="0" borderId="0" xfId="14" applyNumberFormat="1" applyFont="1"/>
    <xf numFmtId="0" fontId="25" fillId="0" borderId="0" xfId="75" applyFont="1"/>
    <xf numFmtId="171" fontId="8" fillId="0" borderId="0" xfId="75" applyNumberFormat="1"/>
    <xf numFmtId="171" fontId="25" fillId="0" borderId="0" xfId="66" applyNumberFormat="1" applyFont="1"/>
    <xf numFmtId="169" fontId="8" fillId="0" borderId="0" xfId="75" applyNumberFormat="1"/>
    <xf numFmtId="0" fontId="25" fillId="0" borderId="0" xfId="75" applyFont="1" applyAlignment="1">
      <alignment horizontal="right"/>
    </xf>
    <xf numFmtId="0" fontId="68" fillId="0" borderId="0" xfId="75" applyFont="1" applyAlignment="1">
      <alignment horizontal="center"/>
    </xf>
    <xf numFmtId="0" fontId="83" fillId="0" borderId="0" xfId="75" quotePrefix="1" applyFont="1" applyAlignment="1">
      <alignment horizontal="center"/>
    </xf>
    <xf numFmtId="44" fontId="8" fillId="7" borderId="17" xfId="75" applyNumberFormat="1" applyFill="1" applyBorder="1"/>
    <xf numFmtId="10" fontId="8" fillId="0" borderId="0" xfId="75" applyNumberFormat="1"/>
    <xf numFmtId="0" fontId="80" fillId="13" borderId="0" xfId="96" applyFont="1" applyFill="1"/>
    <xf numFmtId="0" fontId="80" fillId="13" borderId="0" xfId="96" applyFont="1" applyFill="1" applyAlignment="1">
      <alignment horizontal="center"/>
    </xf>
    <xf numFmtId="0" fontId="80" fillId="13" borderId="0" xfId="96" applyFont="1" applyFill="1" applyAlignment="1">
      <alignment horizontal="center" wrapText="1"/>
    </xf>
    <xf numFmtId="0" fontId="80" fillId="0" borderId="0" xfId="96" applyFont="1" applyAlignment="1">
      <alignment horizontal="right" wrapText="1"/>
    </xf>
    <xf numFmtId="44" fontId="0" fillId="0" borderId="0" xfId="2" applyFont="1"/>
    <xf numFmtId="44" fontId="8" fillId="0" borderId="0" xfId="96" applyNumberFormat="1"/>
    <xf numFmtId="172" fontId="80" fillId="7" borderId="17" xfId="2" applyNumberFormat="1" applyFont="1" applyFill="1" applyBorder="1"/>
    <xf numFmtId="172" fontId="80" fillId="25" borderId="17" xfId="2" applyNumberFormat="1" applyFont="1" applyFill="1" applyBorder="1"/>
    <xf numFmtId="44" fontId="0" fillId="0" borderId="24" xfId="2" applyFont="1" applyBorder="1"/>
    <xf numFmtId="0" fontId="80" fillId="0" borderId="24" xfId="96" applyFont="1" applyBorder="1"/>
    <xf numFmtId="0" fontId="80" fillId="0" borderId="0" xfId="96" applyFont="1" applyAlignment="1">
      <alignment horizontal="right"/>
    </xf>
    <xf numFmtId="44" fontId="80" fillId="7" borderId="23" xfId="2" applyFont="1" applyFill="1" applyBorder="1"/>
    <xf numFmtId="44" fontId="80" fillId="7" borderId="25" xfId="2" applyFont="1" applyFill="1" applyBorder="1"/>
    <xf numFmtId="44" fontId="80" fillId="0" borderId="0" xfId="2" applyFont="1"/>
    <xf numFmtId="0" fontId="80" fillId="7" borderId="36" xfId="96" applyFont="1" applyFill="1" applyBorder="1"/>
    <xf numFmtId="44" fontId="0" fillId="25" borderId="26" xfId="2" applyFont="1" applyFill="1" applyBorder="1"/>
    <xf numFmtId="44" fontId="0" fillId="25" borderId="27" xfId="2" applyFont="1" applyFill="1" applyBorder="1"/>
    <xf numFmtId="44" fontId="0" fillId="25" borderId="28" xfId="2" applyFont="1" applyFill="1" applyBorder="1"/>
    <xf numFmtId="0" fontId="80" fillId="25" borderId="17" xfId="96" applyFont="1" applyFill="1" applyBorder="1"/>
    <xf numFmtId="0" fontId="80" fillId="13" borderId="0" xfId="96" applyFont="1" applyFill="1" applyAlignment="1">
      <alignment horizontal="right"/>
    </xf>
    <xf numFmtId="44" fontId="80" fillId="13" borderId="0" xfId="96" applyNumberFormat="1" applyFont="1" applyFill="1"/>
    <xf numFmtId="0" fontId="80" fillId="0" borderId="9" xfId="96" applyFont="1" applyBorder="1" applyAlignment="1">
      <alignment horizontal="center"/>
    </xf>
    <xf numFmtId="0" fontId="80" fillId="0" borderId="11" xfId="96" applyFont="1" applyBorder="1" applyAlignment="1">
      <alignment horizontal="center"/>
    </xf>
    <xf numFmtId="44" fontId="80" fillId="0" borderId="0" xfId="96" applyNumberFormat="1" applyFont="1"/>
    <xf numFmtId="172" fontId="80" fillId="0" borderId="111" xfId="96" applyNumberFormat="1" applyFont="1" applyBorder="1"/>
    <xf numFmtId="172" fontId="106" fillId="5" borderId="132" xfId="96" applyNumberFormat="1" applyFont="1" applyFill="1" applyBorder="1"/>
    <xf numFmtId="172" fontId="80" fillId="7" borderId="52" xfId="96" applyNumberFormat="1" applyFont="1" applyFill="1" applyBorder="1"/>
    <xf numFmtId="172" fontId="80" fillId="0" borderId="7" xfId="96" applyNumberFormat="1" applyFont="1" applyBorder="1"/>
    <xf numFmtId="172" fontId="80" fillId="25" borderId="52" xfId="96" applyNumberFormat="1" applyFont="1" applyFill="1" applyBorder="1"/>
    <xf numFmtId="44" fontId="79" fillId="0" borderId="0" xfId="2" applyFont="1"/>
    <xf numFmtId="0" fontId="8" fillId="0" borderId="6" xfId="96" applyBorder="1"/>
    <xf numFmtId="0" fontId="8" fillId="0" borderId="7" xfId="96" applyBorder="1"/>
    <xf numFmtId="44" fontId="0" fillId="25" borderId="17" xfId="2" applyFont="1" applyFill="1" applyBorder="1"/>
    <xf numFmtId="172" fontId="8" fillId="0" borderId="6" xfId="96" applyNumberFormat="1" applyBorder="1"/>
    <xf numFmtId="172" fontId="8" fillId="0" borderId="7" xfId="96" applyNumberFormat="1" applyBorder="1"/>
    <xf numFmtId="0" fontId="80" fillId="25" borderId="0" xfId="96" applyFont="1" applyFill="1" applyAlignment="1">
      <alignment horizontal="right"/>
    </xf>
    <xf numFmtId="172" fontId="80" fillId="25" borderId="0" xfId="96" applyNumberFormat="1" applyFont="1" applyFill="1"/>
    <xf numFmtId="0" fontId="16" fillId="0" borderId="0" xfId="96" applyFont="1"/>
    <xf numFmtId="43" fontId="0" fillId="0" borderId="0" xfId="21" applyFont="1"/>
    <xf numFmtId="0" fontId="261" fillId="31" borderId="54" xfId="96" applyFont="1" applyFill="1" applyBorder="1"/>
    <xf numFmtId="44" fontId="261" fillId="31" borderId="133" xfId="145" applyFont="1" applyFill="1" applyBorder="1" applyAlignment="1">
      <alignment horizontal="center"/>
    </xf>
    <xf numFmtId="44" fontId="261" fillId="31" borderId="131" xfId="145" applyFont="1" applyFill="1" applyBorder="1" applyAlignment="1">
      <alignment horizontal="center"/>
    </xf>
    <xf numFmtId="44" fontId="138" fillId="31" borderId="134" xfId="145" applyFont="1" applyFill="1" applyBorder="1" applyAlignment="1">
      <alignment horizontal="center" wrapText="1"/>
    </xf>
    <xf numFmtId="0" fontId="138" fillId="31" borderId="8" xfId="96" applyFont="1" applyFill="1" applyBorder="1" applyAlignment="1">
      <alignment wrapText="1"/>
    </xf>
    <xf numFmtId="44" fontId="138" fillId="31" borderId="8" xfId="145" applyFont="1" applyFill="1" applyBorder="1" applyAlignment="1">
      <alignment horizontal="center"/>
    </xf>
    <xf numFmtId="44" fontId="138" fillId="31" borderId="56" xfId="145" applyFont="1" applyFill="1" applyBorder="1"/>
    <xf numFmtId="0" fontId="16" fillId="0" borderId="0" xfId="96" applyFont="1" applyAlignment="1">
      <alignment horizontal="center"/>
    </xf>
    <xf numFmtId="43" fontId="16" fillId="0" borderId="0" xfId="21" applyFont="1" applyFill="1" applyAlignment="1">
      <alignment horizontal="center"/>
    </xf>
    <xf numFmtId="0" fontId="138" fillId="31" borderId="5" xfId="96" applyFont="1" applyFill="1" applyBorder="1" applyAlignment="1">
      <alignment wrapText="1"/>
    </xf>
    <xf numFmtId="44" fontId="138" fillId="31" borderId="39" xfId="145" applyFont="1" applyFill="1" applyBorder="1" applyAlignment="1">
      <alignment horizontal="center"/>
    </xf>
    <xf numFmtId="0" fontId="194" fillId="0" borderId="0" xfId="17" applyFont="1"/>
    <xf numFmtId="0" fontId="194" fillId="0" borderId="0" xfId="17" applyFont="1" applyAlignment="1">
      <alignment horizontal="center"/>
    </xf>
    <xf numFmtId="0" fontId="16" fillId="0" borderId="0" xfId="96" applyFont="1" applyAlignment="1">
      <alignment wrapText="1"/>
    </xf>
    <xf numFmtId="0" fontId="138" fillId="31" borderId="1" xfId="96" applyFont="1" applyFill="1" applyBorder="1" applyAlignment="1">
      <alignment wrapText="1"/>
    </xf>
    <xf numFmtId="44" fontId="138" fillId="31" borderId="5" xfId="145" applyFont="1" applyFill="1" applyBorder="1" applyAlignment="1">
      <alignment horizontal="center"/>
    </xf>
    <xf numFmtId="0" fontId="8" fillId="0" borderId="0" xfId="17" applyAlignment="1">
      <alignment wrapText="1"/>
    </xf>
    <xf numFmtId="0" fontId="8" fillId="0" borderId="0" xfId="17" applyAlignment="1">
      <alignment horizontal="center" wrapText="1"/>
    </xf>
    <xf numFmtId="0" fontId="68" fillId="0" borderId="24" xfId="17" applyFont="1" applyBorder="1" applyAlignment="1">
      <alignment horizontal="center" wrapText="1"/>
    </xf>
    <xf numFmtId="43" fontId="56" fillId="0" borderId="0" xfId="21" applyFont="1" applyBorder="1" applyAlignment="1">
      <alignment horizontal="right"/>
    </xf>
    <xf numFmtId="43" fontId="15" fillId="0" borderId="0" xfId="21" applyFont="1" applyFill="1" applyBorder="1"/>
    <xf numFmtId="44" fontId="138" fillId="31" borderId="1" xfId="145" applyFont="1" applyFill="1" applyBorder="1"/>
    <xf numFmtId="0" fontId="16" fillId="0" borderId="10" xfId="17" applyFont="1" applyBorder="1"/>
    <xf numFmtId="0" fontId="68" fillId="0" borderId="10" xfId="17" applyFont="1" applyBorder="1" applyAlignment="1">
      <alignment horizontal="center" wrapText="1"/>
    </xf>
    <xf numFmtId="0" fontId="16" fillId="0" borderId="10" xfId="17" applyFont="1" applyBorder="1" applyAlignment="1">
      <alignment horizontal="center" wrapText="1"/>
    </xf>
    <xf numFmtId="43" fontId="16" fillId="0" borderId="0" xfId="21" applyFont="1" applyBorder="1" applyAlignment="1">
      <alignment wrapText="1"/>
    </xf>
    <xf numFmtId="0" fontId="261" fillId="31" borderId="135" xfId="96" applyFont="1" applyFill="1" applyBorder="1" applyAlignment="1">
      <alignment wrapText="1"/>
    </xf>
    <xf numFmtId="44" fontId="261" fillId="31" borderId="135" xfId="145" applyFont="1" applyFill="1" applyBorder="1"/>
    <xf numFmtId="0" fontId="8" fillId="0" borderId="0" xfId="17" applyAlignment="1">
      <alignment horizontal="right"/>
    </xf>
    <xf numFmtId="172" fontId="163" fillId="0" borderId="0" xfId="86" applyNumberFormat="1" applyFont="1" applyBorder="1" applyAlignment="1">
      <alignment horizontal="right"/>
    </xf>
    <xf numFmtId="172" fontId="68" fillId="0" borderId="0" xfId="86" applyNumberFormat="1" applyFont="1" applyFill="1"/>
    <xf numFmtId="9" fontId="68" fillId="0" borderId="0" xfId="19" applyFont="1" applyFill="1"/>
    <xf numFmtId="44" fontId="68" fillId="0" borderId="0" xfId="145" applyFont="1" applyAlignment="1">
      <alignment horizontal="center"/>
    </xf>
    <xf numFmtId="44" fontId="16" fillId="0" borderId="0" xfId="145" applyFont="1" applyFill="1" applyAlignment="1">
      <alignment horizontal="center"/>
    </xf>
    <xf numFmtId="172" fontId="56" fillId="0" borderId="0" xfId="86" applyNumberFormat="1" applyFont="1" applyBorder="1" applyAlignment="1">
      <alignment horizontal="left"/>
    </xf>
    <xf numFmtId="0" fontId="261" fillId="0" borderId="0" xfId="96" applyFont="1"/>
    <xf numFmtId="44" fontId="261" fillId="0" borderId="0" xfId="145" applyFont="1" applyFill="1" applyBorder="1" applyAlignment="1"/>
    <xf numFmtId="44" fontId="261" fillId="0" borderId="0" xfId="145" applyFont="1" applyFill="1" applyBorder="1" applyAlignment="1">
      <alignment horizontal="center"/>
    </xf>
    <xf numFmtId="44" fontId="138" fillId="0" borderId="0" xfId="145" applyFont="1" applyFill="1" applyBorder="1" applyAlignment="1"/>
    <xf numFmtId="0" fontId="16" fillId="0" borderId="0" xfId="96" applyFont="1" applyAlignment="1">
      <alignment horizontal="left"/>
    </xf>
    <xf numFmtId="44" fontId="68" fillId="0" borderId="0" xfId="145" applyFont="1" applyFill="1" applyAlignment="1">
      <alignment horizontal="center"/>
    </xf>
    <xf numFmtId="43" fontId="16" fillId="0" borderId="0" xfId="21" applyFont="1" applyBorder="1" applyAlignment="1">
      <alignment horizontal="center"/>
    </xf>
    <xf numFmtId="0" fontId="138" fillId="0" borderId="0" xfId="96" applyFont="1"/>
    <xf numFmtId="44" fontId="138" fillId="0" borderId="0" xfId="145" applyFont="1" applyFill="1" applyBorder="1"/>
    <xf numFmtId="44" fontId="261" fillId="0" borderId="39" xfId="145" applyFont="1" applyFill="1" applyBorder="1" applyAlignment="1">
      <alignment horizontal="center"/>
    </xf>
    <xf numFmtId="44" fontId="138" fillId="0" borderId="0" xfId="145" applyFont="1" applyFill="1" applyBorder="1" applyAlignment="1">
      <alignment horizontal="center"/>
    </xf>
    <xf numFmtId="0" fontId="83" fillId="0" borderId="0" xfId="17" applyFont="1" applyAlignment="1">
      <alignment horizontal="left"/>
    </xf>
    <xf numFmtId="0" fontId="83" fillId="0" borderId="0" xfId="17" applyFont="1" applyAlignment="1">
      <alignment horizontal="right"/>
    </xf>
    <xf numFmtId="0" fontId="16" fillId="0" borderId="0" xfId="17" applyFont="1" applyAlignment="1">
      <alignment horizontal="left"/>
    </xf>
    <xf numFmtId="44" fontId="68" fillId="0" borderId="10" xfId="145" applyFont="1" applyBorder="1" applyAlignment="1">
      <alignment horizontal="center"/>
    </xf>
    <xf numFmtId="44" fontId="16" fillId="0" borderId="10" xfId="145" applyFont="1" applyFill="1" applyBorder="1" applyAlignment="1">
      <alignment horizontal="center"/>
    </xf>
    <xf numFmtId="0" fontId="138" fillId="0" borderId="0" xfId="96" applyFont="1" applyAlignment="1">
      <alignment horizontal="left"/>
    </xf>
    <xf numFmtId="44" fontId="138" fillId="0" borderId="0" xfId="96" applyNumberFormat="1" applyFont="1" applyAlignment="1">
      <alignment horizontal="left"/>
    </xf>
    <xf numFmtId="0" fontId="138" fillId="0" borderId="0" xfId="96" applyFont="1" applyAlignment="1">
      <alignment horizontal="center"/>
    </xf>
    <xf numFmtId="44" fontId="68" fillId="2" borderId="0" xfId="145" applyFont="1" applyFill="1" applyAlignment="1">
      <alignment horizontal="center"/>
    </xf>
    <xf numFmtId="172" fontId="56" fillId="0" borderId="0" xfId="86" applyNumberFormat="1" applyFont="1" applyBorder="1" applyAlignment="1">
      <alignment horizontal="right"/>
    </xf>
    <xf numFmtId="0" fontId="265" fillId="32" borderId="136" xfId="96" applyFont="1" applyFill="1" applyBorder="1"/>
    <xf numFmtId="170" fontId="118" fillId="0" borderId="0" xfId="19" applyNumberFormat="1" applyFont="1" applyFill="1" applyAlignment="1">
      <alignment horizontal="right"/>
    </xf>
    <xf numFmtId="170" fontId="266" fillId="0" borderId="0" xfId="19" applyNumberFormat="1" applyFont="1" applyAlignment="1">
      <alignment horizontal="right"/>
    </xf>
    <xf numFmtId="9" fontId="68" fillId="0" borderId="0" xfId="77" applyFont="1" applyAlignment="1">
      <alignment horizontal="center"/>
    </xf>
    <xf numFmtId="44" fontId="16" fillId="0" borderId="0" xfId="145" applyFont="1" applyAlignment="1">
      <alignment horizontal="center"/>
    </xf>
    <xf numFmtId="0" fontId="261" fillId="0" borderId="121" xfId="96" applyFont="1" applyBorder="1"/>
    <xf numFmtId="44" fontId="261" fillId="0" borderId="137" xfId="145" applyFont="1" applyFill="1" applyBorder="1" applyAlignment="1">
      <alignment horizontal="center"/>
    </xf>
    <xf numFmtId="44" fontId="261" fillId="0" borderId="122" xfId="145" applyFont="1" applyFill="1" applyBorder="1" applyAlignment="1">
      <alignment horizontal="center"/>
    </xf>
    <xf numFmtId="44" fontId="261" fillId="0" borderId="122" xfId="145" applyFont="1" applyFill="1" applyBorder="1" applyAlignment="1">
      <alignment horizontal="center" wrapText="1"/>
    </xf>
    <xf numFmtId="44" fontId="261" fillId="0" borderId="138" xfId="145" applyFont="1" applyFill="1" applyBorder="1" applyAlignment="1">
      <alignment horizontal="center"/>
    </xf>
    <xf numFmtId="44" fontId="138" fillId="0" borderId="139" xfId="145" applyFont="1" applyFill="1" applyBorder="1" applyAlignment="1">
      <alignment horizontal="center" wrapText="1"/>
    </xf>
    <xf numFmtId="172" fontId="68" fillId="2" borderId="39" xfId="86" applyNumberFormat="1" applyFont="1" applyFill="1" applyBorder="1"/>
    <xf numFmtId="172" fontId="8" fillId="0" borderId="0" xfId="86" applyNumberFormat="1" applyFont="1" applyBorder="1"/>
    <xf numFmtId="43" fontId="16" fillId="0" borderId="0" xfId="21" applyFont="1" applyBorder="1" applyAlignment="1">
      <alignment horizontal="left"/>
    </xf>
    <xf numFmtId="0" fontId="138" fillId="0" borderId="126" xfId="96" applyFont="1" applyBorder="1"/>
    <xf numFmtId="44" fontId="138" fillId="0" borderId="14" xfId="145" applyFont="1" applyFill="1" applyBorder="1"/>
    <xf numFmtId="44" fontId="138" fillId="0" borderId="10" xfId="145" applyFont="1" applyFill="1" applyBorder="1"/>
    <xf numFmtId="44" fontId="138" fillId="0" borderId="140" xfId="145" applyFont="1" applyFill="1" applyBorder="1"/>
    <xf numFmtId="0" fontId="138" fillId="0" borderId="126" xfId="96" applyFont="1" applyBorder="1" applyAlignment="1">
      <alignment wrapText="1"/>
    </xf>
    <xf numFmtId="44" fontId="138" fillId="0" borderId="39" xfId="145" applyFont="1" applyFill="1" applyBorder="1"/>
    <xf numFmtId="44" fontId="138" fillId="0" borderId="13" xfId="145" applyFont="1" applyFill="1" applyBorder="1"/>
    <xf numFmtId="44" fontId="138" fillId="0" borderId="39" xfId="145" applyFont="1" applyFill="1" applyBorder="1" applyAlignment="1">
      <alignment horizontal="center"/>
    </xf>
    <xf numFmtId="44" fontId="138" fillId="0" borderId="15" xfId="145" applyFont="1" applyFill="1" applyBorder="1" applyAlignment="1">
      <alignment horizontal="center"/>
    </xf>
    <xf numFmtId="0" fontId="83" fillId="0" borderId="0" xfId="134" applyFont="1" applyAlignment="1">
      <alignment horizontal="left"/>
    </xf>
    <xf numFmtId="9" fontId="16" fillId="0" borderId="0" xfId="77" applyFont="1" applyAlignment="1">
      <alignment horizontal="center"/>
    </xf>
    <xf numFmtId="43" fontId="15" fillId="0" borderId="0" xfId="21" applyFont="1" applyBorder="1"/>
    <xf numFmtId="0" fontId="16" fillId="0" borderId="10" xfId="17" applyFont="1" applyBorder="1" applyAlignment="1">
      <alignment horizontal="left"/>
    </xf>
    <xf numFmtId="9" fontId="16" fillId="0" borderId="10" xfId="77" applyFont="1" applyBorder="1" applyAlignment="1">
      <alignment horizontal="center"/>
    </xf>
    <xf numFmtId="44" fontId="138" fillId="0" borderId="15" xfId="145" applyFont="1" applyFill="1" applyBorder="1"/>
    <xf numFmtId="44" fontId="16" fillId="0" borderId="0" xfId="145" applyFont="1" applyFill="1" applyAlignment="1">
      <alignment horizontal="left"/>
    </xf>
    <xf numFmtId="43" fontId="16" fillId="0" borderId="0" xfId="21" applyFont="1" applyFill="1" applyBorder="1" applyAlignment="1">
      <alignment horizontal="left"/>
    </xf>
    <xf numFmtId="44" fontId="138" fillId="0" borderId="0" xfId="145" applyFont="1" applyFill="1" applyAlignment="1">
      <alignment horizontal="center"/>
    </xf>
    <xf numFmtId="0" fontId="16" fillId="0" borderId="0" xfId="17" applyFont="1" applyAlignment="1">
      <alignment horizontal="left" wrapText="1"/>
    </xf>
    <xf numFmtId="44" fontId="16" fillId="0" borderId="16" xfId="145" applyFont="1" applyFill="1" applyBorder="1" applyAlignment="1">
      <alignment horizontal="left"/>
    </xf>
    <xf numFmtId="44" fontId="138" fillId="0" borderId="13" xfId="145" applyFont="1" applyFill="1" applyBorder="1" applyAlignment="1">
      <alignment horizontal="center"/>
    </xf>
    <xf numFmtId="172" fontId="8" fillId="0" borderId="12" xfId="86" applyNumberFormat="1" applyFont="1" applyBorder="1"/>
    <xf numFmtId="44" fontId="16" fillId="0" borderId="0" xfId="96" applyNumberFormat="1" applyFont="1"/>
    <xf numFmtId="43" fontId="15" fillId="0" borderId="0" xfId="21" applyFont="1" applyAlignment="1">
      <alignment horizontal="left"/>
    </xf>
    <xf numFmtId="44" fontId="16" fillId="2" borderId="12" xfId="96" applyNumberFormat="1" applyFont="1" applyFill="1" applyBorder="1"/>
    <xf numFmtId="44" fontId="16" fillId="0" borderId="12" xfId="96" applyNumberFormat="1" applyFont="1" applyBorder="1"/>
    <xf numFmtId="0" fontId="261" fillId="0" borderId="126" xfId="96" applyFont="1" applyBorder="1" applyAlignment="1">
      <alignment horizontal="right" wrapText="1"/>
    </xf>
    <xf numFmtId="44" fontId="261" fillId="0" borderId="39" xfId="145" applyFont="1" applyFill="1" applyBorder="1"/>
    <xf numFmtId="44" fontId="261" fillId="0" borderId="15" xfId="145" applyFont="1" applyFill="1" applyBorder="1"/>
    <xf numFmtId="44" fontId="261" fillId="0" borderId="140" xfId="145" applyFont="1" applyFill="1" applyBorder="1"/>
    <xf numFmtId="172" fontId="56" fillId="0" borderId="0" xfId="86" applyNumberFormat="1" applyFont="1" applyBorder="1" applyAlignment="1">
      <alignment horizontal="center"/>
    </xf>
    <xf numFmtId="43" fontId="56" fillId="0" borderId="0" xfId="21" applyFont="1" applyFill="1" applyBorder="1" applyAlignment="1">
      <alignment horizontal="right"/>
    </xf>
    <xf numFmtId="43" fontId="56" fillId="0" borderId="0" xfId="21" applyFont="1" applyBorder="1" applyAlignment="1">
      <alignment horizontal="left"/>
    </xf>
    <xf numFmtId="0" fontId="261" fillId="0" borderId="126" xfId="96" applyFont="1" applyBorder="1" applyAlignment="1">
      <alignment wrapText="1"/>
    </xf>
    <xf numFmtId="0" fontId="138" fillId="0" borderId="12" xfId="96" applyFont="1" applyBorder="1" applyAlignment="1">
      <alignment vertical="top" wrapText="1"/>
    </xf>
    <xf numFmtId="0" fontId="265" fillId="33" borderId="136" xfId="96" applyFont="1" applyFill="1" applyBorder="1"/>
    <xf numFmtId="0" fontId="122" fillId="0" borderId="0" xfId="96" applyFont="1"/>
    <xf numFmtId="171" fontId="125" fillId="0" borderId="0" xfId="242" applyNumberFormat="1" applyFont="1" applyBorder="1"/>
    <xf numFmtId="215" fontId="8" fillId="0" borderId="0" xfId="17" applyNumberFormat="1"/>
    <xf numFmtId="0" fontId="125" fillId="0" borderId="0" xfId="96" applyFont="1"/>
    <xf numFmtId="0" fontId="267" fillId="34" borderId="141" xfId="96" applyFont="1" applyFill="1" applyBorder="1"/>
    <xf numFmtId="0" fontId="268" fillId="34" borderId="141" xfId="96" applyFont="1" applyFill="1" applyBorder="1"/>
    <xf numFmtId="0" fontId="268" fillId="34" borderId="142" xfId="96" applyFont="1" applyFill="1" applyBorder="1"/>
    <xf numFmtId="0" fontId="268" fillId="34" borderId="143" xfId="96" applyFont="1" applyFill="1" applyBorder="1"/>
    <xf numFmtId="0" fontId="268" fillId="35" borderId="144" xfId="96" applyFont="1" applyFill="1" applyBorder="1"/>
    <xf numFmtId="0" fontId="54" fillId="14" borderId="145" xfId="96" applyFont="1" applyFill="1" applyBorder="1"/>
    <xf numFmtId="0" fontId="54" fillId="0" borderId="145" xfId="96" applyFont="1" applyBorder="1"/>
    <xf numFmtId="43" fontId="54" fillId="0" borderId="145" xfId="96" applyNumberFormat="1" applyFont="1" applyBorder="1"/>
    <xf numFmtId="0" fontId="268" fillId="35" borderId="146" xfId="96" applyFont="1" applyFill="1" applyBorder="1"/>
    <xf numFmtId="0" fontId="54" fillId="14" borderId="147" xfId="96" applyFont="1" applyFill="1" applyBorder="1"/>
    <xf numFmtId="0" fontId="261" fillId="0" borderId="125" xfId="96" applyFont="1" applyBorder="1" applyAlignment="1">
      <alignment wrapText="1"/>
    </xf>
    <xf numFmtId="44" fontId="261" fillId="0" borderId="1" xfId="145" applyFont="1" applyFill="1" applyBorder="1"/>
    <xf numFmtId="44" fontId="261" fillId="0" borderId="3" xfId="145" applyFont="1" applyFill="1" applyBorder="1"/>
    <xf numFmtId="44" fontId="261" fillId="0" borderId="148" xfId="145" applyFont="1" applyFill="1" applyBorder="1"/>
    <xf numFmtId="0" fontId="138" fillId="0" borderId="0" xfId="96" applyFont="1" applyAlignment="1">
      <alignment vertical="top" wrapText="1"/>
    </xf>
    <xf numFmtId="0" fontId="265" fillId="36" borderId="136" xfId="96" applyFont="1" applyFill="1" applyBorder="1"/>
    <xf numFmtId="0" fontId="268" fillId="35" borderId="149" xfId="96" applyFont="1" applyFill="1" applyBorder="1"/>
    <xf numFmtId="0" fontId="267" fillId="35" borderId="145" xfId="96" applyFont="1" applyFill="1" applyBorder="1"/>
    <xf numFmtId="43" fontId="267" fillId="35" borderId="145" xfId="96" applyNumberFormat="1" applyFont="1" applyFill="1" applyBorder="1"/>
    <xf numFmtId="44" fontId="138" fillId="0" borderId="148" xfId="145" applyFont="1" applyFill="1" applyBorder="1"/>
    <xf numFmtId="0" fontId="261" fillId="0" borderId="39" xfId="96" applyFont="1" applyBorder="1" applyAlignment="1">
      <alignment wrapText="1"/>
    </xf>
    <xf numFmtId="44" fontId="261" fillId="0" borderId="13" xfId="145" applyFont="1" applyFill="1" applyBorder="1"/>
    <xf numFmtId="44" fontId="138" fillId="0" borderId="14" xfId="145" applyFont="1" applyFill="1" applyBorder="1" applyAlignment="1">
      <alignment horizontal="center"/>
    </xf>
    <xf numFmtId="44" fontId="138" fillId="0" borderId="35" xfId="145" applyFont="1" applyFill="1" applyBorder="1"/>
    <xf numFmtId="0" fontId="138" fillId="0" borderId="51" xfId="96" applyFont="1" applyBorder="1" applyAlignment="1">
      <alignment wrapText="1"/>
    </xf>
    <xf numFmtId="0" fontId="265" fillId="37" borderId="27" xfId="96" applyFont="1" applyFill="1" applyBorder="1"/>
    <xf numFmtId="0" fontId="138" fillId="0" borderId="12" xfId="96" applyFont="1" applyBorder="1" applyAlignment="1">
      <alignment wrapText="1"/>
    </xf>
    <xf numFmtId="0" fontId="138" fillId="0" borderId="40" xfId="96" applyFont="1" applyBorder="1" applyAlignment="1">
      <alignment wrapText="1"/>
    </xf>
    <xf numFmtId="0" fontId="138" fillId="0" borderId="40" xfId="96" applyFont="1" applyBorder="1" applyAlignment="1">
      <alignment vertical="top" wrapText="1"/>
    </xf>
    <xf numFmtId="44" fontId="138" fillId="0" borderId="0" xfId="145" applyFont="1" applyFill="1"/>
    <xf numFmtId="0" fontId="141" fillId="0" borderId="150" xfId="96" applyFont="1" applyBorder="1"/>
    <xf numFmtId="43" fontId="141" fillId="0" borderId="150" xfId="96" applyNumberFormat="1" applyFont="1" applyBorder="1"/>
    <xf numFmtId="43" fontId="141" fillId="2" borderId="150" xfId="96" applyNumberFormat="1" applyFont="1" applyFill="1" applyBorder="1"/>
    <xf numFmtId="43" fontId="8" fillId="0" borderId="10" xfId="96" applyNumberFormat="1" applyBorder="1"/>
    <xf numFmtId="43" fontId="8" fillId="2" borderId="0" xfId="96" applyNumberFormat="1" applyFill="1"/>
    <xf numFmtId="0" fontId="8" fillId="2" borderId="0" xfId="96" applyFill="1" applyAlignment="1">
      <alignment horizontal="right"/>
    </xf>
    <xf numFmtId="43" fontId="68" fillId="2" borderId="0" xfId="96" applyNumberFormat="1" applyFont="1" applyFill="1"/>
    <xf numFmtId="0" fontId="68" fillId="0" borderId="0" xfId="96" applyFont="1"/>
    <xf numFmtId="0" fontId="269" fillId="0" borderId="0" xfId="96" applyFont="1" applyAlignment="1">
      <alignment vertical="top"/>
    </xf>
    <xf numFmtId="0" fontId="8" fillId="0" borderId="0" xfId="96" applyAlignment="1">
      <alignment vertical="top"/>
    </xf>
    <xf numFmtId="0" fontId="166" fillId="0" borderId="0" xfId="96" applyFont="1" applyAlignment="1">
      <alignment vertical="top"/>
    </xf>
    <xf numFmtId="0" fontId="270" fillId="0" borderId="0" xfId="96" applyFont="1" applyAlignment="1">
      <alignment vertical="top"/>
    </xf>
    <xf numFmtId="0" fontId="107" fillId="0" borderId="0" xfId="96" applyFont="1" applyAlignment="1">
      <alignment vertical="top" wrapText="1"/>
    </xf>
    <xf numFmtId="0" fontId="8" fillId="0" borderId="0" xfId="96" applyAlignment="1">
      <alignment horizontal="left"/>
    </xf>
    <xf numFmtId="0" fontId="107" fillId="0" borderId="0" xfId="96" applyFont="1" applyAlignment="1">
      <alignment horizontal="left" vertical="top" wrapText="1"/>
    </xf>
    <xf numFmtId="171" fontId="0" fillId="0" borderId="0" xfId="1" applyNumberFormat="1" applyFont="1" applyAlignment="1">
      <alignment vertical="top"/>
    </xf>
    <xf numFmtId="0" fontId="8" fillId="17" borderId="0" xfId="96" applyFill="1" applyAlignment="1">
      <alignment horizontal="center" vertical="top" wrapText="1"/>
    </xf>
    <xf numFmtId="0" fontId="80" fillId="24" borderId="18" xfId="96" applyFont="1" applyFill="1" applyBorder="1"/>
    <xf numFmtId="9" fontId="8" fillId="24" borderId="20" xfId="96" applyNumberFormat="1" applyFill="1" applyBorder="1" applyAlignment="1">
      <alignment horizontal="left" vertical="top" wrapText="1"/>
    </xf>
    <xf numFmtId="0" fontId="80" fillId="4" borderId="18" xfId="96" applyFont="1" applyFill="1" applyBorder="1" applyAlignment="1">
      <alignment vertical="top"/>
    </xf>
    <xf numFmtId="0" fontId="80" fillId="4" borderId="19" xfId="96" applyFont="1" applyFill="1" applyBorder="1" applyAlignment="1">
      <alignment vertical="top"/>
    </xf>
    <xf numFmtId="0" fontId="80" fillId="4" borderId="20" xfId="96" applyFont="1" applyFill="1" applyBorder="1" applyAlignment="1">
      <alignment vertical="top"/>
    </xf>
    <xf numFmtId="0" fontId="80" fillId="6" borderId="34" xfId="96" applyFont="1" applyFill="1" applyBorder="1" applyAlignment="1">
      <alignment vertical="top"/>
    </xf>
    <xf numFmtId="9" fontId="8" fillId="17" borderId="0" xfId="96" applyNumberFormat="1" applyFill="1" applyAlignment="1">
      <alignment horizontal="left" vertical="top" wrapText="1"/>
    </xf>
    <xf numFmtId="0" fontId="273" fillId="39" borderId="0" xfId="96" applyFont="1" applyFill="1" applyAlignment="1">
      <alignment horizontal="center" vertical="top"/>
    </xf>
    <xf numFmtId="0" fontId="80" fillId="24" borderId="23" xfId="96" applyFont="1" applyFill="1" applyBorder="1"/>
    <xf numFmtId="0" fontId="8" fillId="24" borderId="25" xfId="96" applyFill="1" applyBorder="1" applyAlignment="1">
      <alignment horizontal="left" vertical="top" wrapText="1"/>
    </xf>
    <xf numFmtId="0" fontId="271" fillId="38" borderId="18" xfId="96" applyFont="1" applyFill="1" applyBorder="1" applyAlignment="1">
      <alignment vertical="center"/>
    </xf>
    <xf numFmtId="0" fontId="271" fillId="38" borderId="19" xfId="96" applyFont="1" applyFill="1" applyBorder="1" applyAlignment="1">
      <alignment vertical="center"/>
    </xf>
    <xf numFmtId="0" fontId="271" fillId="38" borderId="20" xfId="96" applyFont="1" applyFill="1" applyBorder="1" applyAlignment="1">
      <alignment vertical="center"/>
    </xf>
    <xf numFmtId="0" fontId="271" fillId="13" borderId="21" xfId="96" applyFont="1" applyFill="1" applyBorder="1" applyAlignment="1">
      <alignment vertical="top" wrapText="1"/>
    </xf>
    <xf numFmtId="0" fontId="271" fillId="13" borderId="0" xfId="96" applyFont="1" applyFill="1" applyAlignment="1">
      <alignment vertical="top" wrapText="1"/>
    </xf>
    <xf numFmtId="0" fontId="271" fillId="13" borderId="22" xfId="96" applyFont="1" applyFill="1" applyBorder="1" applyAlignment="1">
      <alignment vertical="top" wrapText="1"/>
    </xf>
    <xf numFmtId="0" fontId="80" fillId="25" borderId="21" xfId="96" applyFont="1" applyFill="1" applyBorder="1" applyAlignment="1">
      <alignment horizontal="center" vertical="top"/>
    </xf>
    <xf numFmtId="0" fontId="80" fillId="25" borderId="6" xfId="96" applyFont="1" applyFill="1" applyBorder="1" applyAlignment="1">
      <alignment horizontal="center" vertical="top"/>
    </xf>
    <xf numFmtId="0" fontId="80" fillId="25" borderId="151" xfId="96" applyFont="1" applyFill="1" applyBorder="1" applyAlignment="1">
      <alignment horizontal="center" vertical="top"/>
    </xf>
    <xf numFmtId="0" fontId="80" fillId="16" borderId="21" xfId="96" applyFont="1" applyFill="1" applyBorder="1" applyAlignment="1">
      <alignment horizontal="center" vertical="top"/>
    </xf>
    <xf numFmtId="0" fontId="80" fillId="16" borderId="151" xfId="96" applyFont="1" applyFill="1" applyBorder="1" applyAlignment="1">
      <alignment horizontal="center" vertical="top"/>
    </xf>
    <xf numFmtId="0" fontId="8" fillId="4" borderId="21" xfId="96" applyFill="1" applyBorder="1" applyAlignment="1">
      <alignment horizontal="center" vertical="top" wrapText="1"/>
    </xf>
    <xf numFmtId="0" fontId="8" fillId="4" borderId="0" xfId="96" applyFill="1" applyAlignment="1">
      <alignment horizontal="center" vertical="top"/>
    </xf>
    <xf numFmtId="0" fontId="8" fillId="4" borderId="22" xfId="96" applyFill="1" applyBorder="1" applyAlignment="1">
      <alignment horizontal="center" vertical="top"/>
    </xf>
    <xf numFmtId="0" fontId="80" fillId="6" borderId="37" xfId="96" applyFont="1" applyFill="1" applyBorder="1" applyAlignment="1">
      <alignment horizontal="center" vertical="top" wrapText="1"/>
    </xf>
    <xf numFmtId="0" fontId="8" fillId="40" borderId="0" xfId="96" applyFill="1" applyAlignment="1">
      <alignment horizontal="center" vertical="top"/>
    </xf>
    <xf numFmtId="0" fontId="166" fillId="40" borderId="6" xfId="96" applyFont="1" applyFill="1" applyBorder="1" applyAlignment="1">
      <alignment horizontal="center" vertical="top"/>
    </xf>
    <xf numFmtId="0" fontId="166" fillId="40" borderId="7" xfId="96" applyFont="1" applyFill="1" applyBorder="1" applyAlignment="1">
      <alignment horizontal="center" vertical="top"/>
    </xf>
    <xf numFmtId="0" fontId="166" fillId="40" borderId="0" xfId="96" applyFont="1" applyFill="1" applyAlignment="1">
      <alignment horizontal="center" vertical="top"/>
    </xf>
    <xf numFmtId="0" fontId="8" fillId="5" borderId="0" xfId="96" applyFill="1" applyAlignment="1">
      <alignment horizontal="center"/>
    </xf>
    <xf numFmtId="0" fontId="271" fillId="38" borderId="26" xfId="96" applyFont="1" applyFill="1" applyBorder="1" applyAlignment="1">
      <alignment horizontal="center" wrapText="1"/>
    </xf>
    <xf numFmtId="0" fontId="271" fillId="38" borderId="28" xfId="96" applyFont="1" applyFill="1" applyBorder="1" applyAlignment="1">
      <alignment horizontal="center" wrapText="1"/>
    </xf>
    <xf numFmtId="0" fontId="271" fillId="38" borderId="23" xfId="96" applyFont="1" applyFill="1" applyBorder="1" applyAlignment="1">
      <alignment horizontal="center"/>
    </xf>
    <xf numFmtId="0" fontId="271" fillId="38" borderId="24" xfId="96" applyFont="1" applyFill="1" applyBorder="1" applyAlignment="1">
      <alignment horizontal="center"/>
    </xf>
    <xf numFmtId="0" fontId="271" fillId="38" borderId="25" xfId="96" applyFont="1" applyFill="1" applyBorder="1" applyAlignment="1">
      <alignment horizontal="center"/>
    </xf>
    <xf numFmtId="0" fontId="8" fillId="13" borderId="23" xfId="96" applyFill="1" applyBorder="1" applyAlignment="1">
      <alignment horizontal="center" vertical="top" wrapText="1"/>
    </xf>
    <xf numFmtId="0" fontId="8" fillId="13" borderId="24" xfId="96" applyFill="1" applyBorder="1" applyAlignment="1">
      <alignment horizontal="center" vertical="top" wrapText="1"/>
    </xf>
    <xf numFmtId="0" fontId="8" fillId="13" borderId="25" xfId="96" applyFill="1" applyBorder="1" applyAlignment="1">
      <alignment horizontal="center" vertical="top" wrapText="1"/>
    </xf>
    <xf numFmtId="0" fontId="8" fillId="25" borderId="23" xfId="96" applyFill="1" applyBorder="1" applyAlignment="1">
      <alignment horizontal="center" vertical="top"/>
    </xf>
    <xf numFmtId="0" fontId="8" fillId="25" borderId="131" xfId="96" applyFill="1" applyBorder="1" applyAlignment="1">
      <alignment horizontal="center" vertical="top"/>
    </xf>
    <xf numFmtId="0" fontId="8" fillId="25" borderId="152" xfId="96" applyFill="1" applyBorder="1" applyAlignment="1">
      <alignment horizontal="center" vertical="top"/>
    </xf>
    <xf numFmtId="0" fontId="8" fillId="16" borderId="23" xfId="96" applyFill="1" applyBorder="1" applyAlignment="1">
      <alignment horizontal="center" vertical="top"/>
    </xf>
    <xf numFmtId="0" fontId="8" fillId="16" borderId="152" xfId="96" applyFill="1" applyBorder="1" applyAlignment="1">
      <alignment horizontal="center" vertical="top"/>
    </xf>
    <xf numFmtId="0" fontId="8" fillId="16" borderId="23" xfId="96" applyFill="1" applyBorder="1" applyAlignment="1">
      <alignment horizontal="center" vertical="top" wrapText="1"/>
    </xf>
    <xf numFmtId="0" fontId="8" fillId="16" borderId="152" xfId="96" applyFill="1" applyBorder="1" applyAlignment="1">
      <alignment horizontal="center" vertical="top" wrapText="1"/>
    </xf>
    <xf numFmtId="0" fontId="80" fillId="4" borderId="23" xfId="96" applyFont="1" applyFill="1" applyBorder="1" applyAlignment="1">
      <alignment horizontal="center" wrapText="1"/>
    </xf>
    <xf numFmtId="0" fontId="8" fillId="4" borderId="24" xfId="96" applyFill="1" applyBorder="1" applyAlignment="1">
      <alignment horizontal="center" wrapText="1"/>
    </xf>
    <xf numFmtId="0" fontId="80" fillId="4" borderId="24" xfId="96" applyFont="1" applyFill="1" applyBorder="1" applyAlignment="1">
      <alignment horizontal="center"/>
    </xf>
    <xf numFmtId="0" fontId="8" fillId="4" borderId="25" xfId="96" applyFill="1" applyBorder="1" applyAlignment="1">
      <alignment horizontal="center" vertical="top"/>
    </xf>
    <xf numFmtId="0" fontId="8" fillId="4" borderId="24" xfId="96" applyFill="1" applyBorder="1" applyAlignment="1">
      <alignment horizontal="center" vertical="top" wrapText="1"/>
    </xf>
    <xf numFmtId="0" fontId="8" fillId="4" borderId="131" xfId="96" applyFill="1" applyBorder="1" applyAlignment="1">
      <alignment horizontal="center" vertical="top" wrapText="1"/>
    </xf>
    <xf numFmtId="0" fontId="8" fillId="4" borderId="152" xfId="96" applyFill="1" applyBorder="1" applyAlignment="1">
      <alignment horizontal="center" vertical="top" wrapText="1"/>
    </xf>
    <xf numFmtId="0" fontId="8" fillId="4" borderId="23" xfId="96" applyFill="1" applyBorder="1" applyAlignment="1">
      <alignment horizontal="center" vertical="top" wrapText="1"/>
    </xf>
    <xf numFmtId="0" fontId="80" fillId="6" borderId="36" xfId="96" applyFont="1" applyFill="1" applyBorder="1" applyAlignment="1">
      <alignment horizontal="center" vertical="top" wrapText="1"/>
    </xf>
    <xf numFmtId="0" fontId="271" fillId="39" borderId="0" xfId="96" applyFont="1" applyFill="1" applyAlignment="1">
      <alignment horizontal="center" vertical="top"/>
    </xf>
    <xf numFmtId="0" fontId="8" fillId="6" borderId="0" xfId="96" applyFill="1" applyAlignment="1">
      <alignment horizontal="center" vertical="top" wrapText="1"/>
    </xf>
    <xf numFmtId="0" fontId="8" fillId="0" borderId="0" xfId="96" applyAlignment="1">
      <alignment horizontal="center" vertical="top"/>
    </xf>
    <xf numFmtId="0" fontId="166" fillId="0" borderId="6" xfId="96" applyFont="1" applyBorder="1" applyAlignment="1">
      <alignment horizontal="center" vertical="top"/>
    </xf>
    <xf numFmtId="0" fontId="166" fillId="0" borderId="7" xfId="96" applyFont="1" applyBorder="1" applyAlignment="1">
      <alignment horizontal="center" vertical="top"/>
    </xf>
    <xf numFmtId="0" fontId="166" fillId="0" borderId="6" xfId="96" applyFont="1" applyBorder="1" applyAlignment="1">
      <alignment horizontal="center" vertical="top" wrapText="1"/>
    </xf>
    <xf numFmtId="0" fontId="166" fillId="0" borderId="0" xfId="96" applyFont="1" applyAlignment="1">
      <alignment horizontal="center" vertical="top" wrapText="1"/>
    </xf>
    <xf numFmtId="0" fontId="8" fillId="5" borderId="0" xfId="96" applyFill="1" applyAlignment="1">
      <alignment vertical="top"/>
    </xf>
    <xf numFmtId="0" fontId="273" fillId="5" borderId="0" xfId="96" applyFont="1" applyFill="1" applyAlignment="1">
      <alignment vertical="top" wrapText="1"/>
    </xf>
    <xf numFmtId="0" fontId="8" fillId="5" borderId="0" xfId="96" applyFill="1" applyAlignment="1">
      <alignment vertical="top" wrapText="1"/>
    </xf>
    <xf numFmtId="171" fontId="8" fillId="0" borderId="0" xfId="96" applyNumberFormat="1" applyAlignment="1">
      <alignment vertical="top"/>
    </xf>
    <xf numFmtId="171" fontId="8" fillId="13" borderId="0" xfId="96" applyNumberFormat="1" applyFill="1" applyAlignment="1">
      <alignment vertical="top"/>
    </xf>
    <xf numFmtId="171" fontId="0" fillId="25" borderId="0" xfId="1" applyNumberFormat="1" applyFont="1" applyFill="1" applyAlignment="1">
      <alignment vertical="center"/>
    </xf>
    <xf numFmtId="171" fontId="0" fillId="16" borderId="0" xfId="1" applyNumberFormat="1" applyFont="1" applyFill="1" applyAlignment="1">
      <alignment vertical="center"/>
    </xf>
    <xf numFmtId="171" fontId="0" fillId="6" borderId="0" xfId="1" applyNumberFormat="1" applyFont="1" applyFill="1" applyAlignment="1">
      <alignment vertical="center"/>
    </xf>
    <xf numFmtId="0" fontId="8" fillId="6" borderId="0" xfId="96" applyFill="1" applyAlignment="1">
      <alignment vertical="top"/>
    </xf>
    <xf numFmtId="171" fontId="0" fillId="0" borderId="0" xfId="1" applyNumberFormat="1" applyFont="1" applyFill="1" applyAlignment="1">
      <alignment vertical="top"/>
    </xf>
    <xf numFmtId="0" fontId="106" fillId="0" borderId="0" xfId="96" applyFont="1" applyAlignment="1">
      <alignment vertical="top" wrapText="1"/>
    </xf>
    <xf numFmtId="0" fontId="8" fillId="0" borderId="0" xfId="96" applyAlignment="1">
      <alignment horizontal="left" vertical="top"/>
    </xf>
    <xf numFmtId="172" fontId="0" fillId="0" borderId="12" xfId="2" applyNumberFormat="1" applyFont="1" applyBorder="1" applyAlignment="1">
      <alignment vertical="top"/>
    </xf>
    <xf numFmtId="0" fontId="166" fillId="0" borderId="6" xfId="96" applyFont="1" applyBorder="1" applyAlignment="1">
      <alignment vertical="top"/>
    </xf>
    <xf numFmtId="0" fontId="166" fillId="0" borderId="7" xfId="96" applyFont="1" applyBorder="1" applyAlignment="1">
      <alignment vertical="top"/>
    </xf>
    <xf numFmtId="0" fontId="8" fillId="0" borderId="10" xfId="96" applyBorder="1" applyAlignment="1">
      <alignment horizontal="center" vertical="top"/>
    </xf>
    <xf numFmtId="0" fontId="8" fillId="0" borderId="15" xfId="96" applyBorder="1" applyAlignment="1">
      <alignment horizontal="center" vertical="top"/>
    </xf>
    <xf numFmtId="171" fontId="0" fillId="25" borderId="0" xfId="1" applyNumberFormat="1" applyFont="1" applyFill="1" applyAlignment="1">
      <alignment vertical="top"/>
    </xf>
    <xf numFmtId="171" fontId="0" fillId="16" borderId="0" xfId="1" applyNumberFormat="1" applyFont="1" applyFill="1" applyAlignment="1">
      <alignment vertical="top"/>
    </xf>
    <xf numFmtId="0" fontId="8" fillId="6" borderId="0" xfId="96" applyFill="1" applyAlignment="1">
      <alignment vertical="top" wrapText="1"/>
    </xf>
    <xf numFmtId="3" fontId="8" fillId="0" borderId="0" xfId="96" applyNumberFormat="1" applyAlignment="1">
      <alignment vertical="top"/>
    </xf>
    <xf numFmtId="0" fontId="8" fillId="41" borderId="0" xfId="96" applyFill="1" applyAlignment="1">
      <alignment horizontal="right" vertical="top"/>
    </xf>
    <xf numFmtId="172" fontId="0" fillId="41" borderId="15" xfId="2" applyNumberFormat="1" applyFont="1" applyFill="1" applyBorder="1" applyAlignment="1">
      <alignment vertical="top"/>
    </xf>
    <xf numFmtId="172" fontId="166" fillId="2" borderId="13" xfId="2" applyNumberFormat="1" applyFont="1" applyFill="1" applyBorder="1" applyAlignment="1">
      <alignment vertical="top"/>
    </xf>
    <xf numFmtId="172" fontId="166" fillId="2" borderId="14" xfId="2" applyNumberFormat="1" applyFont="1" applyFill="1" applyBorder="1" applyAlignment="1">
      <alignment vertical="top"/>
    </xf>
    <xf numFmtId="172" fontId="166" fillId="2" borderId="15" xfId="2" applyNumberFormat="1" applyFont="1" applyFill="1" applyBorder="1" applyAlignment="1">
      <alignment vertical="top"/>
    </xf>
    <xf numFmtId="171" fontId="8" fillId="13" borderId="0" xfId="96" applyNumberFormat="1" applyFill="1" applyAlignment="1">
      <alignment vertical="top" wrapText="1"/>
    </xf>
    <xf numFmtId="0" fontId="166" fillId="0" borderId="0" xfId="96" applyFont="1" applyAlignment="1">
      <alignment vertical="top" wrapText="1"/>
    </xf>
    <xf numFmtId="43" fontId="0" fillId="0" borderId="0" xfId="1" applyFont="1" applyFill="1" applyAlignment="1">
      <alignment vertical="top"/>
    </xf>
    <xf numFmtId="0" fontId="106" fillId="0" borderId="0" xfId="96" applyFont="1" applyAlignment="1">
      <alignment wrapText="1"/>
    </xf>
    <xf numFmtId="0" fontId="80" fillId="0" borderId="153" xfId="96" applyFont="1" applyBorder="1" applyAlignment="1">
      <alignment horizontal="center" vertical="top" wrapText="1"/>
    </xf>
    <xf numFmtId="0" fontId="80" fillId="0" borderId="3" xfId="96" applyFont="1" applyBorder="1" applyAlignment="1">
      <alignment horizontal="center" vertical="top" wrapText="1"/>
    </xf>
    <xf numFmtId="0" fontId="80" fillId="0" borderId="2" xfId="96" applyFont="1" applyBorder="1" applyAlignment="1">
      <alignment horizontal="center" vertical="top" wrapText="1"/>
    </xf>
    <xf numFmtId="0" fontId="80" fillId="0" borderId="55" xfId="96" applyFont="1" applyBorder="1" applyAlignment="1">
      <alignment horizontal="center" vertical="top" wrapText="1"/>
    </xf>
    <xf numFmtId="0" fontId="80" fillId="0" borderId="21" xfId="96" applyFont="1" applyBorder="1" applyAlignment="1">
      <alignment horizontal="center" vertical="top" wrapText="1"/>
    </xf>
    <xf numFmtId="0" fontId="80" fillId="0" borderId="0" xfId="96" applyFont="1" applyAlignment="1">
      <alignment horizontal="center" vertical="top" wrapText="1"/>
    </xf>
    <xf numFmtId="0" fontId="167" fillId="0" borderId="22" xfId="96" applyFont="1" applyBorder="1" applyAlignment="1">
      <alignment horizontal="center" vertical="top" wrapText="1"/>
    </xf>
    <xf numFmtId="219" fontId="166" fillId="0" borderId="0" xfId="96" applyNumberFormat="1" applyFont="1" applyAlignment="1">
      <alignment vertical="top"/>
    </xf>
    <xf numFmtId="171" fontId="106" fillId="0" borderId="0" xfId="96" applyNumberFormat="1" applyFont="1" applyAlignment="1">
      <alignment vertical="top"/>
    </xf>
    <xf numFmtId="0" fontId="106" fillId="6" borderId="0" xfId="96" applyFont="1" applyFill="1" applyAlignment="1">
      <alignment vertical="top" wrapText="1"/>
    </xf>
    <xf numFmtId="0" fontId="106" fillId="6" borderId="0" xfId="96" applyFont="1" applyFill="1" applyAlignment="1">
      <alignment vertical="top"/>
    </xf>
    <xf numFmtId="171" fontId="106" fillId="0" borderId="0" xfId="1" applyNumberFormat="1" applyFont="1" applyFill="1" applyAlignment="1">
      <alignment vertical="top"/>
    </xf>
    <xf numFmtId="0" fontId="8" fillId="0" borderId="21" xfId="96" applyBorder="1" applyAlignment="1">
      <alignment vertical="top"/>
    </xf>
    <xf numFmtId="0" fontId="8" fillId="0" borderId="6" xfId="96" applyBorder="1" applyAlignment="1">
      <alignment vertical="top"/>
    </xf>
    <xf numFmtId="0" fontId="8" fillId="0" borderId="22" xfId="96" applyBorder="1" applyAlignment="1">
      <alignment vertical="top"/>
    </xf>
    <xf numFmtId="0" fontId="166" fillId="0" borderId="22" xfId="96" applyFont="1" applyBorder="1" applyAlignment="1">
      <alignment vertical="top"/>
    </xf>
    <xf numFmtId="215" fontId="166" fillId="0" borderId="0" xfId="96" applyNumberFormat="1" applyFont="1" applyAlignment="1">
      <alignment vertical="top"/>
    </xf>
    <xf numFmtId="172" fontId="1" fillId="41" borderId="102" xfId="2" applyNumberFormat="1" applyFont="1" applyFill="1" applyBorder="1" applyAlignment="1">
      <alignment vertical="top"/>
    </xf>
    <xf numFmtId="172" fontId="1" fillId="20" borderId="51" xfId="2" applyNumberFormat="1" applyFont="1" applyFill="1" applyBorder="1" applyAlignment="1">
      <alignment vertical="top"/>
    </xf>
    <xf numFmtId="172" fontId="1" fillId="41" borderId="154" xfId="2" applyNumberFormat="1" applyFont="1" applyFill="1" applyBorder="1" applyAlignment="1">
      <alignment vertical="top"/>
    </xf>
    <xf numFmtId="172" fontId="1" fillId="20" borderId="103" xfId="2" applyNumberFormat="1" applyFont="1" applyFill="1" applyBorder="1" applyAlignment="1">
      <alignment vertical="top"/>
    </xf>
    <xf numFmtId="172" fontId="1" fillId="5" borderId="102" xfId="2" applyNumberFormat="1" applyFont="1" applyFill="1" applyBorder="1" applyAlignment="1">
      <alignment vertical="top"/>
    </xf>
    <xf numFmtId="172" fontId="1" fillId="5" borderId="51" xfId="2" applyNumberFormat="1" applyFont="1" applyFill="1" applyBorder="1" applyAlignment="1">
      <alignment vertical="top"/>
    </xf>
    <xf numFmtId="172" fontId="1" fillId="5" borderId="154" xfId="2" applyNumberFormat="1" applyFont="1" applyFill="1" applyBorder="1" applyAlignment="1">
      <alignment vertical="top"/>
    </xf>
    <xf numFmtId="172" fontId="166" fillId="5" borderId="103" xfId="2" applyNumberFormat="1" applyFont="1" applyFill="1" applyBorder="1" applyAlignment="1">
      <alignment vertical="top"/>
    </xf>
    <xf numFmtId="0" fontId="8" fillId="41" borderId="0" xfId="96" applyFill="1" applyAlignment="1">
      <alignment horizontal="center" vertical="top" wrapText="1"/>
    </xf>
    <xf numFmtId="0" fontId="8" fillId="20" borderId="0" xfId="96" applyFill="1" applyAlignment="1">
      <alignment horizontal="center" vertical="top" wrapText="1"/>
    </xf>
    <xf numFmtId="0" fontId="8" fillId="5" borderId="0" xfId="96" applyFill="1" applyAlignment="1">
      <alignment horizontal="center" vertical="top" wrapText="1"/>
    </xf>
    <xf numFmtId="172" fontId="79" fillId="0" borderId="0" xfId="2" applyNumberFormat="1" applyFont="1" applyAlignment="1">
      <alignment vertical="top"/>
    </xf>
    <xf numFmtId="171" fontId="79" fillId="0" borderId="0" xfId="1" applyNumberFormat="1" applyFont="1" applyAlignment="1">
      <alignment vertical="top"/>
    </xf>
    <xf numFmtId="171" fontId="231" fillId="0" borderId="0" xfId="1" applyNumberFormat="1" applyFont="1" applyAlignment="1">
      <alignment vertical="top"/>
    </xf>
    <xf numFmtId="0" fontId="80" fillId="41" borderId="139" xfId="96" applyFont="1" applyFill="1" applyBorder="1" applyAlignment="1">
      <alignment horizontal="center" vertical="top"/>
    </xf>
    <xf numFmtId="0" fontId="80" fillId="20" borderId="139" xfId="96" applyFont="1" applyFill="1" applyBorder="1" applyAlignment="1">
      <alignment horizontal="center" vertical="top"/>
    </xf>
    <xf numFmtId="172" fontId="80" fillId="41" borderId="36" xfId="96" applyNumberFormat="1" applyFont="1" applyFill="1" applyBorder="1" applyAlignment="1">
      <alignment vertical="top"/>
    </xf>
    <xf numFmtId="172" fontId="80" fillId="20" borderId="36" xfId="96" applyNumberFormat="1" applyFont="1" applyFill="1" applyBorder="1" applyAlignment="1">
      <alignment vertical="top"/>
    </xf>
    <xf numFmtId="0" fontId="186" fillId="0" borderId="0" xfId="96" applyFont="1" applyAlignment="1">
      <alignment vertical="top"/>
    </xf>
    <xf numFmtId="0" fontId="186" fillId="0" borderId="0" xfId="96" applyFont="1" applyAlignment="1">
      <alignment horizontal="right" vertical="top"/>
    </xf>
    <xf numFmtId="172" fontId="8" fillId="0" borderId="0" xfId="96" applyNumberFormat="1" applyAlignment="1">
      <alignment vertical="top"/>
    </xf>
    <xf numFmtId="0" fontId="80" fillId="0" borderId="0" xfId="96" applyFont="1" applyAlignment="1">
      <alignment horizontal="center" vertical="top"/>
    </xf>
    <xf numFmtId="0" fontId="80" fillId="5" borderId="128" xfId="96" applyFont="1" applyFill="1" applyBorder="1" applyAlignment="1">
      <alignment horizontal="center" vertical="top"/>
    </xf>
    <xf numFmtId="0" fontId="80" fillId="5" borderId="155" xfId="96" applyFont="1" applyFill="1" applyBorder="1" applyAlignment="1">
      <alignment horizontal="center" vertical="top"/>
    </xf>
    <xf numFmtId="0" fontId="274" fillId="0" borderId="0" xfId="96" applyFont="1" applyAlignment="1">
      <alignment vertical="top"/>
    </xf>
    <xf numFmtId="172" fontId="8" fillId="0" borderId="21" xfId="96" applyNumberFormat="1" applyBorder="1" applyAlignment="1">
      <alignment vertical="top"/>
    </xf>
    <xf numFmtId="172" fontId="8" fillId="0" borderId="22" xfId="96" applyNumberFormat="1" applyBorder="1" applyAlignment="1">
      <alignment vertical="top"/>
    </xf>
    <xf numFmtId="0" fontId="8" fillId="0" borderId="21" xfId="96" applyBorder="1" applyAlignment="1">
      <alignment horizontal="center" vertical="top"/>
    </xf>
    <xf numFmtId="0" fontId="8" fillId="0" borderId="22" xfId="96" applyBorder="1" applyAlignment="1">
      <alignment horizontal="center" vertical="top"/>
    </xf>
    <xf numFmtId="0" fontId="8" fillId="0" borderId="23" xfId="96" applyBorder="1" applyAlignment="1">
      <alignment horizontal="center" vertical="top"/>
    </xf>
    <xf numFmtId="0" fontId="8" fillId="0" borderId="25" xfId="96" applyBorder="1" applyAlignment="1">
      <alignment horizontal="center" vertical="top"/>
    </xf>
    <xf numFmtId="0" fontId="142" fillId="0" borderId="0" xfId="96" applyFont="1" applyAlignment="1">
      <alignment vertical="top" wrapText="1"/>
    </xf>
    <xf numFmtId="0" fontId="272" fillId="4" borderId="0" xfId="16" applyFont="1" applyFill="1"/>
    <xf numFmtId="0" fontId="272" fillId="4" borderId="22" xfId="16" applyFont="1" applyFill="1" applyBorder="1"/>
    <xf numFmtId="0" fontId="8" fillId="9" borderId="0" xfId="96" applyFill="1" applyAlignment="1">
      <alignment vertical="top"/>
    </xf>
    <xf numFmtId="0" fontId="8" fillId="4" borderId="0" xfId="16" applyFont="1" applyFill="1" applyAlignment="1">
      <alignment horizontal="left" indent="1"/>
    </xf>
    <xf numFmtId="0" fontId="106" fillId="4" borderId="0" xfId="16" applyFont="1" applyFill="1"/>
    <xf numFmtId="0" fontId="106" fillId="4" borderId="22" xfId="16" applyFont="1" applyFill="1" applyBorder="1"/>
    <xf numFmtId="171" fontId="8" fillId="25" borderId="0" xfId="96" applyNumberFormat="1" applyFill="1" applyAlignment="1">
      <alignment horizontal="left" vertical="center"/>
    </xf>
    <xf numFmtId="171" fontId="0" fillId="25" borderId="0" xfId="1" applyNumberFormat="1" applyFont="1" applyFill="1" applyBorder="1" applyAlignment="1">
      <alignment vertical="top"/>
    </xf>
    <xf numFmtId="171" fontId="0" fillId="16" borderId="0" xfId="1" applyNumberFormat="1" applyFont="1" applyFill="1" applyBorder="1" applyAlignment="1">
      <alignment vertical="top"/>
    </xf>
    <xf numFmtId="171" fontId="0" fillId="0" borderId="0" xfId="1" applyNumberFormat="1" applyFont="1" applyFill="1" applyBorder="1" applyAlignment="1">
      <alignment vertical="top"/>
    </xf>
    <xf numFmtId="0" fontId="8" fillId="4" borderId="24" xfId="16" applyFont="1" applyFill="1" applyBorder="1" applyAlignment="1">
      <alignment horizontal="left" indent="1"/>
    </xf>
    <xf numFmtId="44" fontId="272" fillId="4" borderId="0" xfId="2" applyFont="1" applyFill="1" applyBorder="1"/>
    <xf numFmtId="220" fontId="272" fillId="4" borderId="0" xfId="2" applyNumberFormat="1" applyFont="1" applyFill="1" applyBorder="1"/>
    <xf numFmtId="220" fontId="272" fillId="4" borderId="0" xfId="2" applyNumberFormat="1" applyFont="1" applyFill="1" applyBorder="1" applyAlignment="1">
      <alignment horizontal="center"/>
    </xf>
    <xf numFmtId="0" fontId="80" fillId="0" borderId="0" xfId="96" applyFont="1" applyAlignment="1">
      <alignment vertical="top" wrapText="1"/>
    </xf>
    <xf numFmtId="171" fontId="80" fillId="0" borderId="0" xfId="96" applyNumberFormat="1" applyFont="1" applyAlignment="1">
      <alignment vertical="top"/>
    </xf>
    <xf numFmtId="171" fontId="80" fillId="13" borderId="0" xfId="96" applyNumberFormat="1" applyFont="1" applyFill="1" applyAlignment="1">
      <alignment vertical="top"/>
    </xf>
    <xf numFmtId="3" fontId="80" fillId="25" borderId="0" xfId="96" applyNumberFormat="1" applyFont="1" applyFill="1" applyAlignment="1">
      <alignment vertical="top"/>
    </xf>
    <xf numFmtId="3" fontId="80" fillId="16" borderId="0" xfId="96" applyNumberFormat="1" applyFont="1" applyFill="1" applyAlignment="1">
      <alignment vertical="top"/>
    </xf>
    <xf numFmtId="0" fontId="80" fillId="0" borderId="0" xfId="96" applyFont="1" applyAlignment="1">
      <alignment vertical="top"/>
    </xf>
    <xf numFmtId="171" fontId="80" fillId="7" borderId="3" xfId="96" applyNumberFormat="1" applyFont="1" applyFill="1" applyBorder="1" applyAlignment="1">
      <alignment vertical="top"/>
    </xf>
    <xf numFmtId="171" fontId="80" fillId="20" borderId="3" xfId="96" applyNumberFormat="1" applyFont="1" applyFill="1" applyBorder="1" applyAlignment="1">
      <alignment vertical="top"/>
    </xf>
    <xf numFmtId="171" fontId="80" fillId="5" borderId="0" xfId="96" applyNumberFormat="1" applyFont="1" applyFill="1" applyAlignment="1">
      <alignment vertical="top"/>
    </xf>
    <xf numFmtId="0" fontId="8" fillId="7" borderId="0" xfId="96" applyFill="1" applyAlignment="1">
      <alignment horizontal="center" vertical="top" wrapText="1"/>
    </xf>
    <xf numFmtId="0" fontId="182" fillId="0" borderId="0" xfId="96" applyFont="1"/>
    <xf numFmtId="0" fontId="8" fillId="4" borderId="13" xfId="96" applyFill="1" applyBorder="1" applyAlignment="1">
      <alignment horizontal="center"/>
    </xf>
    <xf numFmtId="0" fontId="8" fillId="4" borderId="15" xfId="96" applyFill="1" applyBorder="1" applyAlignment="1">
      <alignment horizontal="center"/>
    </xf>
    <xf numFmtId="0" fontId="8" fillId="4" borderId="14" xfId="96" applyFill="1" applyBorder="1" applyAlignment="1">
      <alignment horizontal="center"/>
    </xf>
    <xf numFmtId="0" fontId="80" fillId="7" borderId="139" xfId="96" applyFont="1" applyFill="1" applyBorder="1" applyAlignment="1">
      <alignment horizontal="center" vertical="top"/>
    </xf>
    <xf numFmtId="0" fontId="8" fillId="0" borderId="7" xfId="96" applyBorder="1" applyAlignment="1">
      <alignment vertical="top"/>
    </xf>
    <xf numFmtId="0" fontId="80" fillId="7" borderId="37" xfId="96" applyFont="1" applyFill="1" applyBorder="1" applyAlignment="1">
      <alignment horizontal="center" vertical="top"/>
    </xf>
    <xf numFmtId="0" fontId="80" fillId="20" borderId="37" xfId="96" applyFont="1" applyFill="1" applyBorder="1" applyAlignment="1">
      <alignment horizontal="center" vertical="top"/>
    </xf>
    <xf numFmtId="0" fontId="8" fillId="0" borderId="7" xfId="96" applyBorder="1" applyAlignment="1">
      <alignment vertical="top" wrapText="1"/>
    </xf>
    <xf numFmtId="172" fontId="80" fillId="7" borderId="36" xfId="96" applyNumberFormat="1" applyFont="1" applyFill="1" applyBorder="1" applyAlignment="1">
      <alignment vertical="top"/>
    </xf>
    <xf numFmtId="172" fontId="0" fillId="0" borderId="0" xfId="2" applyNumberFormat="1" applyFont="1" applyFill="1" applyBorder="1" applyAlignment="1">
      <alignment vertical="top"/>
    </xf>
    <xf numFmtId="219" fontId="8" fillId="0" borderId="0" xfId="96" applyNumberFormat="1" applyAlignment="1">
      <alignment vertical="top"/>
    </xf>
    <xf numFmtId="215" fontId="8" fillId="0" borderId="0" xfId="96" applyNumberFormat="1" applyAlignment="1">
      <alignment vertical="top"/>
    </xf>
    <xf numFmtId="178" fontId="8" fillId="0" borderId="7" xfId="96" applyNumberFormat="1" applyBorder="1" applyAlignment="1">
      <alignment vertical="top" wrapText="1"/>
    </xf>
    <xf numFmtId="215" fontId="0" fillId="0" borderId="7" xfId="7" applyNumberFormat="1" applyFont="1" applyBorder="1"/>
    <xf numFmtId="0" fontId="275" fillId="0" borderId="0" xfId="96" applyFont="1" applyAlignment="1">
      <alignment vertical="top"/>
    </xf>
    <xf numFmtId="0" fontId="107" fillId="0" borderId="0" xfId="96" applyFont="1" applyAlignment="1">
      <alignment horizontal="right" vertical="top" wrapText="1"/>
    </xf>
    <xf numFmtId="3" fontId="8" fillId="0" borderId="0" xfId="96" quotePrefix="1" applyNumberFormat="1" applyAlignment="1">
      <alignment horizontal="center" vertical="top"/>
    </xf>
    <xf numFmtId="172" fontId="0" fillId="0" borderId="0" xfId="2" quotePrefix="1" applyNumberFormat="1" applyFont="1" applyFill="1" applyBorder="1" applyAlignment="1">
      <alignment horizontal="center" vertical="top"/>
    </xf>
    <xf numFmtId="0" fontId="186" fillId="0" borderId="0" xfId="96" applyFont="1" applyAlignment="1">
      <alignment horizontal="center" vertical="top"/>
    </xf>
    <xf numFmtId="0" fontId="8" fillId="0" borderId="0" xfId="96" applyAlignment="1">
      <alignment horizontal="right" vertical="top"/>
    </xf>
    <xf numFmtId="172" fontId="0" fillId="0" borderId="0" xfId="2" applyNumberFormat="1" applyFont="1" applyFill="1" applyBorder="1" applyAlignment="1">
      <alignment horizontal="center" vertical="top"/>
    </xf>
    <xf numFmtId="9" fontId="0" fillId="0" borderId="0" xfId="7" applyFont="1" applyFill="1" applyBorder="1" applyAlignment="1">
      <alignment horizontal="left" vertical="top"/>
    </xf>
    <xf numFmtId="0" fontId="8" fillId="0" borderId="0" xfId="96" applyAlignment="1">
      <alignment horizontal="right" vertical="top" wrapText="1"/>
    </xf>
    <xf numFmtId="0" fontId="8" fillId="0" borderId="9" xfId="96" applyBorder="1" applyAlignment="1">
      <alignment vertical="top"/>
    </xf>
    <xf numFmtId="0" fontId="8" fillId="0" borderId="10" xfId="96" applyBorder="1" applyAlignment="1">
      <alignment vertical="top"/>
    </xf>
    <xf numFmtId="0" fontId="8" fillId="0" borderId="11" xfId="96" applyBorder="1" applyAlignment="1">
      <alignment vertical="top"/>
    </xf>
    <xf numFmtId="0" fontId="276" fillId="0" borderId="0" xfId="96" applyFont="1" applyAlignment="1">
      <alignment vertical="top"/>
    </xf>
    <xf numFmtId="171" fontId="276" fillId="0" borderId="0" xfId="96" applyNumberFormat="1" applyFont="1" applyAlignment="1">
      <alignment vertical="top"/>
    </xf>
    <xf numFmtId="172" fontId="8" fillId="0" borderId="10" xfId="96" applyNumberFormat="1" applyBorder="1" applyAlignment="1">
      <alignment vertical="top"/>
    </xf>
    <xf numFmtId="3" fontId="276" fillId="0" borderId="0" xfId="96" quotePrefix="1" applyNumberFormat="1" applyFont="1" applyAlignment="1">
      <alignment horizontal="center" vertical="top"/>
    </xf>
    <xf numFmtId="172" fontId="276" fillId="0" borderId="0" xfId="2" quotePrefix="1" applyNumberFormat="1" applyFont="1" applyFill="1" applyBorder="1" applyAlignment="1">
      <alignment horizontal="center" vertical="top"/>
    </xf>
    <xf numFmtId="0" fontId="276" fillId="0" borderId="0" xfId="96" applyFont="1" applyAlignment="1">
      <alignment horizontal="right" vertical="top"/>
    </xf>
    <xf numFmtId="172" fontId="276" fillId="0" borderId="0" xfId="2" applyNumberFormat="1" applyFont="1" applyFill="1" applyBorder="1" applyAlignment="1">
      <alignment horizontal="center" vertical="top"/>
    </xf>
    <xf numFmtId="172" fontId="277" fillId="0" borderId="0" xfId="96" applyNumberFormat="1" applyFont="1" applyAlignment="1">
      <alignment vertical="top"/>
    </xf>
    <xf numFmtId="172" fontId="276" fillId="0" borderId="0" xfId="96" applyNumberFormat="1" applyFont="1" applyAlignment="1">
      <alignment vertical="top"/>
    </xf>
    <xf numFmtId="43" fontId="8" fillId="0" borderId="0" xfId="96" applyNumberFormat="1" applyAlignment="1">
      <alignment vertical="top"/>
    </xf>
    <xf numFmtId="171" fontId="0" fillId="0" borderId="0" xfId="1" applyNumberFormat="1" applyFont="1" applyBorder="1" applyAlignment="1">
      <alignment vertical="top"/>
    </xf>
    <xf numFmtId="43" fontId="0" fillId="0" borderId="0" xfId="1" applyFont="1" applyBorder="1" applyAlignment="1">
      <alignment vertical="top"/>
    </xf>
    <xf numFmtId="43" fontId="0" fillId="0" borderId="0" xfId="1" applyFont="1" applyAlignment="1">
      <alignment vertical="top"/>
    </xf>
    <xf numFmtId="216" fontId="0" fillId="0" borderId="0" xfId="1" applyNumberFormat="1" applyFont="1" applyBorder="1" applyAlignment="1">
      <alignment vertical="top"/>
    </xf>
    <xf numFmtId="172" fontId="0" fillId="0" borderId="0" xfId="2" applyNumberFormat="1" applyFont="1" applyBorder="1" applyAlignment="1">
      <alignment horizontal="center" vertical="top"/>
    </xf>
    <xf numFmtId="172" fontId="0" fillId="0" borderId="0" xfId="2" quotePrefix="1" applyNumberFormat="1" applyFont="1" applyBorder="1" applyAlignment="1">
      <alignment horizontal="center" vertical="top"/>
    </xf>
    <xf numFmtId="0" fontId="179" fillId="4" borderId="119" xfId="227" applyFont="1" applyFill="1"/>
    <xf numFmtId="0" fontId="106" fillId="4" borderId="0" xfId="0" applyFont="1" applyFill="1"/>
    <xf numFmtId="0" fontId="106" fillId="4" borderId="25" xfId="0" applyFont="1" applyFill="1" applyBorder="1"/>
    <xf numFmtId="0" fontId="106" fillId="4" borderId="24" xfId="0" applyFont="1" applyFill="1" applyBorder="1"/>
    <xf numFmtId="0" fontId="106" fillId="4" borderId="23" xfId="0" applyFont="1" applyFill="1" applyBorder="1"/>
    <xf numFmtId="0" fontId="106" fillId="4" borderId="22" xfId="0" applyFont="1" applyFill="1" applyBorder="1"/>
    <xf numFmtId="0" fontId="106" fillId="4" borderId="21" xfId="0" applyFont="1" applyFill="1" applyBorder="1"/>
    <xf numFmtId="172" fontId="106" fillId="4" borderId="0" xfId="0" applyNumberFormat="1" applyFont="1" applyFill="1"/>
    <xf numFmtId="172" fontId="79" fillId="4" borderId="0" xfId="0" applyNumberFormat="1" applyFont="1" applyFill="1"/>
    <xf numFmtId="172" fontId="106" fillId="4" borderId="0" xfId="2" applyNumberFormat="1" applyFont="1" applyFill="1" applyBorder="1"/>
    <xf numFmtId="172" fontId="106" fillId="4" borderId="10" xfId="0" applyNumberFormat="1" applyFont="1" applyFill="1" applyBorder="1" applyAlignment="1">
      <alignment horizontal="center" wrapText="1"/>
    </xf>
    <xf numFmtId="0" fontId="106" fillId="4" borderId="10" xfId="0" applyFont="1" applyFill="1" applyBorder="1"/>
    <xf numFmtId="0" fontId="179" fillId="4" borderId="0" xfId="0" applyFont="1" applyFill="1"/>
    <xf numFmtId="0" fontId="106" fillId="4" borderId="10" xfId="0" applyFont="1" applyFill="1" applyBorder="1" applyAlignment="1">
      <alignment horizontal="center" wrapText="1"/>
    </xf>
    <xf numFmtId="171" fontId="179" fillId="4" borderId="156" xfId="227" applyNumberFormat="1" applyFont="1" applyFill="1" applyBorder="1"/>
    <xf numFmtId="171" fontId="179" fillId="4" borderId="119" xfId="227" applyNumberFormat="1" applyFont="1" applyFill="1"/>
    <xf numFmtId="171" fontId="106" fillId="4" borderId="22" xfId="0" applyNumberFormat="1" applyFont="1" applyFill="1" applyBorder="1"/>
    <xf numFmtId="171" fontId="106" fillId="4" borderId="0" xfId="0" applyNumberFormat="1" applyFont="1" applyFill="1"/>
    <xf numFmtId="171" fontId="179" fillId="4" borderId="155" xfId="0" applyNumberFormat="1" applyFont="1" applyFill="1" applyBorder="1"/>
    <xf numFmtId="171" fontId="179" fillId="4" borderId="15" xfId="0" applyNumberFormat="1" applyFont="1" applyFill="1" applyBorder="1"/>
    <xf numFmtId="0" fontId="179" fillId="4" borderId="15" xfId="0" applyFont="1" applyFill="1" applyBorder="1"/>
    <xf numFmtId="171" fontId="106" fillId="4" borderId="22" xfId="233" applyNumberFormat="1" applyFont="1" applyFill="1" applyBorder="1"/>
    <xf numFmtId="171" fontId="106" fillId="4" borderId="0" xfId="233" applyNumberFormat="1" applyFont="1" applyFill="1" applyBorder="1"/>
    <xf numFmtId="14" fontId="106" fillId="4" borderId="22" xfId="0" applyNumberFormat="1" applyFont="1" applyFill="1" applyBorder="1"/>
    <xf numFmtId="14" fontId="106" fillId="4" borderId="0" xfId="0" applyNumberFormat="1" applyFont="1" applyFill="1"/>
    <xf numFmtId="0" fontId="179" fillId="4" borderId="21" xfId="0" applyFont="1" applyFill="1" applyBorder="1"/>
    <xf numFmtId="0" fontId="136" fillId="4" borderId="0" xfId="0" applyFont="1" applyFill="1"/>
    <xf numFmtId="9" fontId="106" fillId="4" borderId="22" xfId="231" applyFont="1" applyFill="1" applyBorder="1"/>
    <xf numFmtId="9" fontId="106" fillId="4" borderId="0" xfId="231" applyFont="1" applyFill="1" applyBorder="1"/>
    <xf numFmtId="43" fontId="106" fillId="4" borderId="0" xfId="233" applyFont="1" applyFill="1" applyBorder="1"/>
    <xf numFmtId="9" fontId="106" fillId="4" borderId="20" xfId="231" applyFont="1" applyFill="1" applyBorder="1"/>
    <xf numFmtId="9" fontId="106" fillId="4" borderId="19" xfId="231" applyFont="1" applyFill="1" applyBorder="1"/>
    <xf numFmtId="0" fontId="106" fillId="4" borderId="19" xfId="0" applyFont="1" applyFill="1" applyBorder="1"/>
    <xf numFmtId="0" fontId="179" fillId="4" borderId="19" xfId="0" applyFont="1" applyFill="1" applyBorder="1"/>
    <xf numFmtId="0" fontId="179" fillId="4" borderId="18" xfId="0" applyFont="1" applyFill="1" applyBorder="1" applyAlignment="1">
      <alignment horizontal="center"/>
    </xf>
    <xf numFmtId="9" fontId="106" fillId="4" borderId="25" xfId="231" applyFont="1" applyFill="1" applyBorder="1"/>
    <xf numFmtId="9" fontId="106" fillId="4" borderId="24" xfId="231" applyFont="1" applyFill="1" applyBorder="1"/>
    <xf numFmtId="9" fontId="272" fillId="4" borderId="22" xfId="231" applyFont="1" applyFill="1" applyBorder="1"/>
    <xf numFmtId="9" fontId="272" fillId="4" borderId="0" xfId="231" applyFont="1" applyFill="1" applyBorder="1"/>
    <xf numFmtId="0" fontId="106" fillId="4" borderId="20" xfId="0" applyFont="1" applyFill="1" applyBorder="1"/>
    <xf numFmtId="0" fontId="136" fillId="4" borderId="19" xfId="0" applyFont="1" applyFill="1" applyBorder="1"/>
    <xf numFmtId="43" fontId="106" fillId="4" borderId="25" xfId="233" applyFont="1" applyFill="1" applyBorder="1"/>
    <xf numFmtId="43" fontId="106" fillId="4" borderId="24" xfId="233" applyFont="1" applyFill="1" applyBorder="1"/>
    <xf numFmtId="43" fontId="106" fillId="4" borderId="22" xfId="233" applyFont="1" applyFill="1" applyBorder="1"/>
    <xf numFmtId="171" fontId="272" fillId="4" borderId="22" xfId="233" applyNumberFormat="1" applyFont="1" applyFill="1" applyBorder="1"/>
    <xf numFmtId="171" fontId="272" fillId="4" borderId="0" xfId="233" applyNumberFormat="1" applyFont="1" applyFill="1" applyBorder="1"/>
    <xf numFmtId="171" fontId="106" fillId="4" borderId="25" xfId="233" applyNumberFormat="1" applyFont="1" applyFill="1" applyBorder="1"/>
    <xf numFmtId="171" fontId="106" fillId="4" borderId="24" xfId="233" applyNumberFormat="1" applyFont="1" applyFill="1" applyBorder="1"/>
    <xf numFmtId="3" fontId="106" fillId="4" borderId="0" xfId="0" applyNumberFormat="1" applyFont="1" applyFill="1"/>
    <xf numFmtId="171" fontId="80" fillId="4" borderId="119" xfId="227" applyNumberFormat="1" applyFill="1"/>
    <xf numFmtId="0" fontId="80" fillId="4" borderId="119" xfId="227" applyFill="1"/>
    <xf numFmtId="0" fontId="106" fillId="4" borderId="10" xfId="0" applyFont="1" applyFill="1" applyBorder="1" applyAlignment="1">
      <alignment horizontal="center"/>
    </xf>
    <xf numFmtId="0" fontId="179" fillId="4" borderId="21" xfId="0" applyFont="1" applyFill="1" applyBorder="1" applyAlignment="1">
      <alignment horizontal="center"/>
    </xf>
    <xf numFmtId="14" fontId="179" fillId="4" borderId="19" xfId="0" applyNumberFormat="1" applyFont="1" applyFill="1" applyBorder="1"/>
    <xf numFmtId="0" fontId="106" fillId="4" borderId="18" xfId="0" applyFont="1" applyFill="1" applyBorder="1"/>
    <xf numFmtId="15" fontId="30" fillId="5" borderId="13" xfId="0" quotePrefix="1" applyNumberFormat="1" applyFont="1" applyFill="1" applyBorder="1" applyAlignment="1">
      <alignment horizontal="center"/>
    </xf>
    <xf numFmtId="15" fontId="30" fillId="5" borderId="15" xfId="0" quotePrefix="1" applyNumberFormat="1" applyFont="1" applyFill="1" applyBorder="1" applyAlignment="1">
      <alignment horizontal="center"/>
    </xf>
    <xf numFmtId="41" fontId="30" fillId="5" borderId="15" xfId="0" quotePrefix="1" applyNumberFormat="1" applyFont="1" applyFill="1" applyBorder="1" applyAlignment="1">
      <alignment horizontal="center"/>
    </xf>
    <xf numFmtId="41" fontId="30" fillId="5" borderId="14" xfId="0" quotePrefix="1" applyNumberFormat="1" applyFont="1" applyFill="1" applyBorder="1" applyAlignment="1">
      <alignment horizontal="center"/>
    </xf>
    <xf numFmtId="41" fontId="12" fillId="0" borderId="13" xfId="0" applyNumberFormat="1" applyFont="1" applyBorder="1" applyAlignment="1">
      <alignment horizontal="center" wrapText="1"/>
    </xf>
    <xf numFmtId="41" fontId="12" fillId="0" borderId="14" xfId="0" applyNumberFormat="1" applyFont="1" applyBorder="1" applyAlignment="1">
      <alignment horizontal="center" wrapText="1"/>
    </xf>
    <xf numFmtId="41" fontId="12" fillId="0" borderId="13" xfId="0" applyNumberFormat="1" applyFont="1" applyBorder="1" applyAlignment="1">
      <alignment horizontal="center"/>
    </xf>
    <xf numFmtId="41" fontId="12" fillId="0" borderId="15" xfId="0" applyNumberFormat="1" applyFont="1" applyBorder="1" applyAlignment="1">
      <alignment horizontal="center"/>
    </xf>
    <xf numFmtId="41" fontId="12" fillId="0" borderId="14" xfId="0" applyNumberFormat="1" applyFont="1" applyBorder="1" applyAlignment="1">
      <alignment horizontal="center"/>
    </xf>
    <xf numFmtId="15" fontId="30" fillId="5" borderId="14" xfId="0" quotePrefix="1" applyNumberFormat="1" applyFont="1" applyFill="1" applyBorder="1" applyAlignment="1">
      <alignment horizontal="center"/>
    </xf>
    <xf numFmtId="0" fontId="29" fillId="4" borderId="18" xfId="0" applyFont="1" applyFill="1" applyBorder="1" applyAlignment="1">
      <alignment horizontal="center"/>
    </xf>
    <xf numFmtId="0" fontId="29" fillId="4" borderId="19" xfId="0" applyFont="1" applyFill="1" applyBorder="1" applyAlignment="1">
      <alignment horizontal="center"/>
    </xf>
    <xf numFmtId="0" fontId="29" fillId="4" borderId="20" xfId="0" applyFont="1" applyFill="1" applyBorder="1" applyAlignment="1">
      <alignment horizontal="center"/>
    </xf>
    <xf numFmtId="0" fontId="29" fillId="4" borderId="21" xfId="0" applyFont="1" applyFill="1" applyBorder="1" applyAlignment="1">
      <alignment horizontal="center"/>
    </xf>
    <xf numFmtId="0" fontId="29" fillId="4" borderId="0" xfId="0" applyFont="1" applyFill="1" applyBorder="1" applyAlignment="1">
      <alignment horizontal="center"/>
    </xf>
    <xf numFmtId="0" fontId="29" fillId="4" borderId="22" xfId="0" applyFont="1" applyFill="1" applyBorder="1" applyAlignment="1">
      <alignment horizontal="center"/>
    </xf>
    <xf numFmtId="0" fontId="29" fillId="0" borderId="0" xfId="0" applyFont="1" applyAlignment="1">
      <alignment horizontal="center"/>
    </xf>
    <xf numFmtId="37" fontId="16" fillId="0" borderId="34" xfId="20" applyNumberFormat="1" applyFont="1" applyFill="1" applyBorder="1" applyAlignment="1">
      <alignment horizontal="center" wrapText="1"/>
    </xf>
    <xf numFmtId="37" fontId="16" fillId="0" borderId="35" xfId="20" applyNumberFormat="1" applyFont="1" applyFill="1" applyBorder="1" applyAlignment="1">
      <alignment horizontal="center" wrapText="1"/>
    </xf>
    <xf numFmtId="0" fontId="29" fillId="0" borderId="21" xfId="0" applyFont="1" applyFill="1" applyBorder="1" applyAlignment="1">
      <alignment horizontal="center"/>
    </xf>
    <xf numFmtId="0" fontId="29" fillId="0" borderId="0" xfId="0" applyFont="1" applyFill="1" applyBorder="1" applyAlignment="1">
      <alignment horizontal="center"/>
    </xf>
    <xf numFmtId="0" fontId="29" fillId="0" borderId="22" xfId="0" applyFont="1" applyFill="1" applyBorder="1" applyAlignment="1">
      <alignment horizontal="center"/>
    </xf>
    <xf numFmtId="0" fontId="29" fillId="0" borderId="2" xfId="0" applyFont="1" applyBorder="1" applyAlignment="1">
      <alignment horizontal="center"/>
    </xf>
    <xf numFmtId="0" fontId="29" fillId="0" borderId="4" xfId="0" applyFont="1" applyBorder="1" applyAlignment="1">
      <alignment horizontal="center"/>
    </xf>
    <xf numFmtId="0" fontId="29" fillId="0" borderId="9" xfId="0" applyFont="1" applyBorder="1" applyAlignment="1">
      <alignment horizontal="center"/>
    </xf>
    <xf numFmtId="0" fontId="29" fillId="0" borderId="11" xfId="0" applyFont="1" applyBorder="1" applyAlignment="1">
      <alignment horizontal="center"/>
    </xf>
    <xf numFmtId="0" fontId="29" fillId="5" borderId="4" xfId="0" applyFont="1" applyFill="1" applyBorder="1" applyAlignment="1">
      <alignment horizontal="center" wrapText="1"/>
    </xf>
    <xf numFmtId="0" fontId="29" fillId="5" borderId="7" xfId="0" applyFont="1" applyFill="1" applyBorder="1" applyAlignment="1">
      <alignment horizontal="center" wrapText="1"/>
    </xf>
    <xf numFmtId="0" fontId="29" fillId="0" borderId="0" xfId="5" applyNumberFormat="1" applyFont="1" applyAlignment="1">
      <alignment horizontal="center"/>
    </xf>
    <xf numFmtId="41" fontId="16" fillId="0" borderId="0" xfId="5" applyNumberFormat="1" applyFont="1" applyFill="1" applyAlignment="1">
      <alignment horizontal="center" wrapText="1"/>
    </xf>
    <xf numFmtId="0" fontId="17" fillId="0" borderId="0" xfId="0" applyFont="1" applyAlignment="1">
      <alignment horizontal="center"/>
    </xf>
    <xf numFmtId="0" fontId="16" fillId="0" borderId="0" xfId="0" applyFont="1" applyAlignment="1">
      <alignment horizontal="center"/>
    </xf>
    <xf numFmtId="0" fontId="15" fillId="0" borderId="0" xfId="0" applyFont="1" applyBorder="1" applyAlignment="1">
      <alignment horizontal="center"/>
    </xf>
    <xf numFmtId="0" fontId="15" fillId="0" borderId="0" xfId="0" applyFont="1" applyAlignment="1">
      <alignment horizontal="center"/>
    </xf>
    <xf numFmtId="0" fontId="15" fillId="0" borderId="10" xfId="0" applyFont="1" applyBorder="1" applyAlignment="1">
      <alignment horizontal="center"/>
    </xf>
    <xf numFmtId="169" fontId="15" fillId="0" borderId="0" xfId="17" applyNumberFormat="1" applyFont="1" applyAlignment="1">
      <alignment horizontal="left" wrapText="1"/>
    </xf>
    <xf numFmtId="0" fontId="10" fillId="0" borderId="0" xfId="0" applyFont="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15" fillId="0" borderId="28" xfId="0" applyFont="1" applyBorder="1" applyAlignment="1">
      <alignment horizontal="center"/>
    </xf>
    <xf numFmtId="3" fontId="0" fillId="0" borderId="0" xfId="0" applyNumberFormat="1" applyAlignment="1">
      <alignment horizontal="center"/>
    </xf>
    <xf numFmtId="0" fontId="0" fillId="0" borderId="0" xfId="0" applyAlignment="1">
      <alignment horizontal="center"/>
    </xf>
    <xf numFmtId="37" fontId="87" fillId="0" borderId="0" xfId="0" applyNumberFormat="1" applyFont="1" applyAlignment="1">
      <alignment horizontal="center"/>
    </xf>
    <xf numFmtId="0" fontId="102"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8" fillId="0" borderId="10" xfId="0" applyFont="1" applyBorder="1" applyAlignment="1">
      <alignment horizontal="left" wrapText="1"/>
    </xf>
    <xf numFmtId="0" fontId="8" fillId="0" borderId="0" xfId="0" applyFont="1" applyAlignment="1">
      <alignment horizontal="center"/>
    </xf>
    <xf numFmtId="0" fontId="8" fillId="0" borderId="0" xfId="0" applyFont="1" applyAlignment="1">
      <alignment horizontal="left" vertical="top" wrapText="1"/>
    </xf>
    <xf numFmtId="0" fontId="0" fillId="0" borderId="0" xfId="0" applyAlignment="1">
      <alignment horizontal="left" vertical="top" wrapText="1"/>
    </xf>
    <xf numFmtId="0" fontId="16" fillId="0" borderId="96" xfId="0" applyFont="1" applyBorder="1" applyAlignment="1">
      <alignment horizontal="center"/>
    </xf>
    <xf numFmtId="0" fontId="16" fillId="0" borderId="95" xfId="0" applyFont="1" applyBorder="1" applyAlignment="1">
      <alignment horizontal="center"/>
    </xf>
    <xf numFmtId="171" fontId="0" fillId="0" borderId="0" xfId="1" applyNumberFormat="1" applyFont="1" applyAlignment="1">
      <alignment horizontal="left" vertical="top" wrapText="1"/>
    </xf>
    <xf numFmtId="0" fontId="0" fillId="5" borderId="26" xfId="0" applyFill="1" applyBorder="1" applyAlignment="1">
      <alignment horizontal="center"/>
    </xf>
    <xf numFmtId="0" fontId="0" fillId="5" borderId="27" xfId="0" applyFill="1" applyBorder="1" applyAlignment="1">
      <alignment horizontal="center"/>
    </xf>
    <xf numFmtId="0" fontId="0" fillId="5" borderId="28" xfId="0" applyFill="1" applyBorder="1" applyAlignment="1">
      <alignment horizontal="center"/>
    </xf>
    <xf numFmtId="0" fontId="80" fillId="0" borderId="0" xfId="0" applyFont="1" applyAlignment="1">
      <alignment horizontal="center"/>
    </xf>
    <xf numFmtId="0" fontId="107" fillId="0" borderId="0" xfId="0" applyFont="1" applyAlignment="1">
      <alignment horizontal="center"/>
    </xf>
    <xf numFmtId="0" fontId="80" fillId="0" borderId="26" xfId="0" applyFont="1" applyBorder="1" applyAlignment="1">
      <alignment horizontal="center" wrapText="1"/>
    </xf>
    <xf numFmtId="0" fontId="80" fillId="0" borderId="27" xfId="0" applyFont="1" applyBorder="1" applyAlignment="1">
      <alignment horizontal="center" wrapText="1"/>
    </xf>
    <xf numFmtId="0" fontId="80" fillId="0" borderId="28" xfId="0" applyFont="1" applyBorder="1" applyAlignment="1">
      <alignment horizontal="center" wrapText="1"/>
    </xf>
    <xf numFmtId="0" fontId="15" fillId="0" borderId="0" xfId="0" applyFont="1" applyAlignment="1">
      <alignment horizontal="left" wrapText="1"/>
    </xf>
    <xf numFmtId="3" fontId="12" fillId="0" borderId="0" xfId="0" applyNumberFormat="1" applyFont="1" applyAlignment="1">
      <alignment horizontal="center"/>
    </xf>
    <xf numFmtId="3" fontId="16" fillId="0" borderId="0" xfId="0" applyNumberFormat="1" applyFont="1" applyAlignment="1">
      <alignment horizontal="center"/>
    </xf>
    <xf numFmtId="0" fontId="68" fillId="0" borderId="26" xfId="0" applyFont="1" applyBorder="1" applyAlignment="1">
      <alignment horizontal="center"/>
    </xf>
    <xf numFmtId="0" fontId="68" fillId="0" borderId="27" xfId="0" applyFont="1" applyBorder="1" applyAlignment="1">
      <alignment horizontal="center"/>
    </xf>
    <xf numFmtId="0" fontId="68" fillId="0" borderId="28" xfId="0" applyFont="1" applyBorder="1" applyAlignment="1">
      <alignment horizontal="center"/>
    </xf>
    <xf numFmtId="0" fontId="80" fillId="0" borderId="26" xfId="16" applyFont="1" applyBorder="1" applyAlignment="1">
      <alignment horizontal="center"/>
    </xf>
    <xf numFmtId="0" fontId="80" fillId="0" borderId="27" xfId="16" applyFont="1" applyBorder="1" applyAlignment="1">
      <alignment horizontal="center"/>
    </xf>
    <xf numFmtId="0" fontId="80" fillId="0" borderId="28" xfId="16" applyFont="1" applyBorder="1" applyAlignment="1">
      <alignment horizontal="center"/>
    </xf>
    <xf numFmtId="0" fontId="8" fillId="6" borderId="10" xfId="0" applyFont="1" applyFill="1" applyBorder="1" applyAlignment="1">
      <alignment horizontal="center"/>
    </xf>
    <xf numFmtId="0" fontId="8" fillId="6" borderId="9" xfId="0" applyFont="1" applyFill="1" applyBorder="1" applyAlignment="1">
      <alignment horizontal="center"/>
    </xf>
    <xf numFmtId="0" fontId="80" fillId="12" borderId="0" xfId="0" applyFont="1" applyFill="1" applyAlignment="1">
      <alignment horizontal="center"/>
    </xf>
    <xf numFmtId="0" fontId="80" fillId="13" borderId="31" xfId="0" applyFont="1" applyFill="1" applyBorder="1" applyAlignment="1">
      <alignment horizontal="center"/>
    </xf>
    <xf numFmtId="0" fontId="80" fillId="13" borderId="32" xfId="0" applyFont="1" applyFill="1" applyBorder="1" applyAlignment="1">
      <alignment horizontal="center"/>
    </xf>
    <xf numFmtId="0" fontId="80" fillId="13" borderId="33" xfId="0" applyFont="1" applyFill="1"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43" fontId="8" fillId="0" borderId="26" xfId="1" applyBorder="1" applyAlignment="1">
      <alignment horizontal="center"/>
    </xf>
    <xf numFmtId="43" fontId="8" fillId="0" borderId="27" xfId="1" applyBorder="1" applyAlignment="1">
      <alignment horizontal="center"/>
    </xf>
    <xf numFmtId="43" fontId="8" fillId="0" borderId="28" xfId="1" applyBorder="1" applyAlignment="1">
      <alignment horizontal="center"/>
    </xf>
    <xf numFmtId="0" fontId="142" fillId="0" borderId="0" xfId="0" applyFont="1" applyAlignment="1">
      <alignment horizontal="left" vertical="top" wrapText="1"/>
    </xf>
    <xf numFmtId="0" fontId="68" fillId="0" borderId="0" xfId="29" applyFont="1" applyAlignment="1">
      <alignment horizontal="center"/>
    </xf>
    <xf numFmtId="0" fontId="101" fillId="0" borderId="0" xfId="29" applyFont="1" applyAlignment="1">
      <alignment horizontal="center"/>
    </xf>
    <xf numFmtId="0" fontId="144" fillId="0" borderId="13" xfId="102" applyFont="1" applyBorder="1" applyAlignment="1">
      <alignment horizontal="center"/>
    </xf>
    <xf numFmtId="0" fontId="144" fillId="0" borderId="15" xfId="102" applyFont="1" applyBorder="1" applyAlignment="1">
      <alignment horizontal="center"/>
    </xf>
    <xf numFmtId="0" fontId="144" fillId="0" borderId="0" xfId="102" applyFont="1" applyAlignment="1">
      <alignment horizontal="center"/>
    </xf>
    <xf numFmtId="0" fontId="100" fillId="0" borderId="26" xfId="102" applyFont="1" applyBorder="1" applyAlignment="1">
      <alignment horizontal="center" vertical="top"/>
    </xf>
    <xf numFmtId="0" fontId="100" fillId="0" borderId="27" xfId="102" applyFont="1" applyBorder="1" applyAlignment="1">
      <alignment horizontal="center" vertical="top"/>
    </xf>
    <xf numFmtId="0" fontId="100" fillId="0" borderId="28" xfId="102" applyFont="1" applyBorder="1" applyAlignment="1">
      <alignment horizontal="center" vertical="top"/>
    </xf>
    <xf numFmtId="0" fontId="149" fillId="0" borderId="0" xfId="0" applyFont="1" applyAlignment="1">
      <alignment horizontal="left" wrapText="1"/>
    </xf>
    <xf numFmtId="0" fontId="149" fillId="0" borderId="0" xfId="0" applyFont="1" applyAlignment="1">
      <alignment horizontal="center" vertical="center" wrapText="1"/>
    </xf>
    <xf numFmtId="1" fontId="16" fillId="0" borderId="0" xfId="0" applyNumberFormat="1" applyFont="1" applyAlignment="1">
      <alignment horizontal="center"/>
    </xf>
    <xf numFmtId="194" fontId="33" fillId="0" borderId="0" xfId="0" applyNumberFormat="1" applyFont="1" applyAlignment="1">
      <alignment horizontal="left" wrapText="1"/>
    </xf>
    <xf numFmtId="0" fontId="12" fillId="0" borderId="0" xfId="224" applyFont="1" applyAlignment="1">
      <alignment horizontal="center"/>
    </xf>
    <xf numFmtId="0" fontId="12" fillId="0" borderId="0" xfId="0" applyFont="1" applyAlignment="1">
      <alignment horizontal="center" wrapText="1"/>
    </xf>
    <xf numFmtId="0" fontId="29" fillId="0" borderId="0" xfId="17" applyFont="1" applyAlignment="1">
      <alignment horizontal="center" wrapText="1"/>
    </xf>
    <xf numFmtId="0" fontId="15" fillId="0" borderId="0" xfId="17" applyFont="1" applyAlignment="1">
      <alignment horizontal="center" wrapText="1"/>
    </xf>
    <xf numFmtId="0" fontId="15" fillId="0" borderId="0" xfId="17" applyFont="1" applyAlignment="1">
      <alignment horizontal="left" wrapText="1"/>
    </xf>
    <xf numFmtId="0" fontId="68" fillId="0" borderId="21" xfId="17" applyFont="1" applyBorder="1" applyAlignment="1">
      <alignment horizontal="center"/>
    </xf>
    <xf numFmtId="0" fontId="68" fillId="0" borderId="0" xfId="17" applyFont="1" applyAlignment="1">
      <alignment horizontal="center"/>
    </xf>
    <xf numFmtId="0" fontId="131" fillId="0" borderId="0" xfId="17" applyFont="1" applyAlignment="1">
      <alignment horizontal="center"/>
    </xf>
    <xf numFmtId="0" fontId="159" fillId="0" borderId="0" xfId="54" applyFont="1" applyAlignment="1">
      <alignment horizontal="left"/>
    </xf>
    <xf numFmtId="49" fontId="131" fillId="0" borderId="0" xfId="17" applyNumberFormat="1" applyFont="1" applyAlignment="1">
      <alignment horizontal="center"/>
    </xf>
    <xf numFmtId="0" fontId="175" fillId="0" borderId="0" xfId="0" applyFont="1" applyAlignment="1">
      <alignment horizontal="center" wrapText="1"/>
    </xf>
    <xf numFmtId="0" fontId="0" fillId="0" borderId="0" xfId="0" applyAlignment="1">
      <alignment horizontal="left" wrapText="1"/>
    </xf>
    <xf numFmtId="0" fontId="0" fillId="0" borderId="64" xfId="0" applyBorder="1" applyAlignment="1">
      <alignment horizontal="left" vertical="center" wrapText="1"/>
    </xf>
    <xf numFmtId="0" fontId="0" fillId="0" borderId="0" xfId="0" applyAlignment="1">
      <alignment horizontal="left" vertical="center" wrapText="1"/>
    </xf>
    <xf numFmtId="0" fontId="0" fillId="0" borderId="64" xfId="0" applyBorder="1" applyAlignment="1">
      <alignment vertical="center" wrapText="1"/>
    </xf>
    <xf numFmtId="0" fontId="0" fillId="0" borderId="0" xfId="0" applyAlignment="1">
      <alignment vertical="center" wrapText="1"/>
    </xf>
    <xf numFmtId="202" fontId="92" fillId="0" borderId="64" xfId="17" applyNumberFormat="1" applyFont="1" applyBorder="1" applyAlignment="1">
      <alignment vertical="center" wrapText="1"/>
    </xf>
    <xf numFmtId="202" fontId="92" fillId="0" borderId="0" xfId="17" applyNumberFormat="1" applyFont="1" applyAlignment="1">
      <alignment vertical="center" wrapText="1"/>
    </xf>
    <xf numFmtId="0" fontId="92" fillId="0" borderId="64" xfId="17" applyFont="1" applyBorder="1" applyAlignment="1">
      <alignment horizontal="left" vertical="center" wrapText="1"/>
    </xf>
    <xf numFmtId="0" fontId="92" fillId="0" borderId="0" xfId="17" applyFont="1" applyAlignment="1">
      <alignment horizontal="left" vertical="center" wrapText="1"/>
    </xf>
    <xf numFmtId="0" fontId="183" fillId="0" borderId="0" xfId="114" applyFont="1" applyAlignment="1">
      <alignment horizontal="left" vertical="center"/>
    </xf>
    <xf numFmtId="0" fontId="2" fillId="0" borderId="0" xfId="114" applyFont="1"/>
    <xf numFmtId="0" fontId="80" fillId="5" borderId="13" xfId="96" applyFont="1" applyFill="1" applyBorder="1" applyAlignment="1">
      <alignment horizontal="center"/>
    </xf>
    <xf numFmtId="0" fontId="80" fillId="5" borderId="14" xfId="96" applyFont="1" applyFill="1" applyBorder="1" applyAlignment="1">
      <alignment horizontal="center"/>
    </xf>
    <xf numFmtId="0" fontId="15" fillId="0" borderId="26" xfId="13" applyFont="1" applyBorder="1" applyAlignment="1">
      <alignment horizontal="center"/>
    </xf>
    <xf numFmtId="0" fontId="15" fillId="0" borderId="27" xfId="13" applyFont="1" applyBorder="1" applyAlignment="1">
      <alignment horizontal="center"/>
    </xf>
    <xf numFmtId="0" fontId="15" fillId="0" borderId="28" xfId="13" applyFont="1" applyBorder="1" applyAlignment="1">
      <alignment horizontal="center"/>
    </xf>
    <xf numFmtId="4" fontId="16" fillId="0" borderId="0" xfId="13" applyNumberFormat="1" applyFont="1" applyBorder="1" applyAlignment="1">
      <alignment horizontal="center"/>
    </xf>
    <xf numFmtId="4" fontId="17" fillId="0" borderId="0" xfId="13" applyNumberFormat="1" applyFont="1" applyBorder="1" applyAlignment="1">
      <alignment horizontal="center"/>
    </xf>
    <xf numFmtId="4" fontId="15" fillId="0" borderId="0" xfId="13" applyNumberFormat="1" applyFont="1" applyBorder="1" applyAlignment="1">
      <alignment horizontal="center"/>
    </xf>
    <xf numFmtId="171" fontId="44" fillId="4" borderId="0" xfId="114" applyNumberFormat="1" applyFont="1" applyFill="1" applyAlignment="1">
      <alignment horizontal="left" wrapText="1"/>
    </xf>
    <xf numFmtId="0" fontId="190" fillId="9" borderId="26" xfId="0" applyFont="1" applyFill="1" applyBorder="1" applyAlignment="1">
      <alignment horizontal="center"/>
    </xf>
    <xf numFmtId="0" fontId="190" fillId="9" borderId="27" xfId="0" applyFont="1" applyFill="1" applyBorder="1" applyAlignment="1">
      <alignment horizontal="center"/>
    </xf>
    <xf numFmtId="0" fontId="190" fillId="9" borderId="28" xfId="0" applyFont="1" applyFill="1" applyBorder="1" applyAlignment="1">
      <alignment horizontal="center"/>
    </xf>
    <xf numFmtId="0" fontId="190" fillId="9" borderId="27" xfId="114" applyFont="1" applyFill="1" applyBorder="1" applyAlignment="1">
      <alignment horizontal="center"/>
    </xf>
    <xf numFmtId="0" fontId="190" fillId="9" borderId="28" xfId="114" applyFont="1" applyFill="1" applyBorder="1" applyAlignment="1">
      <alignment horizontal="center"/>
    </xf>
    <xf numFmtId="0" fontId="53" fillId="0" borderId="0" xfId="0" applyFont="1" applyAlignment="1">
      <alignment horizontal="center" wrapText="1"/>
    </xf>
    <xf numFmtId="0" fontId="8" fillId="0" borderId="6" xfId="0" applyFont="1" applyBorder="1" applyAlignment="1">
      <alignment horizontal="left" wrapText="1"/>
    </xf>
    <xf numFmtId="0" fontId="0" fillId="0" borderId="6" xfId="0" applyBorder="1" applyAlignment="1">
      <alignment horizontal="left" wrapText="1"/>
    </xf>
    <xf numFmtId="0" fontId="8" fillId="0" borderId="6" xfId="0" applyFont="1" applyBorder="1" applyAlignment="1">
      <alignment horizontal="left" vertical="top" wrapText="1"/>
    </xf>
    <xf numFmtId="0" fontId="204" fillId="0" borderId="0" xfId="0" applyFont="1" applyAlignment="1">
      <alignment wrapText="1"/>
    </xf>
    <xf numFmtId="3" fontId="45" fillId="0" borderId="6" xfId="36" applyNumberFormat="1" applyFont="1" applyBorder="1" applyAlignment="1">
      <alignment horizontal="center"/>
    </xf>
    <xf numFmtId="3" fontId="45" fillId="0" borderId="0" xfId="36" applyNumberFormat="1" applyFont="1" applyAlignment="1">
      <alignment horizontal="center"/>
    </xf>
    <xf numFmtId="0" fontId="80" fillId="0" borderId="0" xfId="0" applyFont="1" applyAlignment="1">
      <alignment horizontal="left" wrapText="1"/>
    </xf>
    <xf numFmtId="0" fontId="80" fillId="6" borderId="26" xfId="0" applyFont="1" applyFill="1" applyBorder="1" applyAlignment="1">
      <alignment horizontal="center"/>
    </xf>
    <xf numFmtId="0" fontId="80" fillId="6" borderId="27" xfId="0" applyFont="1" applyFill="1" applyBorder="1" applyAlignment="1">
      <alignment horizontal="center"/>
    </xf>
    <xf numFmtId="0" fontId="80" fillId="6" borderId="28" xfId="0" applyFont="1" applyFill="1" applyBorder="1" applyAlignment="1">
      <alignment horizontal="center"/>
    </xf>
    <xf numFmtId="0" fontId="167" fillId="0" borderId="0" xfId="0" applyFont="1" applyAlignment="1">
      <alignment horizontal="center" wrapText="1"/>
    </xf>
    <xf numFmtId="0" fontId="123" fillId="16" borderId="39" xfId="0" applyFont="1" applyFill="1" applyBorder="1" applyAlignment="1">
      <alignment horizontal="center" vertical="center"/>
    </xf>
    <xf numFmtId="0" fontId="123" fillId="16" borderId="13" xfId="0" applyFont="1" applyFill="1" applyBorder="1" applyAlignment="1">
      <alignment horizontal="center"/>
    </xf>
    <xf numFmtId="0" fontId="123" fillId="16" borderId="15" xfId="0" applyFont="1" applyFill="1" applyBorder="1" applyAlignment="1">
      <alignment horizontal="center"/>
    </xf>
    <xf numFmtId="0" fontId="123" fillId="16" borderId="14" xfId="0" applyFont="1" applyFill="1" applyBorder="1" applyAlignment="1">
      <alignment horizontal="center"/>
    </xf>
    <xf numFmtId="0" fontId="188" fillId="16" borderId="13" xfId="0" applyFont="1" applyFill="1" applyBorder="1" applyAlignment="1">
      <alignment horizontal="center"/>
    </xf>
    <xf numFmtId="0" fontId="188" fillId="16" borderId="15" xfId="0" applyFont="1" applyFill="1" applyBorder="1" applyAlignment="1">
      <alignment horizontal="center"/>
    </xf>
    <xf numFmtId="0" fontId="188" fillId="16" borderId="14" xfId="0" applyFont="1" applyFill="1" applyBorder="1" applyAlignment="1">
      <alignment horizontal="center"/>
    </xf>
    <xf numFmtId="0" fontId="16" fillId="7" borderId="18" xfId="96" applyFont="1" applyFill="1" applyBorder="1" applyAlignment="1">
      <alignment horizontal="left" vertical="top" wrapText="1"/>
    </xf>
    <xf numFmtId="0" fontId="16" fillId="7" borderId="19" xfId="96" applyFont="1" applyFill="1" applyBorder="1" applyAlignment="1">
      <alignment horizontal="left" vertical="top" wrapText="1"/>
    </xf>
    <xf numFmtId="0" fontId="16" fillId="7" borderId="20" xfId="96" applyFont="1" applyFill="1" applyBorder="1" applyAlignment="1">
      <alignment horizontal="left" vertical="top" wrapText="1"/>
    </xf>
    <xf numFmtId="0" fontId="16" fillId="7" borderId="21" xfId="96" applyFont="1" applyFill="1" applyBorder="1" applyAlignment="1">
      <alignment horizontal="left" vertical="top" wrapText="1"/>
    </xf>
    <xf numFmtId="0" fontId="16" fillId="7" borderId="0" xfId="96" applyFont="1" applyFill="1" applyAlignment="1">
      <alignment horizontal="left" vertical="top" wrapText="1"/>
    </xf>
    <xf numFmtId="0" fontId="16" fillId="7" borderId="22" xfId="96" applyFont="1" applyFill="1" applyBorder="1" applyAlignment="1">
      <alignment horizontal="left" vertical="top" wrapText="1"/>
    </xf>
    <xf numFmtId="0" fontId="16" fillId="7" borderId="23" xfId="96" applyFont="1" applyFill="1" applyBorder="1" applyAlignment="1">
      <alignment horizontal="left" vertical="top" wrapText="1"/>
    </xf>
    <xf numFmtId="0" fontId="16" fillId="7" borderId="24" xfId="96" applyFont="1" applyFill="1" applyBorder="1" applyAlignment="1">
      <alignment horizontal="left" vertical="top" wrapText="1"/>
    </xf>
    <xf numFmtId="0" fontId="16" fillId="7" borderId="25" xfId="96" applyFont="1" applyFill="1" applyBorder="1" applyAlignment="1">
      <alignment horizontal="left" vertical="top" wrapText="1"/>
    </xf>
    <xf numFmtId="0" fontId="106" fillId="0" borderId="39" xfId="96" applyFont="1" applyBorder="1" applyAlignment="1">
      <alignment horizontal="center"/>
    </xf>
    <xf numFmtId="0" fontId="136" fillId="0" borderId="0" xfId="96" applyFont="1" applyAlignment="1">
      <alignment horizontal="center" wrapText="1"/>
    </xf>
    <xf numFmtId="0" fontId="106" fillId="0" borderId="0" xfId="75" applyFont="1" applyAlignment="1">
      <alignment horizontal="left" vertical="top" wrapText="1"/>
    </xf>
    <xf numFmtId="0" fontId="229" fillId="0" borderId="13" xfId="75" applyFont="1" applyBorder="1" applyAlignment="1">
      <alignment horizontal="center" vertical="top"/>
    </xf>
    <xf numFmtId="0" fontId="229" fillId="0" borderId="15" xfId="75" applyFont="1" applyBorder="1" applyAlignment="1">
      <alignment horizontal="center" vertical="top"/>
    </xf>
    <xf numFmtId="0" fontId="229" fillId="0" borderId="14" xfId="75" applyFont="1" applyBorder="1" applyAlignment="1">
      <alignment horizontal="center" vertical="top"/>
    </xf>
    <xf numFmtId="0" fontId="106" fillId="0" borderId="0" xfId="96" applyFont="1" applyAlignment="1">
      <alignment horizontal="left" vertical="top" wrapText="1"/>
    </xf>
    <xf numFmtId="172" fontId="179" fillId="0" borderId="0" xfId="96" applyNumberFormat="1" applyFont="1" applyAlignment="1">
      <alignment horizontal="center"/>
    </xf>
    <xf numFmtId="0" fontId="182" fillId="0" borderId="0" xfId="96" applyFont="1" applyAlignment="1">
      <alignment horizontal="left" vertical="top" wrapText="1"/>
    </xf>
    <xf numFmtId="0" fontId="179" fillId="0" borderId="0" xfId="96" applyFont="1" applyAlignment="1">
      <alignment horizontal="center"/>
    </xf>
    <xf numFmtId="0" fontId="208" fillId="26" borderId="123" xfId="96" applyFont="1" applyFill="1" applyBorder="1" applyAlignment="1">
      <alignment horizontal="center" vertical="center" wrapText="1"/>
    </xf>
    <xf numFmtId="0" fontId="208" fillId="26" borderId="5" xfId="96" applyFont="1" applyFill="1" applyBorder="1" applyAlignment="1">
      <alignment horizontal="center" vertical="center" wrapText="1"/>
    </xf>
    <xf numFmtId="0" fontId="179" fillId="6" borderId="13" xfId="96" applyFont="1" applyFill="1" applyBorder="1" applyAlignment="1">
      <alignment horizontal="center" vertical="center"/>
    </xf>
    <xf numFmtId="0" fontId="179" fillId="6" borderId="14" xfId="96" applyFont="1" applyFill="1" applyBorder="1" applyAlignment="1">
      <alignment horizontal="center" vertical="center"/>
    </xf>
    <xf numFmtId="0" fontId="208" fillId="26" borderId="121" xfId="96" applyFont="1" applyFill="1" applyBorder="1" applyAlignment="1">
      <alignment horizontal="center" vertical="center" wrapText="1"/>
    </xf>
    <xf numFmtId="0" fontId="208" fillId="26" borderId="125" xfId="96" applyFont="1" applyFill="1" applyBorder="1" applyAlignment="1">
      <alignment horizontal="center" vertical="center" wrapText="1"/>
    </xf>
    <xf numFmtId="0" fontId="208" fillId="26" borderId="122" xfId="96" applyFont="1" applyFill="1" applyBorder="1" applyAlignment="1">
      <alignment horizontal="center" vertical="center" wrapText="1"/>
    </xf>
    <xf numFmtId="0" fontId="208" fillId="26" borderId="1" xfId="96" applyFont="1" applyFill="1" applyBorder="1" applyAlignment="1">
      <alignment horizontal="center" vertical="center" wrapText="1"/>
    </xf>
    <xf numFmtId="0" fontId="208" fillId="26" borderId="23" xfId="96" applyFont="1" applyFill="1" applyBorder="1" applyAlignment="1">
      <alignment horizontal="right"/>
    </xf>
    <xf numFmtId="0" fontId="208" fillId="26" borderId="24" xfId="96" applyFont="1" applyFill="1" applyBorder="1" applyAlignment="1">
      <alignment horizontal="right"/>
    </xf>
    <xf numFmtId="0" fontId="208" fillId="26" borderId="124" xfId="96" applyFont="1" applyFill="1" applyBorder="1" applyAlignment="1">
      <alignment horizontal="center" vertical="center" wrapText="1"/>
    </xf>
    <xf numFmtId="0" fontId="208" fillId="26" borderId="2" xfId="96" applyFont="1" applyFill="1" applyBorder="1" applyAlignment="1">
      <alignment horizontal="center" vertical="center" wrapText="1"/>
    </xf>
    <xf numFmtId="0" fontId="80" fillId="5" borderId="13" xfId="96" applyFont="1" applyFill="1" applyBorder="1" applyAlignment="1">
      <alignment horizontal="center" vertical="center"/>
    </xf>
    <xf numFmtId="0" fontId="80" fillId="5" borderId="14" xfId="96" applyFont="1" applyFill="1" applyBorder="1" applyAlignment="1">
      <alignment horizontal="center" vertical="center"/>
    </xf>
    <xf numFmtId="0" fontId="68" fillId="0" borderId="0" xfId="17" applyFont="1" applyAlignment="1">
      <alignment horizontal="center" wrapText="1"/>
    </xf>
    <xf numFmtId="0" fontId="204" fillId="0" borderId="0" xfId="17" applyFont="1" applyAlignment="1">
      <alignment horizontal="left" vertical="top" wrapText="1"/>
    </xf>
    <xf numFmtId="0" fontId="182" fillId="0" borderId="0" xfId="240" applyFont="1" applyAlignment="1">
      <alignment horizontal="center"/>
    </xf>
    <xf numFmtId="0" fontId="68" fillId="0" borderId="18" xfId="17" applyFont="1" applyBorder="1" applyAlignment="1">
      <alignment horizontal="center" vertical="top" wrapText="1"/>
    </xf>
    <xf numFmtId="0" fontId="68" fillId="0" borderId="19" xfId="17" applyFont="1" applyBorder="1" applyAlignment="1">
      <alignment horizontal="center" vertical="top" wrapText="1"/>
    </xf>
    <xf numFmtId="171" fontId="237" fillId="0" borderId="0" xfId="66" applyNumberFormat="1" applyFont="1" applyBorder="1" applyAlignment="1">
      <alignment horizontal="center"/>
    </xf>
    <xf numFmtId="0" fontId="68" fillId="0" borderId="0" xfId="17" applyFont="1" applyAlignment="1">
      <alignment horizontal="center" vertical="top" wrapText="1"/>
    </xf>
    <xf numFmtId="0" fontId="68" fillId="0" borderId="24" xfId="17" applyFont="1" applyBorder="1" applyAlignment="1">
      <alignment horizontal="center" vertical="top" wrapText="1"/>
    </xf>
    <xf numFmtId="0" fontId="204" fillId="0" borderId="22" xfId="17" applyFont="1" applyBorder="1" applyAlignment="1">
      <alignment horizontal="left" vertical="top" wrapText="1"/>
    </xf>
    <xf numFmtId="0" fontId="204" fillId="0" borderId="13" xfId="96" applyFont="1" applyBorder="1" applyAlignment="1">
      <alignment horizontal="center" wrapText="1"/>
    </xf>
    <xf numFmtId="0" fontId="204" fillId="0" borderId="15" xfId="96" applyFont="1" applyBorder="1" applyAlignment="1">
      <alignment horizontal="center" wrapText="1"/>
    </xf>
    <xf numFmtId="0" fontId="204" fillId="0" borderId="14" xfId="96" applyFont="1" applyBorder="1" applyAlignment="1">
      <alignment horizontal="center" wrapText="1"/>
    </xf>
    <xf numFmtId="0" fontId="204" fillId="0" borderId="13" xfId="96" applyFont="1" applyBorder="1" applyAlignment="1">
      <alignment horizontal="center"/>
    </xf>
    <xf numFmtId="0" fontId="204" fillId="0" borderId="15" xfId="96" applyFont="1" applyBorder="1" applyAlignment="1">
      <alignment horizontal="center"/>
    </xf>
    <xf numFmtId="0" fontId="204" fillId="0" borderId="14" xfId="96" applyFont="1" applyBorder="1" applyAlignment="1">
      <alignment horizontal="center"/>
    </xf>
    <xf numFmtId="0" fontId="204" fillId="0" borderId="0" xfId="96" applyFont="1" applyAlignment="1">
      <alignment horizontal="center" wrapText="1"/>
    </xf>
    <xf numFmtId="0" fontId="204" fillId="0" borderId="10" xfId="96" applyFont="1" applyBorder="1" applyAlignment="1">
      <alignment horizontal="center" wrapText="1"/>
    </xf>
    <xf numFmtId="0" fontId="53" fillId="0" borderId="0" xfId="96" applyFont="1" applyAlignment="1">
      <alignment horizontal="right" wrapText="1"/>
    </xf>
    <xf numFmtId="0" fontId="204" fillId="7" borderId="19" xfId="96" applyFont="1" applyFill="1" applyBorder="1" applyAlignment="1">
      <alignment horizontal="center" vertical="center" wrapText="1"/>
    </xf>
    <xf numFmtId="0" fontId="204" fillId="7" borderId="0" xfId="96" applyFont="1" applyFill="1" applyAlignment="1">
      <alignment horizontal="center" vertical="center" wrapText="1"/>
    </xf>
    <xf numFmtId="0" fontId="204" fillId="5" borderId="19" xfId="96" applyFont="1" applyFill="1" applyBorder="1" applyAlignment="1">
      <alignment horizontal="left" vertical="top" wrapText="1"/>
    </xf>
    <xf numFmtId="0" fontId="204" fillId="5" borderId="0" xfId="96" applyFont="1" applyFill="1" applyAlignment="1">
      <alignment horizontal="left" vertical="top" wrapText="1"/>
    </xf>
    <xf numFmtId="0" fontId="179" fillId="0" borderId="0" xfId="241" applyFont="1" applyAlignment="1">
      <alignment horizontal="center" wrapText="1"/>
    </xf>
    <xf numFmtId="0" fontId="179" fillId="0" borderId="0" xfId="241" applyFont="1" applyAlignment="1">
      <alignment horizontal="right" wrapText="1"/>
    </xf>
    <xf numFmtId="0" fontId="37" fillId="0" borderId="18" xfId="0" applyFont="1" applyBorder="1" applyAlignment="1">
      <alignment horizontal="center"/>
    </xf>
    <xf numFmtId="0" fontId="37" fillId="0" borderId="19" xfId="0" applyFont="1" applyBorder="1" applyAlignment="1">
      <alignment horizontal="center"/>
    </xf>
    <xf numFmtId="0" fontId="37" fillId="0" borderId="20" xfId="0" applyFont="1" applyBorder="1" applyAlignment="1">
      <alignment horizontal="center"/>
    </xf>
    <xf numFmtId="0" fontId="37" fillId="0" borderId="0" xfId="0" applyFont="1" applyAlignment="1">
      <alignment horizontal="center"/>
    </xf>
    <xf numFmtId="0" fontId="169" fillId="0" borderId="13" xfId="75" applyFont="1" applyBorder="1" applyAlignment="1">
      <alignment horizontal="center"/>
    </xf>
    <xf numFmtId="0" fontId="169" fillId="0" borderId="14" xfId="75" applyFont="1" applyBorder="1" applyAlignment="1">
      <alignment horizontal="center"/>
    </xf>
    <xf numFmtId="0" fontId="261" fillId="0" borderId="18" xfId="0" applyFont="1" applyBorder="1" applyAlignment="1">
      <alignment horizontal="center"/>
    </xf>
    <xf numFmtId="0" fontId="261" fillId="0" borderId="19" xfId="0" applyFont="1" applyBorder="1" applyAlignment="1">
      <alignment horizontal="center"/>
    </xf>
    <xf numFmtId="0" fontId="261" fillId="0" borderId="20" xfId="0" applyFont="1" applyBorder="1" applyAlignment="1">
      <alignment horizontal="center"/>
    </xf>
    <xf numFmtId="0" fontId="80" fillId="0" borderId="0" xfId="96" applyFont="1" applyAlignment="1">
      <alignment horizontal="center" textRotation="90"/>
    </xf>
    <xf numFmtId="0" fontId="107" fillId="30" borderId="0" xfId="96" applyFont="1" applyFill="1" applyAlignment="1">
      <alignment horizontal="center"/>
    </xf>
    <xf numFmtId="0" fontId="80" fillId="30" borderId="0" xfId="96" applyFont="1" applyFill="1" applyAlignment="1">
      <alignment horizontal="center"/>
    </xf>
    <xf numFmtId="0" fontId="108" fillId="0" borderId="6" xfId="96" applyFont="1" applyBorder="1" applyAlignment="1">
      <alignment horizontal="center"/>
    </xf>
    <xf numFmtId="0" fontId="108" fillId="0" borderId="7" xfId="96" applyFont="1" applyBorder="1" applyAlignment="1">
      <alignment horizontal="center"/>
    </xf>
    <xf numFmtId="0" fontId="16" fillId="0" borderId="0" xfId="96" applyFont="1" applyAlignment="1">
      <alignment horizontal="left" wrapText="1"/>
    </xf>
    <xf numFmtId="0" fontId="16" fillId="0" borderId="0" xfId="96" applyFont="1" applyAlignment="1">
      <alignment horizontal="center"/>
    </xf>
    <xf numFmtId="0" fontId="107" fillId="0" borderId="0" xfId="96" applyFont="1" applyAlignment="1">
      <alignment horizontal="center" vertical="top" wrapText="1"/>
    </xf>
    <xf numFmtId="0" fontId="8" fillId="17" borderId="0" xfId="96" applyFill="1" applyAlignment="1">
      <alignment horizontal="center" vertical="top" wrapText="1"/>
    </xf>
    <xf numFmtId="0" fontId="271" fillId="38" borderId="26" xfId="96" applyFont="1" applyFill="1" applyBorder="1" applyAlignment="1">
      <alignment horizontal="center" vertical="center"/>
    </xf>
    <xf numFmtId="0" fontId="271" fillId="38" borderId="27" xfId="96" applyFont="1" applyFill="1" applyBorder="1" applyAlignment="1">
      <alignment horizontal="center" vertical="center"/>
    </xf>
    <xf numFmtId="0" fontId="271" fillId="38" borderId="28" xfId="96" applyFont="1" applyFill="1" applyBorder="1" applyAlignment="1">
      <alignment horizontal="center" vertical="center"/>
    </xf>
    <xf numFmtId="0" fontId="271" fillId="13" borderId="26" xfId="96" applyFont="1" applyFill="1" applyBorder="1" applyAlignment="1">
      <alignment horizontal="center" vertical="top" wrapText="1"/>
    </xf>
    <xf numFmtId="0" fontId="271" fillId="13" borderId="27" xfId="96" applyFont="1" applyFill="1" applyBorder="1" applyAlignment="1">
      <alignment horizontal="center" vertical="top" wrapText="1"/>
    </xf>
    <xf numFmtId="0" fontId="271" fillId="13" borderId="28" xfId="96" applyFont="1" applyFill="1" applyBorder="1" applyAlignment="1">
      <alignment horizontal="center" vertical="top" wrapText="1"/>
    </xf>
    <xf numFmtId="0" fontId="80" fillId="25" borderId="26" xfId="96" applyFont="1" applyFill="1" applyBorder="1" applyAlignment="1">
      <alignment horizontal="center" vertical="top"/>
    </xf>
    <xf numFmtId="0" fontId="80" fillId="25" borderId="27" xfId="96" applyFont="1" applyFill="1" applyBorder="1" applyAlignment="1">
      <alignment horizontal="center" vertical="top"/>
    </xf>
    <xf numFmtId="0" fontId="80" fillId="25" borderId="28" xfId="96" applyFont="1" applyFill="1" applyBorder="1" applyAlignment="1">
      <alignment horizontal="center" vertical="top"/>
    </xf>
    <xf numFmtId="0" fontId="80" fillId="4" borderId="18" xfId="96" applyFont="1" applyFill="1" applyBorder="1" applyAlignment="1">
      <alignment horizontal="center" vertical="top"/>
    </xf>
    <xf numFmtId="0" fontId="80" fillId="4" borderId="19" xfId="96" applyFont="1" applyFill="1" applyBorder="1" applyAlignment="1">
      <alignment horizontal="center" vertical="top"/>
    </xf>
    <xf numFmtId="0" fontId="80" fillId="4" borderId="20" xfId="96" applyFont="1" applyFill="1" applyBorder="1" applyAlignment="1">
      <alignment horizontal="center" vertical="top"/>
    </xf>
    <xf numFmtId="0" fontId="271" fillId="6" borderId="0" xfId="96" applyFont="1" applyFill="1" applyAlignment="1">
      <alignment horizontal="center" vertical="top" wrapText="1"/>
    </xf>
    <xf numFmtId="0" fontId="271" fillId="6" borderId="10" xfId="96" applyFont="1" applyFill="1" applyBorder="1" applyAlignment="1">
      <alignment horizontal="center" vertical="top" wrapText="1"/>
    </xf>
    <xf numFmtId="0" fontId="8" fillId="40" borderId="13" xfId="96" applyFill="1" applyBorder="1" applyAlignment="1">
      <alignment horizontal="center" vertical="top"/>
    </xf>
    <xf numFmtId="0" fontId="8" fillId="40" borderId="15" xfId="96" applyFill="1" applyBorder="1" applyAlignment="1">
      <alignment horizontal="center" vertical="top"/>
    </xf>
    <xf numFmtId="0" fontId="8" fillId="40" borderId="14" xfId="96" applyFill="1" applyBorder="1" applyAlignment="1">
      <alignment horizontal="center" vertical="top"/>
    </xf>
    <xf numFmtId="0" fontId="80" fillId="16" borderId="26" xfId="96" applyFont="1" applyFill="1" applyBorder="1" applyAlignment="1">
      <alignment horizontal="center" vertical="top"/>
    </xf>
    <xf numFmtId="0" fontId="80" fillId="16" borderId="28" xfId="96" applyFont="1" applyFill="1" applyBorder="1" applyAlignment="1">
      <alignment horizontal="center" vertical="top"/>
    </xf>
    <xf numFmtId="0" fontId="8" fillId="0" borderId="3" xfId="96" applyBorder="1" applyAlignment="1">
      <alignment horizontal="center" vertical="top" wrapText="1"/>
    </xf>
    <xf numFmtId="0" fontId="8" fillId="0" borderId="0" xfId="96" applyAlignment="1">
      <alignment horizontal="center" vertical="top" wrapText="1"/>
    </xf>
    <xf numFmtId="0" fontId="8" fillId="4" borderId="23" xfId="96" applyFill="1" applyBorder="1" applyAlignment="1">
      <alignment horizontal="center" vertical="top"/>
    </xf>
    <xf numFmtId="0" fontId="8" fillId="4" borderId="24" xfId="96" applyFill="1" applyBorder="1" applyAlignment="1">
      <alignment horizontal="center" vertical="top"/>
    </xf>
    <xf numFmtId="0" fontId="8" fillId="4" borderId="25" xfId="96" applyFill="1" applyBorder="1" applyAlignment="1">
      <alignment horizontal="center" vertical="top"/>
    </xf>
    <xf numFmtId="0" fontId="273" fillId="39" borderId="0" xfId="96" applyFont="1" applyFill="1" applyAlignment="1">
      <alignment horizontal="center" vertical="top"/>
    </xf>
    <xf numFmtId="0" fontId="8" fillId="0" borderId="15" xfId="96" applyBorder="1" applyAlignment="1">
      <alignment horizontal="center" vertical="top"/>
    </xf>
    <xf numFmtId="0" fontId="8" fillId="40" borderId="2" xfId="96" applyFill="1" applyBorder="1" applyAlignment="1">
      <alignment horizontal="center" vertical="top"/>
    </xf>
    <xf numFmtId="0" fontId="8" fillId="40" borderId="3" xfId="96" applyFill="1" applyBorder="1" applyAlignment="1">
      <alignment horizontal="center" vertical="top"/>
    </xf>
    <xf numFmtId="0" fontId="8" fillId="40" borderId="4" xfId="96" applyFill="1" applyBorder="1" applyAlignment="1">
      <alignment horizontal="center" vertical="top"/>
    </xf>
    <xf numFmtId="0" fontId="8" fillId="40" borderId="31" xfId="96" applyFill="1" applyBorder="1" applyAlignment="1">
      <alignment horizontal="center" vertical="top"/>
    </xf>
    <xf numFmtId="0" fontId="8" fillId="40" borderId="32" xfId="96" applyFill="1" applyBorder="1" applyAlignment="1">
      <alignment horizontal="center" vertical="top"/>
    </xf>
    <xf numFmtId="0" fontId="8" fillId="40" borderId="33" xfId="96" applyFill="1" applyBorder="1" applyAlignment="1">
      <alignment horizontal="center" vertical="top"/>
    </xf>
    <xf numFmtId="0" fontId="8" fillId="5" borderId="31" xfId="96" applyFill="1" applyBorder="1" applyAlignment="1">
      <alignment horizontal="center" vertical="top"/>
    </xf>
    <xf numFmtId="0" fontId="8" fillId="5" borderId="32" xfId="96" applyFill="1" applyBorder="1" applyAlignment="1">
      <alignment horizontal="center" vertical="top"/>
    </xf>
    <xf numFmtId="0" fontId="8" fillId="5" borderId="33" xfId="96" applyFill="1" applyBorder="1" applyAlignment="1">
      <alignment horizontal="center" vertical="top"/>
    </xf>
    <xf numFmtId="0" fontId="231" fillId="0" borderId="0" xfId="96" applyFont="1" applyAlignment="1">
      <alignment horizontal="left" vertical="top"/>
    </xf>
    <xf numFmtId="0" fontId="231" fillId="0" borderId="22" xfId="96" applyFont="1" applyBorder="1" applyAlignment="1">
      <alignment horizontal="left" vertical="top"/>
    </xf>
    <xf numFmtId="0" fontId="80" fillId="5" borderId="18" xfId="96" applyFont="1" applyFill="1" applyBorder="1" applyAlignment="1">
      <alignment horizontal="center" vertical="top"/>
    </xf>
    <xf numFmtId="0" fontId="80" fillId="5" borderId="20" xfId="96" applyFont="1" applyFill="1" applyBorder="1" applyAlignment="1">
      <alignment horizontal="center" vertical="top"/>
    </xf>
    <xf numFmtId="0" fontId="80" fillId="5" borderId="21" xfId="96" applyFont="1" applyFill="1" applyBorder="1" applyAlignment="1">
      <alignment horizontal="center" vertical="top"/>
    </xf>
    <xf numFmtId="0" fontId="80" fillId="5" borderId="22" xfId="96" applyFont="1" applyFill="1" applyBorder="1" applyAlignment="1">
      <alignment horizontal="center" vertical="top"/>
    </xf>
    <xf numFmtId="171" fontId="8" fillId="13" borderId="0" xfId="96" applyNumberFormat="1" applyFill="1" applyAlignment="1">
      <alignment horizontal="center" vertical="center" wrapText="1"/>
    </xf>
    <xf numFmtId="0" fontId="8" fillId="0" borderId="0" xfId="96" applyAlignment="1">
      <alignment horizontal="left" vertical="top" wrapText="1"/>
    </xf>
    <xf numFmtId="0" fontId="26" fillId="0" borderId="0" xfId="0" applyFont="1" applyAlignment="1">
      <alignment horizontal="center"/>
    </xf>
    <xf numFmtId="0" fontId="16" fillId="0" borderId="0" xfId="0" applyFont="1" applyFill="1" applyAlignment="1">
      <alignment horizontal="center"/>
    </xf>
    <xf numFmtId="0" fontId="235" fillId="4" borderId="0" xfId="0" applyFont="1" applyFill="1"/>
  </cellXfs>
  <cellStyles count="243">
    <cellStyle name="Comma" xfId="1" builtinId="3"/>
    <cellStyle name="Comma 10" xfId="91" xr:uid="{3ADE128C-8899-475F-A60D-05BBF587B154}"/>
    <cellStyle name="Comma 10 2" xfId="158" xr:uid="{058C9137-E91D-4694-902D-5835A833C737}"/>
    <cellStyle name="Comma 10 3" xfId="200" xr:uid="{9E96BE3C-786C-481D-AB5E-BFCD75584BB5}"/>
    <cellStyle name="Comma 11" xfId="95" xr:uid="{3ADEB51F-412B-43D1-9C96-205903CED27A}"/>
    <cellStyle name="Comma 11 2" xfId="173" xr:uid="{AB0A9E16-D6D1-454A-85FB-F97DB15DA916}"/>
    <cellStyle name="Comma 11 3" xfId="215" xr:uid="{7A29F551-5AEC-4BAA-B8A1-A33A8FB49E6C}"/>
    <cellStyle name="Comma 12" xfId="177" xr:uid="{68B6AB16-CD76-4A49-9C9A-A0EBA37E7565}"/>
    <cellStyle name="Comma 12 2" xfId="218" xr:uid="{4C6CDCC4-A4C8-45A1-ABBB-C580372D3CEE}"/>
    <cellStyle name="Comma 13" xfId="233" xr:uid="{F5F2C3A4-BE4A-46A5-A0FA-0A9A8209A368}"/>
    <cellStyle name="Comma 14" xfId="169" xr:uid="{CD2758C8-FC5B-4A10-8677-9553E4DF312E}"/>
    <cellStyle name="Comma 14 2" xfId="211" xr:uid="{D01E2979-6C1F-48AA-86F8-4C0683B3C7F3}"/>
    <cellStyle name="Comma 2" xfId="21" xr:uid="{00000000-0005-0000-0000-000001000000}"/>
    <cellStyle name="Comma 2 2" xfId="25" xr:uid="{1DD2FDD2-2F8F-4131-934F-2C27F9E0388D}"/>
    <cellStyle name="Comma 2 2 2" xfId="66" xr:uid="{AF6A7869-4331-475B-B179-8706BBF0E10B}"/>
    <cellStyle name="Comma 2 3" xfId="37" xr:uid="{A0EF68D4-8058-4EAE-84E5-8E36FF858DF1}"/>
    <cellStyle name="Comma 2 3 2" xfId="123" xr:uid="{2A771510-91F2-4B24-8059-A42456D5BB63}"/>
    <cellStyle name="Comma 2 3 3" xfId="186" xr:uid="{B83528D3-DB12-43D4-A304-93397676DC1F}"/>
    <cellStyle name="Comma 2 4" xfId="80" xr:uid="{A1354B24-F502-453B-A98C-FFA60A574B4D}"/>
    <cellStyle name="Comma 2 4 2" xfId="127" xr:uid="{82653E2D-C8FF-44B2-8A79-2C50BC6E602C}"/>
    <cellStyle name="Comma 2 4 3" xfId="190" xr:uid="{BE22B360-8850-4C3E-8808-09D6ACB53CBC}"/>
    <cellStyle name="Comma 2 4 4" xfId="229" xr:uid="{E4DC64F9-F4D8-49DD-B1FB-72FF53FBBEE5}"/>
    <cellStyle name="Comma 2 5" xfId="92" xr:uid="{F8D7FD13-502E-43CE-8071-CEA1B3CBAD7A}"/>
    <cellStyle name="Comma 2 6" xfId="150" xr:uid="{2F25335C-2132-4B94-BE9D-52C9F0B571F3}"/>
    <cellStyle name="Comma 2 7" xfId="160" xr:uid="{F17D607E-CD1C-412D-BFCF-216E318B8F08}"/>
    <cellStyle name="Comma 2 7 2" xfId="202" xr:uid="{2ACA48A3-0FB4-4645-9780-2763A5C5ABC9}"/>
    <cellStyle name="Comma 2 8" xfId="234" xr:uid="{AB49BF2C-017D-4E1F-9F0B-3316515F3AE1}"/>
    <cellStyle name="Comma 3" xfId="30" xr:uid="{6BB54C9C-87E6-4E37-94C1-53BF300EE21F}"/>
    <cellStyle name="Comma 3 10" xfId="242" xr:uid="{A631175B-5829-435D-9B00-56364C314963}"/>
    <cellStyle name="Comma 3 2" xfId="33" xr:uid="{4AD59840-86BD-40C5-90EF-BD6CF6E31181}"/>
    <cellStyle name="Comma 3 2 2" xfId="103" xr:uid="{D7418385-367C-40C7-8AAF-FF9AB07A6A4A}"/>
    <cellStyle name="Comma 3 3" xfId="52" xr:uid="{1A16FFC9-2AE7-4374-B098-B0FED8A1C42D}"/>
    <cellStyle name="Comma 3 3 2" xfId="109" xr:uid="{D9EE94C8-006A-4E50-BAB5-8DAA13058F41}"/>
    <cellStyle name="Comma 3 4" xfId="55" xr:uid="{75806F58-A952-46C5-9E44-C6AE8378342D}"/>
    <cellStyle name="Comma 3 4 2" xfId="124" xr:uid="{94224782-3099-4A9C-B37B-16CBCCA8D279}"/>
    <cellStyle name="Comma 3 4 3" xfId="187" xr:uid="{E2CFFD11-3C8A-4473-BD3A-9FAFD8DC17B6}"/>
    <cellStyle name="Comma 3 5" xfId="67" xr:uid="{F38058A3-3635-4A17-A2BB-0A26CB05168C}"/>
    <cellStyle name="Comma 3 5 2" xfId="141" xr:uid="{FDFE8B8A-1756-4F62-8544-CF8AD58FCC06}"/>
    <cellStyle name="Comma 3 6" xfId="170" xr:uid="{22A27FCF-BBAC-4F97-8CBC-7A8FEC8BBE1D}"/>
    <cellStyle name="Comma 3 6 2" xfId="212" xr:uid="{2F7C5AEE-DD48-43FD-B032-4C8AA8BFD2F3}"/>
    <cellStyle name="Comma 3 7" xfId="98" xr:uid="{91D61654-61A9-4803-87C0-A681F196E051}"/>
    <cellStyle name="Comma 3 8" xfId="180" xr:uid="{FC2D84D2-9FDC-43C3-96BC-E405ADAF3070}"/>
    <cellStyle name="Comma 3 9" xfId="220" xr:uid="{52EC479D-FD8A-4D38-B263-AC6F3DDB5716}"/>
    <cellStyle name="Comma 4" xfId="35" xr:uid="{50F703E1-A2A3-4608-BE57-E1D3100F8D50}"/>
    <cellStyle name="Comma 4 2" xfId="46" xr:uid="{61A1574E-ABD2-4B85-8071-4CCA3345BAF9}"/>
    <cellStyle name="Comma 4 3" xfId="143" xr:uid="{FCBCA8EE-38B5-4E55-900F-3D5434EF4E02}"/>
    <cellStyle name="Comma 4 3 2" xfId="197" xr:uid="{B3C31DB4-52E1-4826-BF44-06A2D01E8AD6}"/>
    <cellStyle name="Comma 4 4" xfId="166" xr:uid="{8E52885E-4F54-478A-8D4B-EB20141F7658}"/>
    <cellStyle name="Comma 4 4 2" xfId="208" xr:uid="{E404D594-6D93-43B4-BD00-702D52A00A7F}"/>
    <cellStyle name="Comma 4 5" xfId="105" xr:uid="{E88D844C-F04E-47E5-AD62-FC156521D021}"/>
    <cellStyle name="Comma 5" xfId="56" xr:uid="{145AE8EE-AEB9-405F-8118-C14A707F986E}"/>
    <cellStyle name="Comma 6" xfId="39" xr:uid="{BED93EB0-6EB7-4575-A7D0-E5781C5ED41B}"/>
    <cellStyle name="Comma 6 2" xfId="154" xr:uid="{30E2FA31-3C34-4EF5-B7E5-6E66A159678C}"/>
    <cellStyle name="Comma 6 3" xfId="113" xr:uid="{0FC434DA-C9EA-47AE-B153-83F58A556B4D}"/>
    <cellStyle name="Comma 7" xfId="61" xr:uid="{90060131-3FCC-455D-B0CD-6A61D6F18F78}"/>
    <cellStyle name="Comma 7 2" xfId="119" xr:uid="{B4CA2559-B035-4F93-9269-F0056750B42D}"/>
    <cellStyle name="Comma 7 3" xfId="184" xr:uid="{85EC36BB-3699-4BF4-8D55-79E1FEC16922}"/>
    <cellStyle name="Comma 8" xfId="76" xr:uid="{72F4761F-F110-4C1E-A7D3-0A952FDCAAD0}"/>
    <cellStyle name="Comma 9" xfId="84" xr:uid="{4B56FAD7-4326-40A9-B715-4D7A1270F9DD}"/>
    <cellStyle name="Comma 9 2" xfId="140" xr:uid="{60CC1CE8-AA97-4837-BF85-643683C676CA}"/>
    <cellStyle name="Currency" xfId="2" builtinId="4"/>
    <cellStyle name="Currency 10" xfId="145" xr:uid="{CA2DCB59-9AB8-447C-9F3D-B5FC9C2A8A95}"/>
    <cellStyle name="Currency 11" xfId="147" xr:uid="{5E45E280-0821-44ED-94F5-98E9D3C127EF}"/>
    <cellStyle name="Currency 12" xfId="174" xr:uid="{3C402DCA-A81C-430C-B7BA-B65561906C1F}"/>
    <cellStyle name="Currency 12 2" xfId="216" xr:uid="{84A5815D-B2C1-470D-8F0E-7F54EE44075E}"/>
    <cellStyle name="Currency 13" xfId="178" xr:uid="{9D7C6499-44E1-401A-9572-CCE1185009F2}"/>
    <cellStyle name="Currency 13 2" xfId="219" xr:uid="{A94EB549-CA47-4FD8-B92D-6E9C2C295989}"/>
    <cellStyle name="Currency 2" xfId="14" xr:uid="{00000000-0005-0000-0000-000003000000}"/>
    <cellStyle name="Currency 2 2" xfId="57" xr:uid="{A8BD0344-3B7C-4969-ACD2-BC0C087CB027}"/>
    <cellStyle name="Currency 2 2 2" xfId="86" xr:uid="{42AE1E6A-F5B3-4882-967D-17E9E8897C7E}"/>
    <cellStyle name="Currency 2 3" xfId="83" xr:uid="{96638423-A141-484C-9178-381308BA60E8}"/>
    <cellStyle name="Currency 2 3 2" xfId="137" xr:uid="{4DB68830-0357-4A2F-BFEF-BC69139D8F80}"/>
    <cellStyle name="Currency 2 3 3" xfId="195" xr:uid="{1C183B4F-69D7-4527-9B79-5A2EA59E8282}"/>
    <cellStyle name="Currency 3" xfId="38" xr:uid="{B7ED6E06-A3DD-4CB4-BD97-3F7D77CD13F0}"/>
    <cellStyle name="Currency 3 2" xfId="64" xr:uid="{0209FC29-7C1E-47C0-A918-AA3B9A12039E}"/>
    <cellStyle name="Currency 3 2 2" xfId="72" xr:uid="{4C7285C2-A485-4D0B-BE8B-EFA0D3109806}"/>
    <cellStyle name="Currency 3 3" xfId="153" xr:uid="{51700AF1-1657-4681-8ED6-564651BADDAA}"/>
    <cellStyle name="Currency 3 4" xfId="171" xr:uid="{F7F3EE76-3FC3-4DBA-998F-EA27BAF4C22D}"/>
    <cellStyle name="Currency 3 4 2" xfId="213" xr:uid="{111CF2C7-C168-4F62-904A-00AA9D3A5941}"/>
    <cellStyle name="Currency 3 5" xfId="106" xr:uid="{9C1C952A-CB8D-4A3C-92EA-1B2B6DE445D2}"/>
    <cellStyle name="Currency 3 6" xfId="222" xr:uid="{C59DA8BB-9E59-4765-8AD1-B2AB167864F6}"/>
    <cellStyle name="Currency 4" xfId="42" xr:uid="{B9DF8EF0-0F13-4447-A3F0-1E83AE4026FC}"/>
    <cellStyle name="Currency 4 2" xfId="74" xr:uid="{5A77E583-5985-4917-8D02-372DD6BEDF72}"/>
    <cellStyle name="Currency 4 3" xfId="156" xr:uid="{08B875CB-9E8B-4650-B4D4-BD30EB7378BF}"/>
    <cellStyle name="Currency 4 4" xfId="112" xr:uid="{ECCB2235-F836-4559-AB53-D3D4428127A3}"/>
    <cellStyle name="Currency 5" xfId="43" xr:uid="{990A0355-33CB-43C2-B96D-7A85812462FD}"/>
    <cellStyle name="Currency 5 2" xfId="117" xr:uid="{7775ACF7-9AE1-40F3-B7D1-6034A65F75CD}"/>
    <cellStyle name="Currency 6" xfId="45" xr:uid="{F212B8E7-08C5-4B17-B9E1-6EF3F86562E1}"/>
    <cellStyle name="Currency 6 2" xfId="121" xr:uid="{81EEE35C-1C15-4060-9F52-8A7512FDA107}"/>
    <cellStyle name="Currency 6 3" xfId="185" xr:uid="{753A4458-9108-4C1B-B073-6347CC016445}"/>
    <cellStyle name="Currency 7" xfId="60" xr:uid="{82F62320-CEBC-45A0-9EF4-C9D833997D78}"/>
    <cellStyle name="Currency 7 2" xfId="130" xr:uid="{8776D119-0E8D-40C4-8B1F-EE75496F52E0}"/>
    <cellStyle name="Currency 7 3" xfId="193" xr:uid="{057BFA61-1396-41CB-842D-9F902CA0B106}"/>
    <cellStyle name="Currency 8" xfId="70" xr:uid="{4FEE9DC8-5822-40D9-AAB3-C9537A4B2D0E}"/>
    <cellStyle name="Currency 9" xfId="93" xr:uid="{C3737DBC-57A7-45C0-A919-6C33B7BF19D9}"/>
    <cellStyle name="Currency 9 2" xfId="138" xr:uid="{E70DCB6D-A1F5-4BA5-90C0-E268CFDEB21D}"/>
    <cellStyle name="Followed Hyperlink" xfId="9" builtinId="9" customBuiltin="1"/>
    <cellStyle name="Followed Hyperlink 2" xfId="10" xr:uid="{00000000-0005-0000-0000-000005000000}"/>
    <cellStyle name="Hyperlink" xfId="8" builtinId="8" customBuiltin="1"/>
    <cellStyle name="Hyperlink 2" xfId="11" xr:uid="{00000000-0005-0000-0000-000007000000}"/>
    <cellStyle name="Manual-Input" xfId="15" xr:uid="{00000000-0005-0000-0000-000008000000}"/>
    <cellStyle name="Normal" xfId="0" builtinId="0"/>
    <cellStyle name="Normal 10" xfId="68" xr:uid="{467577A5-B395-44E2-AE7C-F0F328E92AC3}"/>
    <cellStyle name="Normal 10 2" xfId="146" xr:uid="{17170973-334C-45C9-A9A7-2E1748165A10}"/>
    <cellStyle name="Normal 11" xfId="90" xr:uid="{FD9928F6-02A3-406A-9A28-55302094D05B}"/>
    <cellStyle name="Normal 11 2" xfId="157" xr:uid="{02BE9FE3-B7D7-478B-92F4-57EC10960BA7}"/>
    <cellStyle name="Normal 11 3" xfId="199" xr:uid="{A082064B-B487-469C-9EF6-3BC6E4CCA66C}"/>
    <cellStyle name="Normal 12" xfId="94" xr:uid="{01903B35-617F-4B8A-8A15-D720F934806F}"/>
    <cellStyle name="Normal 12 2" xfId="172" xr:uid="{63F5F596-BEAE-4C55-906D-32D578D96929}"/>
    <cellStyle name="Normal 12 3" xfId="214" xr:uid="{C85AF6B1-3CEB-4364-8CE4-DA90D529FE78}"/>
    <cellStyle name="Normal 13" xfId="176" xr:uid="{0A2CC56B-47A2-4EBE-96C1-DBBD60F17A83}"/>
    <cellStyle name="Normal 13 2" xfId="217" xr:uid="{726E8DF5-7C60-4FB4-888A-F23EF83D41C8}"/>
    <cellStyle name="Normal 14" xfId="230" xr:uid="{903614AF-6ED5-4823-B03E-7CF7F7CF8C07}"/>
    <cellStyle name="Normal 16" xfId="96" xr:uid="{FD32D3B7-1A99-4A1A-9A1E-6F15DEA8B033}"/>
    <cellStyle name="Normal 2" xfId="16" xr:uid="{00000000-0005-0000-0000-00000A000000}"/>
    <cellStyle name="Normal 2 10" xfId="149" xr:uid="{9BDB610F-09C1-4D4A-B548-B7620D9AFCC2}"/>
    <cellStyle name="Normal 2 10 3 8 2" xfId="100" xr:uid="{42226728-BE44-432B-A809-44B4D240E84F}"/>
    <cellStyle name="Normal 2 10 3 8 2 2" xfId="182" xr:uid="{59EFD091-70CB-4EF9-8042-3F87B4B9CC99}"/>
    <cellStyle name="Normal 2 11" xfId="159" xr:uid="{BC65EF2A-F9F7-4C7C-84CD-2A63A1950DB8}"/>
    <cellStyle name="Normal 2 11 2" xfId="201" xr:uid="{6151E37E-873F-4E0F-97FF-164B7FF45DA4}"/>
    <cellStyle name="Normal 2 12" xfId="175" xr:uid="{67790A75-AD28-4BB3-B004-BC8F4F5E177A}"/>
    <cellStyle name="Normal 2 13" xfId="235" xr:uid="{D11D6A6E-0E0C-4337-9C38-2D357DE59658}"/>
    <cellStyle name="Normal 2 2" xfId="17" xr:uid="{00000000-0005-0000-0000-00000B000000}"/>
    <cellStyle name="Normal 2 2 2" xfId="54" xr:uid="{251429D5-6D0C-430A-8432-3CD5687C14D0}"/>
    <cellStyle name="Normal 2 2 2 2" xfId="88" xr:uid="{57D75D10-35EF-4981-BA50-266D7017D7C7}"/>
    <cellStyle name="Normal 2 2 2 2 2" xfId="163" xr:uid="{3C3D1454-3AC6-4B7B-BD1F-D13A9DD19665}"/>
    <cellStyle name="Normal 2 2 2 2 3" xfId="205" xr:uid="{71EC4AC3-50C7-42E9-9869-E2AFF45C9AFD}"/>
    <cellStyle name="Normal 2 2 3" xfId="85" xr:uid="{B669DD6C-8B7D-4F3D-A4A2-9EEF239DE603}"/>
    <cellStyle name="Normal 2 2 3 2" xfId="161" xr:uid="{110F6399-0387-4FFF-BAD7-61F081116817}"/>
    <cellStyle name="Normal 2 2 3 3" xfId="203" xr:uid="{2DD54980-C7C9-4307-846A-66794333D32D}"/>
    <cellStyle name="Normal 2 3" xfId="18" xr:uid="{00000000-0005-0000-0000-00000C000000}"/>
    <cellStyle name="Normal 2 3 2" xfId="26" xr:uid="{13BFB77E-EAD4-4049-BCC6-3C775E6EB7BA}"/>
    <cellStyle name="Normal 2 4" xfId="23" xr:uid="{E797A55D-58C3-4D3D-872F-5002F02696D1}"/>
    <cellStyle name="Normal 2 4 2" xfId="101" xr:uid="{ABA33C1B-168B-4881-8EFB-0D37CC8FF38A}"/>
    <cellStyle name="Normal 2 5" xfId="51" xr:uid="{89CE337F-7C38-4103-AA30-E966E46D4B55}"/>
    <cellStyle name="Normal 2 5 2" xfId="152" xr:uid="{0C92A0A1-C49D-4CCC-A5D4-AE14E8006D57}"/>
    <cellStyle name="Normal 2 5 3" xfId="114" xr:uid="{A1763CEA-EA60-4814-B49E-9432451FF750}"/>
    <cellStyle name="Normal 2 6" xfId="62" xr:uid="{9B9B98B3-86FC-4771-94B3-149FB2E54499}"/>
    <cellStyle name="Normal 2 6 2" xfId="116" xr:uid="{2DD83BD7-E038-4ED5-80B2-D5706A5685F2}"/>
    <cellStyle name="Normal 2 7" xfId="79" xr:uid="{C825ACEE-7807-4E36-8DAA-1C52A88C05CC}"/>
    <cellStyle name="Normal 2 7 2" xfId="120" xr:uid="{AB8D958A-0D36-4240-8B4A-00130E07A0AD}"/>
    <cellStyle name="Normal 2 8" xfId="81" xr:uid="{9DACD38E-D94B-4ACE-9846-5371C71BBB6E}"/>
    <cellStyle name="Normal 2 8 2" xfId="125" xr:uid="{06AC6EA4-2F2A-4F04-9F14-77B3A8DC29DE}"/>
    <cellStyle name="Normal 2 8 3" xfId="188" xr:uid="{4A58EB82-8B59-4BB7-92C9-64422A3AB968}"/>
    <cellStyle name="Normal 2 8 4" xfId="241" xr:uid="{C4C0836F-368F-46A9-9A9D-BFFD04A0A123}"/>
    <cellStyle name="Normal 2 9" xfId="135" xr:uid="{C9597D42-04DB-4557-8B7D-2B5EF14F3348}"/>
    <cellStyle name="Normal 3" xfId="29" xr:uid="{8E1141DB-B0F0-4993-ADB7-0F2DB08FAE7D}"/>
    <cellStyle name="Normal 3 2" xfId="36" xr:uid="{5FF9D95F-0084-4447-BED0-0B2AB404E551}"/>
    <cellStyle name="Normal 3 2 2" xfId="48" xr:uid="{BF8DC018-C567-4695-B056-D00C980E675C}"/>
    <cellStyle name="Normal 3 2 2 2" xfId="134" xr:uid="{5B1AE1CA-43A0-48CD-83FE-BA24676E2B64}"/>
    <cellStyle name="Normal 3 2 2 3" xfId="225" xr:uid="{826BA0AC-6CB3-4A63-8935-0D095CFF6679}"/>
    <cellStyle name="Normal 3 2 3" xfId="73" xr:uid="{35114FBC-B68D-46F2-AAB9-B0391D925956}"/>
    <cellStyle name="Normal 3 2 3 2" xfId="139" xr:uid="{37B4BE2F-2EFA-43D2-9E30-88CE18BCEBC2}"/>
    <cellStyle name="Normal 3 2 4" xfId="151" xr:uid="{4E09818B-201B-41B3-B0E3-2F308328AD5A}"/>
    <cellStyle name="Normal 3 2 5" xfId="102" xr:uid="{033E3492-CB46-4A0D-8D51-50A38EDE367F}"/>
    <cellStyle name="Normal 3 3" xfId="75" xr:uid="{C792F4C2-454A-42A4-93D9-16371B0EE4BD}"/>
    <cellStyle name="Normal 3 4" xfId="82" xr:uid="{94FC497C-49B3-49C0-835A-A4EA19F8FFB6}"/>
    <cellStyle name="Normal 3 4 2" xfId="136" xr:uid="{92EFBA8E-4CA5-4786-BA2F-EC2E84539E58}"/>
    <cellStyle name="Normal 3 4 3" xfId="194" xr:uid="{3B4115EC-2D2C-4006-BE41-040FCB6C9938}"/>
    <cellStyle name="Normal 3 5" xfId="97" xr:uid="{885120B4-534F-4422-AA01-099E32B44290}"/>
    <cellStyle name="Normal 3 6" xfId="179" xr:uid="{FE98F292-1E77-467C-A890-91EE22DD34E6}"/>
    <cellStyle name="Normal 3 7" xfId="228" xr:uid="{5F4FA7ED-0228-479C-84DC-998A45EEF3FA}"/>
    <cellStyle name="Normal 4" xfId="32" xr:uid="{BFAE8F36-A889-4822-BD25-53CC8AABD7D6}"/>
    <cellStyle name="Normal 4 2" xfId="110" xr:uid="{2489A568-B766-4091-B11C-263176520AC6}"/>
    <cellStyle name="Normal 4 3" xfId="165" xr:uid="{CA312F3D-B8E5-48AF-8278-F76F9A52F241}"/>
    <cellStyle name="Normal 4 3 2" xfId="207" xr:uid="{B54CEA58-914F-4021-982F-0267A491800C}"/>
    <cellStyle name="Normal 4 4" xfId="108" xr:uid="{014B9E7F-A89C-4CD2-B646-4F32C165D0B6}"/>
    <cellStyle name="Normal 48" xfId="27" xr:uid="{4C1E72DD-D415-4440-AB3E-64630B5C8EF3}"/>
    <cellStyle name="Normal 48 2" xfId="128" xr:uid="{86043055-86D1-4E21-A40A-7D5D8CFAD714}"/>
    <cellStyle name="Normal 48 3" xfId="191" xr:uid="{F4A99E02-6AEF-45C4-9F6E-20FB14F55650}"/>
    <cellStyle name="Normal 5" xfId="34" xr:uid="{4A7EBB00-6487-4174-AC8A-4CA8BD215231}"/>
    <cellStyle name="Normal 5 2" xfId="47" xr:uid="{3C9A096B-C419-4732-ACAE-6484466AFD0B}"/>
    <cellStyle name="Normal 5 3" xfId="142" xr:uid="{5621FE96-A9CC-4027-9047-DE0D93183004}"/>
    <cellStyle name="Normal 5 3 2" xfId="196" xr:uid="{231F98C9-5F91-4C57-827C-62C4694E04C6}"/>
    <cellStyle name="Normal 5 4" xfId="111" xr:uid="{94FD546B-33D7-49AF-BF50-E8CE429D605F}"/>
    <cellStyle name="Normal 6" xfId="12" xr:uid="{00000000-0005-0000-0000-00000D000000}"/>
    <cellStyle name="Normal 6 2" xfId="69" xr:uid="{9304F450-A109-4208-92D3-BE3134199D6B}"/>
    <cellStyle name="Normal 6 2 2" xfId="89" xr:uid="{8F9501C3-A527-409C-B4FA-819977E04616}"/>
    <cellStyle name="Normal 6 2 2 2" xfId="164" xr:uid="{9659D7D2-0070-4E8C-AE20-D9003C696ED3}"/>
    <cellStyle name="Normal 6 2 2 3" xfId="206" xr:uid="{008354B8-122B-4A6B-A83C-859A095A75E8}"/>
    <cellStyle name="Normal 6 3" xfId="87" xr:uid="{86919E86-72D1-4E65-920B-DCE22123E85A}"/>
    <cellStyle name="Normal 6 3 2" xfId="162" xr:uid="{81A21AAC-A679-48E2-A687-F010A4C1B9E5}"/>
    <cellStyle name="Normal 6 3 3" xfId="204" xr:uid="{D888AA02-6AB6-4800-9E51-F0F6B9CF4D08}"/>
    <cellStyle name="Normal 7" xfId="49" xr:uid="{87919A2E-522D-4EDD-A1A5-2BBD1D64F684}"/>
    <cellStyle name="Normal 7 2" xfId="115" xr:uid="{1A18957D-7747-425F-8D82-CE0FCFBAAA7C}"/>
    <cellStyle name="Normal 73" xfId="40" xr:uid="{83FB1B50-6B45-490B-8D2A-2DAC3A830946}"/>
    <cellStyle name="Normal 73 2" xfId="144" xr:uid="{782FE5DD-8249-4007-AB57-469C5675868C}"/>
    <cellStyle name="Normal 73 3" xfId="198" xr:uid="{F86D1FDD-84E2-44F7-B3CB-09B41CE589DC}"/>
    <cellStyle name="Normal 77 2" xfId="168" xr:uid="{2FE59172-DDAA-40D6-A17C-92270C5B7C46}"/>
    <cellStyle name="Normal 77 2 2" xfId="210" xr:uid="{AC6820A8-CF0B-4858-8305-EA16D7C4E27E}"/>
    <cellStyle name="Normal 8" xfId="44" xr:uid="{484A1372-76FA-4481-8C5F-9F50F97F5A3B}"/>
    <cellStyle name="Normal 8 2" xfId="122" xr:uid="{BD0516C1-C1EB-47EE-96DA-E8B5EDF52032}"/>
    <cellStyle name="Normal 8 3" xfId="118" xr:uid="{93D84CA7-E82B-4BAF-8095-E75CAA8849F8}"/>
    <cellStyle name="Normal 8 4" xfId="183" xr:uid="{076FDECA-0D0F-493D-90B9-D76211825A05}"/>
    <cellStyle name="Normal 9" xfId="59" xr:uid="{08226348-9C84-4D2C-87D7-7F0BBE7528AC}"/>
    <cellStyle name="Normal 9 2" xfId="132" xr:uid="{F65227D4-C957-414B-828A-1E2045DE607B}"/>
    <cellStyle name="Normal_1296GasLabor$" xfId="236" xr:uid="{445B6E3B-D472-45B2-96B4-A80806983D2D}"/>
    <cellStyle name="Normal_Elegasalloc" xfId="224" xr:uid="{D100C291-35EB-45A4-913B-F94241381F3C}"/>
    <cellStyle name="Normal_execcompR1" xfId="238" xr:uid="{EF0EF844-AC7C-4498-9613-6DF6E290CE50}"/>
    <cellStyle name="Normal_IDElec6_97" xfId="3" xr:uid="{00000000-0005-0000-0000-00000E000000}"/>
    <cellStyle name="Normal_IDGas6_97" xfId="4" xr:uid="{00000000-0005-0000-0000-00000F000000}"/>
    <cellStyle name="Normal_Incent2007recon" xfId="240" xr:uid="{430BB644-64D9-4F2E-BEE0-C2A85640789A}"/>
    <cellStyle name="Normal_LaborAdj%" xfId="237" xr:uid="{EEE96F37-49DF-40F3-88CF-3C3156B9DF89}"/>
    <cellStyle name="Normal_RestateDebtInt1200case 2" xfId="13" xr:uid="{00000000-0005-0000-0000-000010000000}"/>
    <cellStyle name="Normal_SCHEDULE27 2008 YTD" xfId="226" xr:uid="{8162FD83-32AF-406C-A252-ADC4D802777F}"/>
    <cellStyle name="Normal_Unassigned alloc wks" xfId="221" xr:uid="{6B6B5047-092F-4C3C-B984-5D061968CBAA}"/>
    <cellStyle name="Normal_uncollectcalc" xfId="223" xr:uid="{A36EDB71-FCAB-43E2-8997-7EA157B603C3}"/>
    <cellStyle name="Normal_WAElec6_97" xfId="5" xr:uid="{00000000-0005-0000-0000-000011000000}"/>
    <cellStyle name="Normal_WAElec6_97 2" xfId="20" xr:uid="{00000000-0005-0000-0000-000012000000}"/>
    <cellStyle name="Normal_WAGas6_97" xfId="6" xr:uid="{00000000-0005-0000-0000-000013000000}"/>
    <cellStyle name="Normal_WAGas6_97 2" xfId="22" xr:uid="{00000000-0005-0000-0000-000014000000}"/>
    <cellStyle name="Percent" xfId="7" builtinId="5"/>
    <cellStyle name="Percent 10" xfId="148" xr:uid="{420DFAC6-393E-454A-BB0D-C629DE075D2A}"/>
    <cellStyle name="Percent 11" xfId="231" xr:uid="{222A8100-7788-451C-BF00-B2424A3C3E2E}"/>
    <cellStyle name="Percent 2" xfId="19" xr:uid="{00000000-0005-0000-0000-000016000000}"/>
    <cellStyle name="Percent 2 2" xfId="24" xr:uid="{C1672843-4B24-46EC-9F1B-7B4B9B54103C}"/>
    <cellStyle name="Percent 2 2 2" xfId="65" xr:uid="{1E71B0E7-DCD7-4D51-8F5E-F69F8D757153}"/>
    <cellStyle name="Percent 2 2 3" xfId="104" xr:uid="{F1782B59-405E-4BD6-8B9D-8BD7F32E5684}"/>
    <cellStyle name="Percent 2 3" xfId="53" xr:uid="{DC810CDE-1002-448F-BDE6-60E1AF23763D}"/>
    <cellStyle name="Percent 2 3 2" xfId="126" xr:uid="{BDBFC2CD-6C1E-417B-A062-B0AF65D9D19E}"/>
    <cellStyle name="Percent 2 3 3" xfId="189" xr:uid="{BE2A48A0-C687-46D4-8F0E-B0A7D6EE1652}"/>
    <cellStyle name="Percent 2 4" xfId="232" xr:uid="{BD82B746-27C9-40E8-9AE5-E76DD79F5B8D}"/>
    <cellStyle name="Percent 3" xfId="31" xr:uid="{DBD241F3-AC6C-4E8D-A7E2-D85B146A2F8C}"/>
    <cellStyle name="Percent 3 2" xfId="77" xr:uid="{63D9D2F2-1630-4CB3-A5C3-099743B50AAF}"/>
    <cellStyle name="Percent 3 3" xfId="155" xr:uid="{A01FB66B-12BF-48EF-A707-10E18BB4EE92}"/>
    <cellStyle name="Percent 3 4" xfId="99" xr:uid="{691EBE17-5EED-48A8-A17D-2CD8873F405E}"/>
    <cellStyle name="Percent 3 5" xfId="181" xr:uid="{71306E9B-A2BB-4E1B-96E5-57E889991054}"/>
    <cellStyle name="Percent 35" xfId="28" xr:uid="{07CB7A5B-825D-4378-B519-64C51377C233}"/>
    <cellStyle name="Percent 35 2" xfId="129" xr:uid="{5636DF56-8AAB-4914-B7A4-C7DE2DCA8CBA}"/>
    <cellStyle name="Percent 35 3" xfId="192" xr:uid="{2E0D8824-82C9-4287-A0E3-281E1FF15344}"/>
    <cellStyle name="Percent 4" xfId="41" xr:uid="{A176D01B-C0A7-4CEF-988D-6045C08906A2}"/>
    <cellStyle name="Percent 4 2" xfId="167" xr:uid="{BE886CE4-6F0F-4800-9D44-789912E19DB8}"/>
    <cellStyle name="Percent 4 2 2" xfId="209" xr:uid="{023BA332-2426-4BA4-B218-F7BE809D0EB2}"/>
    <cellStyle name="Percent 5" xfId="50" xr:uid="{5F324DCC-817D-4C89-8C8E-F2A33BF43B11}"/>
    <cellStyle name="Percent 5 2" xfId="107" xr:uid="{733C13A1-7C78-4FBC-9AF7-41ECCF5C3070}"/>
    <cellStyle name="Percent 6" xfId="58" xr:uid="{BE44750B-F501-44D9-B670-BE406565F66B}"/>
    <cellStyle name="Percent 7" xfId="63" xr:uid="{AD6A8542-D7FB-4784-9F1C-187BF7CB068E}"/>
    <cellStyle name="Percent 8" xfId="71" xr:uid="{A5824FD7-ABA6-4DA3-BDB6-2F7CF4164E3C}"/>
    <cellStyle name="Percent 8 2" xfId="131" xr:uid="{074744FD-CB3D-4D4E-A317-E5650FFB0666}"/>
    <cellStyle name="Percent 8 3" xfId="239" xr:uid="{BEB79B91-C0BC-449B-9A9B-646FE43ECB30}"/>
    <cellStyle name="Percent 9" xfId="78" xr:uid="{004642FB-A00A-4E39-99A7-70E2051A0870}"/>
    <cellStyle name="Percent 9 2" xfId="133" xr:uid="{46DD83B1-ACEF-4ACD-B4AB-C4CEE39BA073}"/>
    <cellStyle name="Total" xfId="227" builtin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eetMetadata" Target="metadata.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56029</xdr:colOff>
      <xdr:row>83</xdr:row>
      <xdr:rowOff>27116</xdr:rowOff>
    </xdr:from>
    <xdr:to>
      <xdr:col>24</xdr:col>
      <xdr:colOff>1255059</xdr:colOff>
      <xdr:row>83</xdr:row>
      <xdr:rowOff>705971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5464117" y="12555292"/>
          <a:ext cx="5759824" cy="67885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(1) The Restated TOTAL column does not represent 06/30/2023 Test Period Commission Basis results of operation on a normalized basis (CBR basis). Differences exists due to inclusion of proposed cost of debt (pro forma versus CBR actual cost of debt) impacting Adjustment 2.14 above, and the inclusion</a:t>
          </a:r>
          <a:r>
            <a:rPr lang="en-US" sz="900" baseline="0">
              <a:solidFill>
                <a:schemeClr val="dk1"/>
              </a:solidFill>
              <a:effectLst/>
              <a:latin typeface="+mn-lt"/>
              <a:ea typeface="+mn-ea"/>
              <a:cs typeface="+mn-cs"/>
            </a:rPr>
            <a:t> of Restate 06.30.2023 AMA Rate base to EOP adjustment 2.15.</a:t>
          </a:r>
          <a:endParaRPr lang="en-US" sz="900">
            <a:solidFill>
              <a:schemeClr val="dk1"/>
            </a:solidFill>
            <a:effectLst/>
            <a:latin typeface="+mn-lt"/>
            <a:ea typeface="+mn-ea"/>
            <a:cs typeface="+mn-cs"/>
          </a:endParaRP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29</xdr:row>
      <xdr:rowOff>28575</xdr:rowOff>
    </xdr:from>
    <xdr:to>
      <xdr:col>13</xdr:col>
      <xdr:colOff>85725</xdr:colOff>
      <xdr:row>30</xdr:row>
      <xdr:rowOff>0</xdr:rowOff>
    </xdr:to>
    <xdr:cxnSp macro="">
      <xdr:nvCxnSpPr>
        <xdr:cNvPr id="2" name="Straight Arrow Connector 1">
          <a:extLst>
            <a:ext uri="{FF2B5EF4-FFF2-40B4-BE49-F238E27FC236}">
              <a16:creationId xmlns:a16="http://schemas.microsoft.com/office/drawing/2014/main" id="{8D2C64BA-6600-48CC-9293-E186A1A52AF3}"/>
            </a:ext>
          </a:extLst>
        </xdr:cNvPr>
        <xdr:cNvCxnSpPr/>
      </xdr:nvCxnSpPr>
      <xdr:spPr bwMode="auto">
        <a:xfrm>
          <a:off x="9725025" y="5438775"/>
          <a:ext cx="0" cy="1466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17</xdr:col>
      <xdr:colOff>85725</xdr:colOff>
      <xdr:row>29</xdr:row>
      <xdr:rowOff>28575</xdr:rowOff>
    </xdr:from>
    <xdr:to>
      <xdr:col>17</xdr:col>
      <xdr:colOff>85725</xdr:colOff>
      <xdr:row>30</xdr:row>
      <xdr:rowOff>0</xdr:rowOff>
    </xdr:to>
    <xdr:cxnSp macro="">
      <xdr:nvCxnSpPr>
        <xdr:cNvPr id="3" name="Straight Arrow Connector 2">
          <a:extLst>
            <a:ext uri="{FF2B5EF4-FFF2-40B4-BE49-F238E27FC236}">
              <a16:creationId xmlns:a16="http://schemas.microsoft.com/office/drawing/2014/main" id="{88B57222-0140-43D6-B83F-22E3BB2AFB96}"/>
            </a:ext>
          </a:extLst>
        </xdr:cNvPr>
        <xdr:cNvCxnSpPr/>
      </xdr:nvCxnSpPr>
      <xdr:spPr bwMode="auto">
        <a:xfrm>
          <a:off x="12894945" y="5438775"/>
          <a:ext cx="0" cy="1466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10</xdr:col>
      <xdr:colOff>476250</xdr:colOff>
      <xdr:row>32</xdr:row>
      <xdr:rowOff>47625</xdr:rowOff>
    </xdr:from>
    <xdr:to>
      <xdr:col>10</xdr:col>
      <xdr:colOff>476250</xdr:colOff>
      <xdr:row>45</xdr:row>
      <xdr:rowOff>152400</xdr:rowOff>
    </xdr:to>
    <xdr:cxnSp macro="">
      <xdr:nvCxnSpPr>
        <xdr:cNvPr id="4" name="Straight Arrow Connector 3">
          <a:extLst>
            <a:ext uri="{FF2B5EF4-FFF2-40B4-BE49-F238E27FC236}">
              <a16:creationId xmlns:a16="http://schemas.microsoft.com/office/drawing/2014/main" id="{413EB624-0A55-46B2-B03A-1A2AC55D9540}"/>
            </a:ext>
          </a:extLst>
        </xdr:cNvPr>
        <xdr:cNvCxnSpPr/>
      </xdr:nvCxnSpPr>
      <xdr:spPr bwMode="auto">
        <a:xfrm>
          <a:off x="7981950" y="5975985"/>
          <a:ext cx="0" cy="23145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20</xdr:col>
      <xdr:colOff>685800</xdr:colOff>
      <xdr:row>7</xdr:row>
      <xdr:rowOff>104775</xdr:rowOff>
    </xdr:from>
    <xdr:to>
      <xdr:col>24</xdr:col>
      <xdr:colOff>571500</xdr:colOff>
      <xdr:row>7</xdr:row>
      <xdr:rowOff>104775</xdr:rowOff>
    </xdr:to>
    <xdr:cxnSp macro="">
      <xdr:nvCxnSpPr>
        <xdr:cNvPr id="5" name="Straight Arrow Connector 4">
          <a:extLst>
            <a:ext uri="{FF2B5EF4-FFF2-40B4-BE49-F238E27FC236}">
              <a16:creationId xmlns:a16="http://schemas.microsoft.com/office/drawing/2014/main" id="{32FF7535-FCDA-4782-869F-C39A7E652946}"/>
            </a:ext>
          </a:extLst>
        </xdr:cNvPr>
        <xdr:cNvCxnSpPr/>
      </xdr:nvCxnSpPr>
      <xdr:spPr bwMode="auto">
        <a:xfrm>
          <a:off x="15781020" y="1720215"/>
          <a:ext cx="293370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63</xdr:col>
      <xdr:colOff>333375</xdr:colOff>
      <xdr:row>4</xdr:row>
      <xdr:rowOff>85725</xdr:rowOff>
    </xdr:from>
    <xdr:to>
      <xdr:col>66</xdr:col>
      <xdr:colOff>771525</xdr:colOff>
      <xdr:row>4</xdr:row>
      <xdr:rowOff>85725</xdr:rowOff>
    </xdr:to>
    <xdr:cxnSp macro="">
      <xdr:nvCxnSpPr>
        <xdr:cNvPr id="6" name="Straight Arrow Connector 5">
          <a:extLst>
            <a:ext uri="{FF2B5EF4-FFF2-40B4-BE49-F238E27FC236}">
              <a16:creationId xmlns:a16="http://schemas.microsoft.com/office/drawing/2014/main" id="{A8A4931E-BB77-44D4-AD9E-87CE3B842CED}"/>
            </a:ext>
          </a:extLst>
        </xdr:cNvPr>
        <xdr:cNvCxnSpPr/>
      </xdr:nvCxnSpPr>
      <xdr:spPr bwMode="auto">
        <a:xfrm>
          <a:off x="48278415" y="1175385"/>
          <a:ext cx="306705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85725</xdr:colOff>
      <xdr:row>5</xdr:row>
      <xdr:rowOff>28575</xdr:rowOff>
    </xdr:from>
    <xdr:to>
      <xdr:col>60</xdr:col>
      <xdr:colOff>85725</xdr:colOff>
      <xdr:row>49</xdr:row>
      <xdr:rowOff>66675</xdr:rowOff>
    </xdr:to>
    <xdr:cxnSp macro="">
      <xdr:nvCxnSpPr>
        <xdr:cNvPr id="7" name="Straight Arrow Connector 6">
          <a:extLst>
            <a:ext uri="{FF2B5EF4-FFF2-40B4-BE49-F238E27FC236}">
              <a16:creationId xmlns:a16="http://schemas.microsoft.com/office/drawing/2014/main" id="{8F3255A0-304F-46DD-9D34-F78689FE9DAC}"/>
            </a:ext>
          </a:extLst>
        </xdr:cNvPr>
        <xdr:cNvCxnSpPr/>
      </xdr:nvCxnSpPr>
      <xdr:spPr bwMode="auto">
        <a:xfrm>
          <a:off x="45119925" y="1293495"/>
          <a:ext cx="0" cy="75819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95250</xdr:colOff>
      <xdr:row>12</xdr:row>
      <xdr:rowOff>47625</xdr:rowOff>
    </xdr:from>
    <xdr:to>
      <xdr:col>68</xdr:col>
      <xdr:colOff>95250</xdr:colOff>
      <xdr:row>22</xdr:row>
      <xdr:rowOff>57150</xdr:rowOff>
    </xdr:to>
    <xdr:cxnSp macro="">
      <xdr:nvCxnSpPr>
        <xdr:cNvPr id="8" name="Straight Arrow Connector 7">
          <a:extLst>
            <a:ext uri="{FF2B5EF4-FFF2-40B4-BE49-F238E27FC236}">
              <a16:creationId xmlns:a16="http://schemas.microsoft.com/office/drawing/2014/main" id="{1DC45E8A-1FD8-44C9-AF0B-96E17C3177C7}"/>
            </a:ext>
          </a:extLst>
        </xdr:cNvPr>
        <xdr:cNvCxnSpPr/>
      </xdr:nvCxnSpPr>
      <xdr:spPr bwMode="auto">
        <a:xfrm>
          <a:off x="51758850" y="2524125"/>
          <a:ext cx="0" cy="171640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209550</xdr:colOff>
      <xdr:row>25</xdr:row>
      <xdr:rowOff>76200</xdr:rowOff>
    </xdr:from>
    <xdr:to>
      <xdr:col>68</xdr:col>
      <xdr:colOff>209550</xdr:colOff>
      <xdr:row>35</xdr:row>
      <xdr:rowOff>123825</xdr:rowOff>
    </xdr:to>
    <xdr:cxnSp macro="">
      <xdr:nvCxnSpPr>
        <xdr:cNvPr id="9" name="Straight Arrow Connector 8">
          <a:extLst>
            <a:ext uri="{FF2B5EF4-FFF2-40B4-BE49-F238E27FC236}">
              <a16:creationId xmlns:a16="http://schemas.microsoft.com/office/drawing/2014/main" id="{0FBF889E-B522-4EA4-A607-0383FC9C1470}"/>
            </a:ext>
          </a:extLst>
        </xdr:cNvPr>
        <xdr:cNvCxnSpPr/>
      </xdr:nvCxnSpPr>
      <xdr:spPr bwMode="auto">
        <a:xfrm>
          <a:off x="51873150" y="4770120"/>
          <a:ext cx="0" cy="17849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38</xdr:row>
      <xdr:rowOff>47625</xdr:rowOff>
    </xdr:from>
    <xdr:to>
      <xdr:col>68</xdr:col>
      <xdr:colOff>142875</xdr:colOff>
      <xdr:row>48</xdr:row>
      <xdr:rowOff>133350</xdr:rowOff>
    </xdr:to>
    <xdr:cxnSp macro="">
      <xdr:nvCxnSpPr>
        <xdr:cNvPr id="10" name="Straight Arrow Connector 9">
          <a:extLst>
            <a:ext uri="{FF2B5EF4-FFF2-40B4-BE49-F238E27FC236}">
              <a16:creationId xmlns:a16="http://schemas.microsoft.com/office/drawing/2014/main" id="{C750B9D6-3E25-481B-B972-2A6D55BA1E02}"/>
            </a:ext>
          </a:extLst>
        </xdr:cNvPr>
        <xdr:cNvCxnSpPr/>
      </xdr:nvCxnSpPr>
      <xdr:spPr bwMode="auto">
        <a:xfrm>
          <a:off x="51806475" y="6981825"/>
          <a:ext cx="0" cy="179260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247650</xdr:colOff>
      <xdr:row>71</xdr:row>
      <xdr:rowOff>66675</xdr:rowOff>
    </xdr:from>
    <xdr:to>
      <xdr:col>68</xdr:col>
      <xdr:colOff>247650</xdr:colOff>
      <xdr:row>81</xdr:row>
      <xdr:rowOff>133350</xdr:rowOff>
    </xdr:to>
    <xdr:cxnSp macro="">
      <xdr:nvCxnSpPr>
        <xdr:cNvPr id="11" name="Straight Arrow Connector 10">
          <a:extLst>
            <a:ext uri="{FF2B5EF4-FFF2-40B4-BE49-F238E27FC236}">
              <a16:creationId xmlns:a16="http://schemas.microsoft.com/office/drawing/2014/main" id="{928A6326-6E52-40F6-8215-032CBA344D95}"/>
            </a:ext>
          </a:extLst>
        </xdr:cNvPr>
        <xdr:cNvCxnSpPr/>
      </xdr:nvCxnSpPr>
      <xdr:spPr bwMode="auto">
        <a:xfrm>
          <a:off x="51911250" y="12708255"/>
          <a:ext cx="0" cy="17430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58</xdr:row>
      <xdr:rowOff>28575</xdr:rowOff>
    </xdr:from>
    <xdr:to>
      <xdr:col>68</xdr:col>
      <xdr:colOff>142875</xdr:colOff>
      <xdr:row>69</xdr:row>
      <xdr:rowOff>114300</xdr:rowOff>
    </xdr:to>
    <xdr:cxnSp macro="">
      <xdr:nvCxnSpPr>
        <xdr:cNvPr id="12" name="Straight Arrow Connector 11">
          <a:extLst>
            <a:ext uri="{FF2B5EF4-FFF2-40B4-BE49-F238E27FC236}">
              <a16:creationId xmlns:a16="http://schemas.microsoft.com/office/drawing/2014/main" id="{C9D4C141-9DD1-4485-B40B-D08B43E60D51}"/>
            </a:ext>
          </a:extLst>
        </xdr:cNvPr>
        <xdr:cNvCxnSpPr/>
      </xdr:nvCxnSpPr>
      <xdr:spPr bwMode="auto">
        <a:xfrm>
          <a:off x="51806475" y="10490835"/>
          <a:ext cx="0" cy="192976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180975</xdr:colOff>
      <xdr:row>54</xdr:row>
      <xdr:rowOff>9525</xdr:rowOff>
    </xdr:from>
    <xdr:to>
      <xdr:col>60</xdr:col>
      <xdr:colOff>180975</xdr:colOff>
      <xdr:row>84</xdr:row>
      <xdr:rowOff>142875</xdr:rowOff>
    </xdr:to>
    <xdr:cxnSp macro="">
      <xdr:nvCxnSpPr>
        <xdr:cNvPr id="13" name="Straight Arrow Connector 12">
          <a:extLst>
            <a:ext uri="{FF2B5EF4-FFF2-40B4-BE49-F238E27FC236}">
              <a16:creationId xmlns:a16="http://schemas.microsoft.com/office/drawing/2014/main" id="{E9B5E7C4-9315-4D6C-922E-48DA7AE872BE}"/>
            </a:ext>
          </a:extLst>
        </xdr:cNvPr>
        <xdr:cNvCxnSpPr/>
      </xdr:nvCxnSpPr>
      <xdr:spPr bwMode="auto">
        <a:xfrm flipV="1">
          <a:off x="45215175" y="9732645"/>
          <a:ext cx="0" cy="523113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2804160</xdr:colOff>
      <xdr:row>10</xdr:row>
      <xdr:rowOff>205740</xdr:rowOff>
    </xdr:from>
    <xdr:to>
      <xdr:col>22</xdr:col>
      <xdr:colOff>205740</xdr:colOff>
      <xdr:row>10</xdr:row>
      <xdr:rowOff>205740</xdr:rowOff>
    </xdr:to>
    <xdr:cxnSp macro="">
      <xdr:nvCxnSpPr>
        <xdr:cNvPr id="2" name="Straight Arrow Connector 1">
          <a:extLst>
            <a:ext uri="{FF2B5EF4-FFF2-40B4-BE49-F238E27FC236}">
              <a16:creationId xmlns:a16="http://schemas.microsoft.com/office/drawing/2014/main" id="{5AF08CCE-5768-4A2B-958E-503F8F8375AA}"/>
            </a:ext>
          </a:extLst>
        </xdr:cNvPr>
        <xdr:cNvCxnSpPr/>
      </xdr:nvCxnSpPr>
      <xdr:spPr>
        <a:xfrm>
          <a:off x="1219200" y="2676525"/>
          <a:ext cx="2095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2819400</xdr:colOff>
      <xdr:row>10</xdr:row>
      <xdr:rowOff>219075</xdr:rowOff>
    </xdr:from>
    <xdr:to>
      <xdr:col>22</xdr:col>
      <xdr:colOff>226695</xdr:colOff>
      <xdr:row>24</xdr:row>
      <xdr:rowOff>133350</xdr:rowOff>
    </xdr:to>
    <xdr:cxnSp macro="">
      <xdr:nvCxnSpPr>
        <xdr:cNvPr id="3" name="Straight Connector 2">
          <a:extLst>
            <a:ext uri="{FF2B5EF4-FFF2-40B4-BE49-F238E27FC236}">
              <a16:creationId xmlns:a16="http://schemas.microsoft.com/office/drawing/2014/main" id="{60174782-50A0-4715-8891-CDC980F94DB5}"/>
            </a:ext>
          </a:extLst>
        </xdr:cNvPr>
        <xdr:cNvCxnSpPr/>
      </xdr:nvCxnSpPr>
      <xdr:spPr>
        <a:xfrm>
          <a:off x="1219200" y="2684145"/>
          <a:ext cx="226695" cy="34937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2409825</xdr:colOff>
      <xdr:row>24</xdr:row>
      <xdr:rowOff>114300</xdr:rowOff>
    </xdr:from>
    <xdr:to>
      <xdr:col>22</xdr:col>
      <xdr:colOff>259080</xdr:colOff>
      <xdr:row>24</xdr:row>
      <xdr:rowOff>123825</xdr:rowOff>
    </xdr:to>
    <xdr:cxnSp macro="">
      <xdr:nvCxnSpPr>
        <xdr:cNvPr id="4" name="Straight Arrow Connector 3">
          <a:extLst>
            <a:ext uri="{FF2B5EF4-FFF2-40B4-BE49-F238E27FC236}">
              <a16:creationId xmlns:a16="http://schemas.microsoft.com/office/drawing/2014/main" id="{0637D681-CC5F-4E05-9022-6D54B8578592}"/>
            </a:ext>
          </a:extLst>
        </xdr:cNvPr>
        <xdr:cNvCxnSpPr/>
      </xdr:nvCxnSpPr>
      <xdr:spPr>
        <a:xfrm flipV="1">
          <a:off x="1221105" y="6162675"/>
          <a:ext cx="255270" cy="114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638175</xdr:colOff>
      <xdr:row>72</xdr:row>
      <xdr:rowOff>76200</xdr:rowOff>
    </xdr:from>
    <xdr:to>
      <xdr:col>16</xdr:col>
      <xdr:colOff>714375</xdr:colOff>
      <xdr:row>77</xdr:row>
      <xdr:rowOff>66675</xdr:rowOff>
    </xdr:to>
    <xdr:sp macro="" textlink="">
      <xdr:nvSpPr>
        <xdr:cNvPr id="2" name="AutoShape 2">
          <a:extLst>
            <a:ext uri="{FF2B5EF4-FFF2-40B4-BE49-F238E27FC236}">
              <a16:creationId xmlns:a16="http://schemas.microsoft.com/office/drawing/2014/main" id="{700CFD83-0B54-4735-8F22-C92F443CFBAF}"/>
            </a:ext>
          </a:extLst>
        </xdr:cNvPr>
        <xdr:cNvSpPr>
          <a:spLocks/>
        </xdr:cNvSpPr>
      </xdr:nvSpPr>
      <xdr:spPr bwMode="auto">
        <a:xfrm>
          <a:off x="2436495" y="10915650"/>
          <a:ext cx="0" cy="0"/>
        </a:xfrm>
        <a:prstGeom prst="leftBracket">
          <a:avLst>
            <a:gd name="adj" fmla="val 0"/>
          </a:avLst>
        </a:prstGeom>
        <a:noFill/>
        <a:ln w="9525">
          <a:solidFill>
            <a:srgbClr val="000000"/>
          </a:solidFill>
          <a:round/>
          <a:headEnd type="arrow" w="med" len="med"/>
          <a:tailEnd type="arrow" w="med" len="med"/>
        </a:ln>
      </xdr:spPr>
    </xdr:sp>
    <xdr:clientData/>
  </xdr:twoCellAnchor>
  <xdr:twoCellAnchor>
    <xdr:from>
      <xdr:col>16</xdr:col>
      <xdr:colOff>638175</xdr:colOff>
      <xdr:row>82</xdr:row>
      <xdr:rowOff>76200</xdr:rowOff>
    </xdr:from>
    <xdr:to>
      <xdr:col>16</xdr:col>
      <xdr:colOff>723900</xdr:colOff>
      <xdr:row>96</xdr:row>
      <xdr:rowOff>104775</xdr:rowOff>
    </xdr:to>
    <xdr:sp macro="" textlink="">
      <xdr:nvSpPr>
        <xdr:cNvPr id="3" name="AutoShape 3">
          <a:extLst>
            <a:ext uri="{FF2B5EF4-FFF2-40B4-BE49-F238E27FC236}">
              <a16:creationId xmlns:a16="http://schemas.microsoft.com/office/drawing/2014/main" id="{F3775EEB-78DB-414A-B018-4D32CF7CEB3C}"/>
            </a:ext>
          </a:extLst>
        </xdr:cNvPr>
        <xdr:cNvSpPr>
          <a:spLocks/>
        </xdr:cNvSpPr>
      </xdr:nvSpPr>
      <xdr:spPr bwMode="auto">
        <a:xfrm>
          <a:off x="2436495" y="10915650"/>
          <a:ext cx="1905" cy="0"/>
        </a:xfrm>
        <a:prstGeom prst="leftBracket">
          <a:avLst>
            <a:gd name="adj" fmla="val 0"/>
          </a:avLst>
        </a:prstGeom>
        <a:noFill/>
        <a:ln w="9525">
          <a:solidFill>
            <a:srgbClr val="000000"/>
          </a:solidFill>
          <a:round/>
          <a:headEnd type="arrow" w="med" len="med"/>
          <a:tailEnd type="arrow" w="med" len="med"/>
        </a:ln>
      </xdr:spPr>
    </xdr:sp>
    <xdr:clientData/>
  </xdr:twoCellAnchor>
  <xdr:oneCellAnchor>
    <xdr:from>
      <xdr:col>41</xdr:col>
      <xdr:colOff>9525</xdr:colOff>
      <xdr:row>6</xdr:row>
      <xdr:rowOff>28575</xdr:rowOff>
    </xdr:from>
    <xdr:ext cx="194310" cy="373380"/>
    <xdr:sp macro="" textlink="">
      <xdr:nvSpPr>
        <xdr:cNvPr id="4" name="AutoShape 1">
          <a:extLst>
            <a:ext uri="{FF2B5EF4-FFF2-40B4-BE49-F238E27FC236}">
              <a16:creationId xmlns:a16="http://schemas.microsoft.com/office/drawing/2014/main" id="{B918F0D5-401B-41FF-A789-6DB5BC65FF8D}"/>
            </a:ext>
          </a:extLst>
        </xdr:cNvPr>
        <xdr:cNvSpPr>
          <a:spLocks/>
        </xdr:cNvSpPr>
      </xdr:nvSpPr>
      <xdr:spPr bwMode="auto">
        <a:xfrm>
          <a:off x="9545955" y="969645"/>
          <a:ext cx="194310" cy="373380"/>
        </a:xfrm>
        <a:prstGeom prst="rightBrace">
          <a:avLst>
            <a:gd name="adj1" fmla="val 16270"/>
            <a:gd name="adj2" fmla="val 50000"/>
          </a:avLst>
        </a:prstGeom>
        <a:noFill/>
        <a:ln w="9525">
          <a:solidFill>
            <a:srgbClr val="000000"/>
          </a:solidFill>
          <a:round/>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15240</xdr:rowOff>
    </xdr:from>
    <xdr:to>
      <xdr:col>1</xdr:col>
      <xdr:colOff>563880</xdr:colOff>
      <xdr:row>7</xdr:row>
      <xdr:rowOff>38100</xdr:rowOff>
    </xdr:to>
    <xdr:sp macro="" textlink="">
      <xdr:nvSpPr>
        <xdr:cNvPr id="2" name="Right Brace 1">
          <a:extLst>
            <a:ext uri="{FF2B5EF4-FFF2-40B4-BE49-F238E27FC236}">
              <a16:creationId xmlns:a16="http://schemas.microsoft.com/office/drawing/2014/main" id="{ECB9EA79-6AED-46D8-B2EF-1E26A669BF75}"/>
            </a:ext>
          </a:extLst>
        </xdr:cNvPr>
        <xdr:cNvSpPr/>
      </xdr:nvSpPr>
      <xdr:spPr>
        <a:xfrm>
          <a:off x="4549140" y="586740"/>
          <a:ext cx="563880" cy="1676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3" name="Right Brace 2">
          <a:extLst>
            <a:ext uri="{FF2B5EF4-FFF2-40B4-BE49-F238E27FC236}">
              <a16:creationId xmlns:a16="http://schemas.microsoft.com/office/drawing/2014/main" id="{37B22A19-B384-42AC-ABBC-6F8E5C6DB945}"/>
            </a:ext>
          </a:extLst>
        </xdr:cNvPr>
        <xdr:cNvSpPr/>
      </xdr:nvSpPr>
      <xdr:spPr>
        <a:xfrm>
          <a:off x="4549140" y="5425440"/>
          <a:ext cx="56388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4" name="Right Brace 3">
          <a:extLst>
            <a:ext uri="{FF2B5EF4-FFF2-40B4-BE49-F238E27FC236}">
              <a16:creationId xmlns:a16="http://schemas.microsoft.com/office/drawing/2014/main" id="{3100A024-C852-46C2-A1CF-A7840BDEA708}"/>
            </a:ext>
          </a:extLst>
        </xdr:cNvPr>
        <xdr:cNvSpPr/>
      </xdr:nvSpPr>
      <xdr:spPr>
        <a:xfrm>
          <a:off x="4549140" y="5425440"/>
          <a:ext cx="56388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xdr:row>
      <xdr:rowOff>9523</xdr:rowOff>
    </xdr:from>
    <xdr:to>
      <xdr:col>8</xdr:col>
      <xdr:colOff>883920</xdr:colOff>
      <xdr:row>14</xdr:row>
      <xdr:rowOff>133350</xdr:rowOff>
    </xdr:to>
    <xdr:sp macro="" textlink="">
      <xdr:nvSpPr>
        <xdr:cNvPr id="2" name="TextBox 1">
          <a:extLst>
            <a:ext uri="{FF2B5EF4-FFF2-40B4-BE49-F238E27FC236}">
              <a16:creationId xmlns:a16="http://schemas.microsoft.com/office/drawing/2014/main" id="{A7491902-9D4D-48B0-9753-60BD592E9085}"/>
            </a:ext>
          </a:extLst>
        </xdr:cNvPr>
        <xdr:cNvSpPr txBox="1"/>
      </xdr:nvSpPr>
      <xdr:spPr>
        <a:xfrm>
          <a:off x="38100" y="603883"/>
          <a:ext cx="8694420" cy="27146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Assumptions/Purpose of Adjustment:  </a:t>
          </a:r>
          <a:r>
            <a:rPr lang="en-US" sz="1100" b="0"/>
            <a:t>The</a:t>
          </a:r>
          <a:r>
            <a:rPr lang="en-US" sz="1100" b="0" baseline="0"/>
            <a:t> purpose of this adjustment is to pro-form Company Medical and Retirement expenses from the base year 12-months-ending 06.30.2023 to that expected during the Rate Years, 2025 and 2026.  (Cost level data based on third party information as noted below. Updated information will be used once available.)</a:t>
          </a:r>
          <a:endParaRPr lang="en-US" sz="1100" b="1" baseline="0">
            <a:solidFill>
              <a:srgbClr val="FF0000"/>
            </a:solidFill>
          </a:endParaRPr>
        </a:p>
        <a:p>
          <a:r>
            <a:rPr lang="en-US" sz="1100" b="0"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The basis for the Medical portion of the adjustment is a forecasted O&amp;M expense based on actual utilization and for Post-Retirement Medical, third-party consultant Willis Towers Watson.  </a:t>
          </a:r>
          <a:r>
            <a:rPr lang="en-US" sz="1100" b="0" baseline="0">
              <a:solidFill>
                <a:sysClr val="windowText" lastClr="000000"/>
              </a:solidFill>
            </a:rPr>
            <a:t>Cost levels for 2023 are used for the rate period expense, </a:t>
          </a:r>
          <a:r>
            <a:rPr lang="en-US" sz="1100" b="0" baseline="0"/>
            <a:t>and will be updated when newer estimates are available.  </a:t>
          </a:r>
        </a:p>
        <a:p>
          <a:endParaRPr lang="en-US" sz="1100" b="1" baseline="0"/>
        </a:p>
        <a:p>
          <a:r>
            <a:rPr lang="en-US" sz="1100" b="0" baseline="0"/>
            <a:t>The Retirement portion of the adjustment is based on information provided by third-party Consultants (Willis Towers Watson401(K)).  </a:t>
          </a:r>
          <a:r>
            <a:rPr lang="en-US" sz="1100" b="0" baseline="0">
              <a:solidFill>
                <a:sysClr val="windowText" lastClr="000000"/>
              </a:solidFill>
            </a:rPr>
            <a:t>Test Period levels 12ME 06.2023 are used for the Pension amount, as this amount is available at this time. The Company will update with 2023 Year-End report results provided by the Consultant once available.  The 401K expense is based on forecasted O&amp;M expense increases.</a:t>
          </a:r>
        </a:p>
        <a:p>
          <a:endParaRPr lang="en-US" sz="1100" b="0" baseline="0"/>
        </a:p>
        <a:p>
          <a:r>
            <a:rPr lang="en-US" sz="1100" b="0" baseline="0"/>
            <a:t>The labor expense spread is based on 12-months-ending 06.30.2023 actual labor expense by service and jurisdiction.</a:t>
          </a:r>
        </a:p>
        <a:p>
          <a:endParaRPr lang="en-US" sz="1100" b="0" baseline="0"/>
        </a:p>
        <a:p>
          <a:endParaRPr lang="en-US" sz="1100" b="0" baseline="0"/>
        </a:p>
        <a:p>
          <a:endParaRPr lang="en-US" sz="1100" b="0" baseline="0"/>
        </a:p>
        <a:p>
          <a:endParaRPr lang="en-US" sz="1100" b="0" baseline="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0</xdr:colOff>
      <xdr:row>36</xdr:row>
      <xdr:rowOff>19050</xdr:rowOff>
    </xdr:from>
    <xdr:ext cx="76200" cy="282575"/>
    <xdr:sp macro="" textlink="">
      <xdr:nvSpPr>
        <xdr:cNvPr id="2" name="Text Box 1">
          <a:extLst>
            <a:ext uri="{FF2B5EF4-FFF2-40B4-BE49-F238E27FC236}">
              <a16:creationId xmlns:a16="http://schemas.microsoft.com/office/drawing/2014/main" id="{2C46F95E-BD20-447A-9CF8-27C0B5D2671E}"/>
            </a:ext>
          </a:extLst>
        </xdr:cNvPr>
        <xdr:cNvSpPr txBox="1">
          <a:spLocks noChangeArrowheads="1"/>
        </xdr:cNvSpPr>
      </xdr:nvSpPr>
      <xdr:spPr bwMode="auto">
        <a:xfrm>
          <a:off x="3451860" y="8370570"/>
          <a:ext cx="76200" cy="28257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3" name="Text Box 1">
          <a:extLst>
            <a:ext uri="{FF2B5EF4-FFF2-40B4-BE49-F238E27FC236}">
              <a16:creationId xmlns:a16="http://schemas.microsoft.com/office/drawing/2014/main" id="{59DBC870-4C40-4365-A70D-4C8F3AE20413}"/>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3</xdr:col>
      <xdr:colOff>0</xdr:colOff>
      <xdr:row>41</xdr:row>
      <xdr:rowOff>19050</xdr:rowOff>
    </xdr:from>
    <xdr:ext cx="76200" cy="282575"/>
    <xdr:sp macro="" textlink="">
      <xdr:nvSpPr>
        <xdr:cNvPr id="4" name="Text Box 1">
          <a:extLst>
            <a:ext uri="{FF2B5EF4-FFF2-40B4-BE49-F238E27FC236}">
              <a16:creationId xmlns:a16="http://schemas.microsoft.com/office/drawing/2014/main" id="{21D4F15E-D174-408D-ABD2-28C0B1B49BD9}"/>
            </a:ext>
          </a:extLst>
        </xdr:cNvPr>
        <xdr:cNvSpPr txBox="1">
          <a:spLocks noChangeArrowheads="1"/>
        </xdr:cNvSpPr>
      </xdr:nvSpPr>
      <xdr:spPr bwMode="auto">
        <a:xfrm>
          <a:off x="3451860" y="9323070"/>
          <a:ext cx="76200" cy="28257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5" name="Text Box 1">
          <a:extLst>
            <a:ext uri="{FF2B5EF4-FFF2-40B4-BE49-F238E27FC236}">
              <a16:creationId xmlns:a16="http://schemas.microsoft.com/office/drawing/2014/main" id="{F5AA12CA-CC49-430D-9C30-4F2F2B785DF4}"/>
            </a:ext>
          </a:extLst>
        </xdr:cNvPr>
        <xdr:cNvSpPr txBox="1">
          <a:spLocks noChangeArrowheads="1"/>
        </xdr:cNvSpPr>
      </xdr:nvSpPr>
      <xdr:spPr bwMode="auto">
        <a:xfrm>
          <a:off x="3451860" y="9505950"/>
          <a:ext cx="76200" cy="31432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6" name="Text Box 1">
          <a:extLst>
            <a:ext uri="{FF2B5EF4-FFF2-40B4-BE49-F238E27FC236}">
              <a16:creationId xmlns:a16="http://schemas.microsoft.com/office/drawing/2014/main" id="{E12BE855-8BC2-436A-913D-AB9EC39F55A7}"/>
            </a:ext>
          </a:extLst>
        </xdr:cNvPr>
        <xdr:cNvSpPr txBox="1">
          <a:spLocks noChangeArrowheads="1"/>
        </xdr:cNvSpPr>
      </xdr:nvSpPr>
      <xdr:spPr bwMode="auto">
        <a:xfrm>
          <a:off x="3451860" y="950595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7" name="Text Box 1">
          <a:extLst>
            <a:ext uri="{FF2B5EF4-FFF2-40B4-BE49-F238E27FC236}">
              <a16:creationId xmlns:a16="http://schemas.microsoft.com/office/drawing/2014/main" id="{462EC384-AB30-443D-A37D-821704AC3927}"/>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8" name="Text Box 1">
          <a:extLst>
            <a:ext uri="{FF2B5EF4-FFF2-40B4-BE49-F238E27FC236}">
              <a16:creationId xmlns:a16="http://schemas.microsoft.com/office/drawing/2014/main" id="{BA466765-4BBB-457C-BC27-09AA1DAD7C57}"/>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9</xdr:col>
      <xdr:colOff>0</xdr:colOff>
      <xdr:row>36</xdr:row>
      <xdr:rowOff>19050</xdr:rowOff>
    </xdr:from>
    <xdr:ext cx="76200" cy="282575"/>
    <xdr:sp macro="" textlink="">
      <xdr:nvSpPr>
        <xdr:cNvPr id="9" name="Text Box 1">
          <a:extLst>
            <a:ext uri="{FF2B5EF4-FFF2-40B4-BE49-F238E27FC236}">
              <a16:creationId xmlns:a16="http://schemas.microsoft.com/office/drawing/2014/main" id="{ADEA2D96-B045-4471-9D39-369DC063ED21}"/>
            </a:ext>
          </a:extLst>
        </xdr:cNvPr>
        <xdr:cNvSpPr txBox="1">
          <a:spLocks noChangeArrowheads="1"/>
        </xdr:cNvSpPr>
      </xdr:nvSpPr>
      <xdr:spPr bwMode="auto">
        <a:xfrm>
          <a:off x="6736080" y="8370570"/>
          <a:ext cx="76200" cy="28257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0" name="Text Box 1">
          <a:extLst>
            <a:ext uri="{FF2B5EF4-FFF2-40B4-BE49-F238E27FC236}">
              <a16:creationId xmlns:a16="http://schemas.microsoft.com/office/drawing/2014/main" id="{B864BF02-CD2C-4FC5-B328-703BF3B20A4B}"/>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9</xdr:col>
      <xdr:colOff>0</xdr:colOff>
      <xdr:row>41</xdr:row>
      <xdr:rowOff>19050</xdr:rowOff>
    </xdr:from>
    <xdr:ext cx="76200" cy="282575"/>
    <xdr:sp macro="" textlink="">
      <xdr:nvSpPr>
        <xdr:cNvPr id="11" name="Text Box 1">
          <a:extLst>
            <a:ext uri="{FF2B5EF4-FFF2-40B4-BE49-F238E27FC236}">
              <a16:creationId xmlns:a16="http://schemas.microsoft.com/office/drawing/2014/main" id="{308891E1-FE91-4934-B021-4EAC8A2F2629}"/>
            </a:ext>
          </a:extLst>
        </xdr:cNvPr>
        <xdr:cNvSpPr txBox="1">
          <a:spLocks noChangeArrowheads="1"/>
        </xdr:cNvSpPr>
      </xdr:nvSpPr>
      <xdr:spPr bwMode="auto">
        <a:xfrm>
          <a:off x="6736080" y="9323070"/>
          <a:ext cx="76200" cy="28257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2" name="Text Box 1">
          <a:extLst>
            <a:ext uri="{FF2B5EF4-FFF2-40B4-BE49-F238E27FC236}">
              <a16:creationId xmlns:a16="http://schemas.microsoft.com/office/drawing/2014/main" id="{453E3AF7-13E8-4338-BC6C-0DFF3CD2ECC6}"/>
            </a:ext>
          </a:extLst>
        </xdr:cNvPr>
        <xdr:cNvSpPr txBox="1">
          <a:spLocks noChangeArrowheads="1"/>
        </xdr:cNvSpPr>
      </xdr:nvSpPr>
      <xdr:spPr bwMode="auto">
        <a:xfrm>
          <a:off x="6736080" y="9505950"/>
          <a:ext cx="76200" cy="31432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3" name="Text Box 1">
          <a:extLst>
            <a:ext uri="{FF2B5EF4-FFF2-40B4-BE49-F238E27FC236}">
              <a16:creationId xmlns:a16="http://schemas.microsoft.com/office/drawing/2014/main" id="{7AEFDCA5-B806-473C-8EF6-7ED285A96E54}"/>
            </a:ext>
          </a:extLst>
        </xdr:cNvPr>
        <xdr:cNvSpPr txBox="1">
          <a:spLocks noChangeArrowheads="1"/>
        </xdr:cNvSpPr>
      </xdr:nvSpPr>
      <xdr:spPr bwMode="auto">
        <a:xfrm>
          <a:off x="6736080" y="950595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4" name="Text Box 1">
          <a:extLst>
            <a:ext uri="{FF2B5EF4-FFF2-40B4-BE49-F238E27FC236}">
              <a16:creationId xmlns:a16="http://schemas.microsoft.com/office/drawing/2014/main" id="{127BF714-110E-4C4F-9FA7-06BC22E284EA}"/>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5" name="Text Box 1">
          <a:extLst>
            <a:ext uri="{FF2B5EF4-FFF2-40B4-BE49-F238E27FC236}">
              <a16:creationId xmlns:a16="http://schemas.microsoft.com/office/drawing/2014/main" id="{376AC2C9-8E69-41C8-9E63-F0C660144A97}"/>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16</xdr:col>
      <xdr:colOff>0</xdr:colOff>
      <xdr:row>36</xdr:row>
      <xdr:rowOff>19050</xdr:rowOff>
    </xdr:from>
    <xdr:ext cx="76200" cy="273050"/>
    <xdr:sp macro="" textlink="">
      <xdr:nvSpPr>
        <xdr:cNvPr id="16" name="Text Box 1">
          <a:extLst>
            <a:ext uri="{FF2B5EF4-FFF2-40B4-BE49-F238E27FC236}">
              <a16:creationId xmlns:a16="http://schemas.microsoft.com/office/drawing/2014/main" id="{B0F1801A-EE4A-4C2B-8570-2247D7C5DE30}"/>
            </a:ext>
          </a:extLst>
        </xdr:cNvPr>
        <xdr:cNvSpPr txBox="1">
          <a:spLocks noChangeArrowheads="1"/>
        </xdr:cNvSpPr>
      </xdr:nvSpPr>
      <xdr:spPr bwMode="auto">
        <a:xfrm>
          <a:off x="8305800" y="8370570"/>
          <a:ext cx="76200" cy="27305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17" name="Text Box 1">
          <a:extLst>
            <a:ext uri="{FF2B5EF4-FFF2-40B4-BE49-F238E27FC236}">
              <a16:creationId xmlns:a16="http://schemas.microsoft.com/office/drawing/2014/main" id="{39CFB6F8-AB13-42EA-83C8-01A4033CE2C5}"/>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16</xdr:col>
      <xdr:colOff>0</xdr:colOff>
      <xdr:row>41</xdr:row>
      <xdr:rowOff>19050</xdr:rowOff>
    </xdr:from>
    <xdr:ext cx="76200" cy="273050"/>
    <xdr:sp macro="" textlink="">
      <xdr:nvSpPr>
        <xdr:cNvPr id="18" name="Text Box 1">
          <a:extLst>
            <a:ext uri="{FF2B5EF4-FFF2-40B4-BE49-F238E27FC236}">
              <a16:creationId xmlns:a16="http://schemas.microsoft.com/office/drawing/2014/main" id="{2EC7EB06-BECC-453F-A9AB-CCA4997AD4BA}"/>
            </a:ext>
          </a:extLst>
        </xdr:cNvPr>
        <xdr:cNvSpPr txBox="1">
          <a:spLocks noChangeArrowheads="1"/>
        </xdr:cNvSpPr>
      </xdr:nvSpPr>
      <xdr:spPr bwMode="auto">
        <a:xfrm>
          <a:off x="8305800" y="9323070"/>
          <a:ext cx="76200" cy="27305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19" name="Text Box 1">
          <a:extLst>
            <a:ext uri="{FF2B5EF4-FFF2-40B4-BE49-F238E27FC236}">
              <a16:creationId xmlns:a16="http://schemas.microsoft.com/office/drawing/2014/main" id="{E8615D4E-4AA5-4E0C-9BD2-44E6DC721FC7}"/>
            </a:ext>
          </a:extLst>
        </xdr:cNvPr>
        <xdr:cNvSpPr txBox="1">
          <a:spLocks noChangeArrowheads="1"/>
        </xdr:cNvSpPr>
      </xdr:nvSpPr>
      <xdr:spPr bwMode="auto">
        <a:xfrm>
          <a:off x="8305800" y="9505950"/>
          <a:ext cx="76200" cy="30480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20" name="Text Box 1">
          <a:extLst>
            <a:ext uri="{FF2B5EF4-FFF2-40B4-BE49-F238E27FC236}">
              <a16:creationId xmlns:a16="http://schemas.microsoft.com/office/drawing/2014/main" id="{CD7B239E-1017-4351-8E2C-FAF400A26E24}"/>
            </a:ext>
          </a:extLst>
        </xdr:cNvPr>
        <xdr:cNvSpPr txBox="1">
          <a:spLocks noChangeArrowheads="1"/>
        </xdr:cNvSpPr>
      </xdr:nvSpPr>
      <xdr:spPr bwMode="auto">
        <a:xfrm>
          <a:off x="8305800" y="950595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1" name="Text Box 1">
          <a:extLst>
            <a:ext uri="{FF2B5EF4-FFF2-40B4-BE49-F238E27FC236}">
              <a16:creationId xmlns:a16="http://schemas.microsoft.com/office/drawing/2014/main" id="{0C0E6FEC-E3E8-4EDA-8EAF-42C0E320F90B}"/>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2" name="Text Box 1">
          <a:extLst>
            <a:ext uri="{FF2B5EF4-FFF2-40B4-BE49-F238E27FC236}">
              <a16:creationId xmlns:a16="http://schemas.microsoft.com/office/drawing/2014/main" id="{008832F6-C76E-4C3A-B4BB-8AB38BD6655D}"/>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17</xdr:col>
      <xdr:colOff>0</xdr:colOff>
      <xdr:row>36</xdr:row>
      <xdr:rowOff>19050</xdr:rowOff>
    </xdr:from>
    <xdr:ext cx="76200" cy="282575"/>
    <xdr:sp macro="" textlink="">
      <xdr:nvSpPr>
        <xdr:cNvPr id="23" name="Text Box 1">
          <a:extLst>
            <a:ext uri="{FF2B5EF4-FFF2-40B4-BE49-F238E27FC236}">
              <a16:creationId xmlns:a16="http://schemas.microsoft.com/office/drawing/2014/main" id="{C89C7928-3121-49AE-AC01-4812A5729BDC}"/>
            </a:ext>
          </a:extLst>
        </xdr:cNvPr>
        <xdr:cNvSpPr txBox="1">
          <a:spLocks noChangeArrowheads="1"/>
        </xdr:cNvSpPr>
      </xdr:nvSpPr>
      <xdr:spPr bwMode="auto">
        <a:xfrm>
          <a:off x="8305800" y="8370570"/>
          <a:ext cx="76200" cy="28257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4" name="Text Box 1">
          <a:extLst>
            <a:ext uri="{FF2B5EF4-FFF2-40B4-BE49-F238E27FC236}">
              <a16:creationId xmlns:a16="http://schemas.microsoft.com/office/drawing/2014/main" id="{B78E475A-1930-4DFC-BA5E-5D48B6CBD8A5}"/>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oneCellAnchor>
    <xdr:from>
      <xdr:col>17</xdr:col>
      <xdr:colOff>0</xdr:colOff>
      <xdr:row>41</xdr:row>
      <xdr:rowOff>19050</xdr:rowOff>
    </xdr:from>
    <xdr:ext cx="76200" cy="282575"/>
    <xdr:sp macro="" textlink="">
      <xdr:nvSpPr>
        <xdr:cNvPr id="25" name="Text Box 1">
          <a:extLst>
            <a:ext uri="{FF2B5EF4-FFF2-40B4-BE49-F238E27FC236}">
              <a16:creationId xmlns:a16="http://schemas.microsoft.com/office/drawing/2014/main" id="{4BD3039E-399A-4C97-B016-57B400A60D1A}"/>
            </a:ext>
          </a:extLst>
        </xdr:cNvPr>
        <xdr:cNvSpPr txBox="1">
          <a:spLocks noChangeArrowheads="1"/>
        </xdr:cNvSpPr>
      </xdr:nvSpPr>
      <xdr:spPr bwMode="auto">
        <a:xfrm>
          <a:off x="8305800" y="9323070"/>
          <a:ext cx="76200" cy="28257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6" name="Text Box 1">
          <a:extLst>
            <a:ext uri="{FF2B5EF4-FFF2-40B4-BE49-F238E27FC236}">
              <a16:creationId xmlns:a16="http://schemas.microsoft.com/office/drawing/2014/main" id="{55AB4B9D-9D25-48D7-B9C5-6A16EC08F111}"/>
            </a:ext>
          </a:extLst>
        </xdr:cNvPr>
        <xdr:cNvSpPr txBox="1">
          <a:spLocks noChangeArrowheads="1"/>
        </xdr:cNvSpPr>
      </xdr:nvSpPr>
      <xdr:spPr bwMode="auto">
        <a:xfrm>
          <a:off x="8305800" y="9505950"/>
          <a:ext cx="76200" cy="31432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7" name="Text Box 1">
          <a:extLst>
            <a:ext uri="{FF2B5EF4-FFF2-40B4-BE49-F238E27FC236}">
              <a16:creationId xmlns:a16="http://schemas.microsoft.com/office/drawing/2014/main" id="{72A0CB9C-37F0-48F6-814B-F5539C23DDF7}"/>
            </a:ext>
          </a:extLst>
        </xdr:cNvPr>
        <xdr:cNvSpPr txBox="1">
          <a:spLocks noChangeArrowheads="1"/>
        </xdr:cNvSpPr>
      </xdr:nvSpPr>
      <xdr:spPr bwMode="auto">
        <a:xfrm>
          <a:off x="8305800" y="950595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8" name="Text Box 1">
          <a:extLst>
            <a:ext uri="{FF2B5EF4-FFF2-40B4-BE49-F238E27FC236}">
              <a16:creationId xmlns:a16="http://schemas.microsoft.com/office/drawing/2014/main" id="{4DABC982-EDA1-4C51-884E-9369A3DB4771}"/>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9" name="Text Box 1">
          <a:extLst>
            <a:ext uri="{FF2B5EF4-FFF2-40B4-BE49-F238E27FC236}">
              <a16:creationId xmlns:a16="http://schemas.microsoft.com/office/drawing/2014/main" id="{A28B40E4-59CD-49FE-9E97-3C4E8B86AB61}"/>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53</xdr:col>
      <xdr:colOff>0</xdr:colOff>
      <xdr:row>3</xdr:row>
      <xdr:rowOff>0</xdr:rowOff>
    </xdr:from>
    <xdr:to>
      <xdr:col>61</xdr:col>
      <xdr:colOff>39317</xdr:colOff>
      <xdr:row>11</xdr:row>
      <xdr:rowOff>552450</xdr:rowOff>
    </xdr:to>
    <xdr:pic>
      <xdr:nvPicPr>
        <xdr:cNvPr id="2" name="Picture 1">
          <a:extLst>
            <a:ext uri="{FF2B5EF4-FFF2-40B4-BE49-F238E27FC236}">
              <a16:creationId xmlns:a16="http://schemas.microsoft.com/office/drawing/2014/main" id="{0804D14F-6169-45DB-B277-C7788FB7DC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805975" y="514350"/>
          <a:ext cx="6754442" cy="25317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54</xdr:col>
      <xdr:colOff>76200</xdr:colOff>
      <xdr:row>0</xdr:row>
      <xdr:rowOff>19050</xdr:rowOff>
    </xdr:from>
    <xdr:to>
      <xdr:col>72</xdr:col>
      <xdr:colOff>247649</xdr:colOff>
      <xdr:row>13</xdr:row>
      <xdr:rowOff>133350</xdr:rowOff>
    </xdr:to>
    <xdr:sp macro="" textlink="">
      <xdr:nvSpPr>
        <xdr:cNvPr id="3" name="TextBox 2">
          <a:extLst>
            <a:ext uri="{FF2B5EF4-FFF2-40B4-BE49-F238E27FC236}">
              <a16:creationId xmlns:a16="http://schemas.microsoft.com/office/drawing/2014/main" id="{FFF7F923-BC14-4CA7-9851-3906A04A9D2C}"/>
            </a:ext>
          </a:extLst>
        </xdr:cNvPr>
        <xdr:cNvSpPr txBox="1"/>
      </xdr:nvSpPr>
      <xdr:spPr>
        <a:xfrm>
          <a:off x="76200" y="15240"/>
          <a:ext cx="11148059"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Purpose: </a:t>
          </a:r>
          <a:r>
            <a:rPr lang="en-US" sz="1200"/>
            <a:t>To</a:t>
          </a:r>
          <a:r>
            <a:rPr lang="en-US" sz="1200" baseline="0"/>
            <a:t> calculate the amount of forecasted base rate revenue </a:t>
          </a:r>
          <a:r>
            <a:rPr lang="en-US" sz="1200" baseline="0">
              <a:solidFill>
                <a:schemeClr val="dk1"/>
              </a:solidFill>
              <a:effectLst/>
              <a:latin typeface="+mn-lt"/>
              <a:ea typeface="+mn-ea"/>
              <a:cs typeface="+mn-cs"/>
            </a:rPr>
            <a:t>(basic charge + base rate/therm) </a:t>
          </a:r>
          <a:r>
            <a:rPr lang="en-US" sz="1200" baseline="0"/>
            <a:t>that will be collected from "new" customers for the years ended 12/31/2025 and 12/31/2026. Test year existing customer's usage and revenue are captured through the decoupling mechanism. </a:t>
          </a:r>
        </a:p>
        <a:p>
          <a:endParaRPr lang="en-US" sz="1200" baseline="0"/>
        </a:p>
        <a:p>
          <a:r>
            <a:rPr lang="en-US" sz="1200" b="1" baseline="0"/>
            <a:t>Procedures: </a:t>
          </a:r>
        </a:p>
        <a:p>
          <a:r>
            <a:rPr lang="en-US" sz="1200" baseline="0"/>
            <a:t>Obtained actual billing determinants (customer count by rate schedule) as of 6/30/23 from CCB/GL, forecasted billing determinants (customer count by schedule, usage by schedule/block, etc.) from the most recent forecast used for financial forecasting, and known billing rates and performed the following:</a:t>
          </a:r>
        </a:p>
        <a:p>
          <a:endParaRPr lang="en-US" sz="1200" baseline="0"/>
        </a:p>
        <a:p>
          <a:r>
            <a:rPr lang="en-US" sz="1200" baseline="0"/>
            <a:t>1 - New Customers - to determine the number of new customers, we will compare each month in the forecasted period to the number of customer as of 6/30/2023 (test year). The change in number of customers from that cutoff date forward will be assumed to be new customers and therefore, not subject to decoupling. </a:t>
          </a:r>
        </a:p>
        <a:p>
          <a:r>
            <a:rPr lang="en-US" sz="1200" baseline="0"/>
            <a:t>2 - Use Per Customer - to determine use per customer, total usage by schedule each month was divided by the total forecasted number of customers. This assumes all customers, on average, use the same amount of energy each month.</a:t>
          </a:r>
        </a:p>
        <a:p>
          <a:r>
            <a:rPr lang="en-US" sz="1200" baseline="0"/>
            <a:t>3 - New Customer Usage - The number of new customers was multiplied by the use per customer calculated to determine the total new customer usage for each month.</a:t>
          </a:r>
        </a:p>
        <a:p>
          <a:r>
            <a:rPr lang="en-US" sz="1200" baseline="0"/>
            <a:t>4 - Usage by Block - Usage by block comes from the Company's Natural Gas Revenue Model used for financial forecasting. </a:t>
          </a:r>
        </a:p>
        <a:p>
          <a:r>
            <a:rPr lang="en-US" sz="1200" baseline="0"/>
            <a:t>5 - New Customer Base Revenue - The number of new customers was multiplied by the basic charge and the usage by block was multiplied by the block rates in effect 12/21/2023 to calculate the new customer base revenue. </a:t>
          </a:r>
          <a:endParaRPr 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24%20WA%20Elec%20and%20Gas%20GRC/Adjustments/3.01%20PF%20Revenue%20Normalization/WA%20Electric%20Revenue%20-%20PF%20-%2006.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24%20WA%20Elec%20and%20Gas%20GRC/Adjustments/1.00%20Results%20of%20Operations/12A-2023.06_Avista%20Gas%20North%20Pu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Rate Spread GRC"/>
      <sheetName val="Bill Determ"/>
      <sheetName val="WA Sch 25"/>
      <sheetName val="Lighting summary"/>
      <sheetName val="St Lts"/>
      <sheetName val="Area Lts"/>
      <sheetName val="Block Data"/>
      <sheetName val="REVRUNS 12ME0623"/>
    </sheetNames>
    <sheetDataSet>
      <sheetData sheetId="0">
        <row r="8">
          <cell r="Q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G-CHK"/>
      <sheetName val="G-CHK-UI"/>
      <sheetName val="G-ALL"/>
      <sheetName val="G-OPS"/>
      <sheetName val="G-495"/>
      <sheetName val="G-804"/>
      <sheetName val="G-908"/>
      <sheetName val="G-INT"/>
      <sheetName val="G-FIT"/>
      <sheetName val="G-SCM"/>
      <sheetName val="G-DTE"/>
      <sheetName val="G-OTX"/>
      <sheetName val="G-PLT"/>
      <sheetName val="G-APL"/>
      <sheetName val="G-DEPX"/>
      <sheetName val="G-AMTX"/>
      <sheetName val="G-ADEP"/>
      <sheetName val="G-AAMT"/>
      <sheetName val="C-GPL"/>
      <sheetName val="C-IPL"/>
      <sheetName val="C-DTX"/>
      <sheetName val="C-WKC"/>
      <sheetName val="G-ROR"/>
    </sheetNames>
    <sheetDataSet>
      <sheetData sheetId="0" refreshError="1"/>
      <sheetData sheetId="1">
        <row r="2">
          <cell r="H2">
            <v>12</v>
          </cell>
        </row>
        <row r="3">
          <cell r="H3" t="str">
            <v>A</v>
          </cell>
        </row>
        <row r="4">
          <cell r="H4" t="str">
            <v>For Twelve Months Ended June 30, 2023</v>
          </cell>
        </row>
        <row r="5">
          <cell r="H5" t="str">
            <v>Average of Monthly Averages Basis</v>
          </cell>
        </row>
      </sheetData>
      <sheetData sheetId="2" refreshError="1"/>
      <sheetData sheetId="3" refreshError="1"/>
      <sheetData sheetId="4">
        <row r="8">
          <cell r="E8" t="str">
            <v>System Contract Demand</v>
          </cell>
        </row>
      </sheetData>
      <sheetData sheetId="5"/>
      <sheetData sheetId="6" refreshError="1"/>
      <sheetData sheetId="7">
        <row r="25">
          <cell r="J25">
            <v>211943703</v>
          </cell>
        </row>
      </sheetData>
      <sheetData sheetId="8">
        <row r="19">
          <cell r="K19">
            <v>13544204</v>
          </cell>
        </row>
      </sheetData>
      <sheetData sheetId="9" refreshError="1"/>
      <sheetData sheetId="10">
        <row r="27">
          <cell r="G27">
            <v>-5296807</v>
          </cell>
        </row>
      </sheetData>
      <sheetData sheetId="11" refreshError="1"/>
      <sheetData sheetId="12" refreshError="1"/>
      <sheetData sheetId="13">
        <row r="9">
          <cell r="H9">
            <v>0</v>
          </cell>
        </row>
      </sheetData>
      <sheetData sheetId="14">
        <row r="81">
          <cell r="H81">
            <v>703000981</v>
          </cell>
        </row>
      </sheetData>
      <sheetData sheetId="15"/>
      <sheetData sheetId="16">
        <row r="33">
          <cell r="N33">
            <v>511824</v>
          </cell>
        </row>
      </sheetData>
      <sheetData sheetId="17">
        <row r="26">
          <cell r="O26">
            <v>24862</v>
          </cell>
        </row>
      </sheetData>
      <sheetData sheetId="18" refreshError="1"/>
      <sheetData sheetId="19" refreshError="1"/>
      <sheetData sheetId="20" refreshError="1"/>
      <sheetData sheetId="21" refreshError="1"/>
      <sheetData sheetId="22" refreshError="1"/>
      <sheetData sheetId="23">
        <row r="20">
          <cell r="M20">
            <v>15046912</v>
          </cell>
        </row>
      </sheetData>
      <sheetData sheetId="24" refreshError="1"/>
    </sheetDataSet>
  </externalBook>
</externalLink>
</file>

<file path=xl/persons/person.xml><?xml version="1.0" encoding="utf-8"?>
<personList xmlns="http://schemas.microsoft.com/office/spreadsheetml/2018/threadedcomments" xmlns:x="http://schemas.openxmlformats.org/spreadsheetml/2006/main">
  <person displayName="Dengel, Kelly" id="{325BD752-631E-4D12-9432-4D72230D958C}" userId="S::Kelly.Dengel@avistacorp.com::f72b15e7-2db6-4e2a-abc6-13790962cdd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5" dT="2023-10-27T22:57:11.51" personId="{325BD752-631E-4D12-9432-4D72230D958C}" id="{6E17B788-6EF2-4DCA-B071-159EF0226B04}">
    <text>Assumes enhacements to NUC after signing the new software agreements become EXPENSE and we'll need to support and use NUC through the ETRM implementation</text>
  </threadedComment>
  <threadedComment ref="C17" dT="2023-10-27T21:43:19.86" personId="{325BD752-631E-4D12-9432-4D72230D958C}" id="{7EA723FB-C753-4BF1-A2EC-3CDA2DB38928}">
    <text>4 NUC Devs 50% on NUC support at Expense and 50% on ETRM as capital 2026-2028</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7.x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8.xml"/></Relationships>
</file>

<file path=xl/worksheets/_rels/sheet4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9.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
  <sheetViews>
    <sheetView workbookViewId="0"/>
  </sheetViews>
  <sheetFormatPr defaultColWidth="9.28515625" defaultRowHeight="12.75"/>
  <cols>
    <col min="1" max="16384" width="9.28515625" style="26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87C4-469A-4E5D-97EC-07973E46DC2A}">
  <sheetPr codeName="Sheet4"/>
  <dimension ref="A1:AH1048576"/>
  <sheetViews>
    <sheetView tabSelected="1" zoomScaleNormal="100" workbookViewId="0">
      <selection activeCell="G3" sqref="G3"/>
    </sheetView>
  </sheetViews>
  <sheetFormatPr defaultColWidth="9.28515625" defaultRowHeight="12.75"/>
  <cols>
    <col min="1" max="1" width="4.5703125" style="32" customWidth="1"/>
    <col min="2" max="3" width="1.5703125" style="31" customWidth="1"/>
    <col min="4" max="4" width="2.5703125" style="31" customWidth="1"/>
    <col min="5" max="5" width="22.5703125" style="78" customWidth="1"/>
    <col min="6" max="6" width="8.5703125" style="78" bestFit="1" customWidth="1"/>
    <col min="7" max="7" width="11.28515625" style="78" bestFit="1" customWidth="1"/>
    <col min="8" max="8" width="8.42578125" style="78" bestFit="1" customWidth="1"/>
    <col min="9" max="9" width="11.28515625" style="78" bestFit="1" customWidth="1"/>
    <col min="10" max="10" width="15.85546875" style="78" bestFit="1" customWidth="1"/>
    <col min="11" max="11" width="14.42578125" style="78" customWidth="1"/>
    <col min="12" max="12" width="14.42578125" style="247" customWidth="1"/>
    <col min="13" max="14" width="9" style="247" customWidth="1"/>
    <col min="15" max="17" width="9.28515625" style="247"/>
    <col min="18" max="18" width="11.28515625" style="247" bestFit="1" customWidth="1"/>
    <col min="19" max="16384" width="9.28515625" style="247"/>
  </cols>
  <sheetData>
    <row r="1" spans="1:34" ht="15">
      <c r="A1" s="271" t="str">
        <f>'ROO INPUT 1.00'!A3:C3</f>
        <v>AVISTA UTILITIES</v>
      </c>
      <c r="D1" s="32"/>
      <c r="F1" s="261"/>
      <c r="G1" s="261"/>
      <c r="I1" s="261"/>
    </row>
    <row r="2" spans="1:34" ht="15" customHeight="1">
      <c r="A2" s="271" t="str">
        <f>'ADJ DETAIL INPUT'!A3</f>
        <v>WASHINGTON NATURAL GAS</v>
      </c>
      <c r="D2" s="32"/>
      <c r="G2" s="63"/>
      <c r="H2" s="64"/>
      <c r="I2" s="63"/>
      <c r="J2" s="64"/>
      <c r="K2" s="64"/>
      <c r="L2" s="250"/>
      <c r="M2" s="250"/>
      <c r="N2" s="250"/>
      <c r="O2" s="250"/>
    </row>
    <row r="3" spans="1:34" ht="15" customHeight="1">
      <c r="A3" s="271" t="str">
        <f>'ROO INPUT 1.00'!A5:C5</f>
        <v>TWELVE MONTHS ENDED JUNE 30, 2023</v>
      </c>
      <c r="D3" s="32"/>
      <c r="G3" s="63"/>
      <c r="H3" s="64"/>
      <c r="I3" s="63"/>
      <c r="J3" s="64"/>
      <c r="K3" s="64"/>
      <c r="L3" s="250"/>
      <c r="M3" s="250"/>
      <c r="N3" s="250"/>
      <c r="O3" s="250"/>
    </row>
    <row r="4" spans="1:34" ht="15">
      <c r="A4" s="271" t="str">
        <f>'ROO INPUT 1.00'!A6:C6</f>
        <v xml:space="preserve">(000'S OF DOLLARS)   </v>
      </c>
      <c r="D4" s="32"/>
      <c r="G4" s="399"/>
      <c r="H4" s="399"/>
    </row>
    <row r="5" spans="1:34" ht="15">
      <c r="A5" s="271" t="s">
        <v>641</v>
      </c>
      <c r="D5" s="32"/>
    </row>
    <row r="6" spans="1:34" ht="14.25">
      <c r="D6" s="32"/>
      <c r="F6" s="3722" t="s">
        <v>546</v>
      </c>
      <c r="G6" s="3723"/>
      <c r="H6" s="3723"/>
      <c r="I6" s="3724"/>
      <c r="J6" s="3724"/>
      <c r="K6" s="3724"/>
      <c r="L6" s="3725"/>
      <c r="AE6" s="250"/>
      <c r="AF6" s="250"/>
      <c r="AG6" s="250"/>
      <c r="AH6" s="250"/>
    </row>
    <row r="7" spans="1:34">
      <c r="A7" s="33"/>
      <c r="B7" s="33"/>
      <c r="C7" s="34"/>
      <c r="D7" s="34"/>
      <c r="E7" s="33"/>
      <c r="F7" s="3728" t="s">
        <v>647</v>
      </c>
      <c r="G7" s="3729"/>
      <c r="H7" s="3729"/>
      <c r="I7" s="3729"/>
      <c r="J7" s="3730"/>
      <c r="K7" s="3726" t="s">
        <v>547</v>
      </c>
      <c r="L7" s="3727"/>
      <c r="Q7" s="250"/>
      <c r="Z7" s="250"/>
      <c r="AA7" s="250"/>
      <c r="AE7" s="250"/>
      <c r="AF7" s="250"/>
      <c r="AG7" s="250"/>
      <c r="AH7" s="250"/>
    </row>
    <row r="8" spans="1:34">
      <c r="A8" s="35"/>
      <c r="B8" s="36"/>
      <c r="C8" s="37"/>
      <c r="D8" s="38"/>
      <c r="E8" s="39"/>
      <c r="F8" s="13" t="s">
        <v>138</v>
      </c>
      <c r="G8" s="379" t="s">
        <v>24</v>
      </c>
      <c r="H8" s="400" t="s">
        <v>395</v>
      </c>
      <c r="I8" s="401" t="s">
        <v>24</v>
      </c>
      <c r="J8" s="442" t="s">
        <v>548</v>
      </c>
      <c r="K8" s="402" t="s">
        <v>139</v>
      </c>
      <c r="L8" s="442" t="s">
        <v>549</v>
      </c>
    </row>
    <row r="9" spans="1:34">
      <c r="A9" s="40" t="s">
        <v>6</v>
      </c>
      <c r="B9" s="41"/>
      <c r="C9" s="42"/>
      <c r="D9" s="43"/>
      <c r="E9" s="44"/>
      <c r="F9" s="14" t="s">
        <v>7</v>
      </c>
      <c r="G9" s="380" t="s">
        <v>472</v>
      </c>
      <c r="H9" s="403" t="s">
        <v>473</v>
      </c>
      <c r="I9" s="403" t="s">
        <v>14</v>
      </c>
      <c r="J9" s="403" t="s">
        <v>399</v>
      </c>
      <c r="K9" s="404" t="s">
        <v>140</v>
      </c>
      <c r="L9" s="14" t="s">
        <v>139</v>
      </c>
    </row>
    <row r="10" spans="1:34">
      <c r="A10" s="45" t="s">
        <v>15</v>
      </c>
      <c r="B10" s="46"/>
      <c r="C10" s="47"/>
      <c r="D10" s="48"/>
      <c r="E10" s="49" t="s">
        <v>16</v>
      </c>
      <c r="F10" s="15" t="s">
        <v>17</v>
      </c>
      <c r="G10" s="381" t="s">
        <v>116</v>
      </c>
      <c r="H10" s="405" t="s">
        <v>474</v>
      </c>
      <c r="I10" s="405" t="s">
        <v>116</v>
      </c>
      <c r="J10" s="405" t="s">
        <v>475</v>
      </c>
      <c r="K10" s="406" t="s">
        <v>141</v>
      </c>
      <c r="L10" s="15" t="s">
        <v>24</v>
      </c>
    </row>
    <row r="11" spans="1:34">
      <c r="A11" s="50"/>
      <c r="B11" s="50"/>
      <c r="C11" s="51"/>
      <c r="D11" s="51"/>
      <c r="E11" s="51" t="s">
        <v>25</v>
      </c>
      <c r="F11" s="16" t="s">
        <v>26</v>
      </c>
      <c r="G11" s="382" t="s">
        <v>27</v>
      </c>
      <c r="H11" s="382" t="s">
        <v>28</v>
      </c>
      <c r="I11" s="16" t="s">
        <v>29</v>
      </c>
      <c r="J11" s="16" t="s">
        <v>30</v>
      </c>
      <c r="K11" s="16" t="s">
        <v>529</v>
      </c>
      <c r="L11" s="16" t="s">
        <v>545</v>
      </c>
    </row>
    <row r="12" spans="1:34" ht="3.75" customHeight="1">
      <c r="A12" s="50"/>
      <c r="B12" s="50"/>
      <c r="C12" s="51"/>
      <c r="D12" s="51"/>
      <c r="E12" s="51"/>
      <c r="F12" s="16"/>
      <c r="G12" s="16"/>
      <c r="H12" s="16"/>
      <c r="I12" s="16"/>
      <c r="J12" s="16"/>
      <c r="K12" s="16"/>
      <c r="L12" s="16"/>
    </row>
    <row r="13" spans="1:34" ht="2.25" customHeight="1">
      <c r="A13" s="50"/>
      <c r="B13" s="50"/>
      <c r="C13" s="51"/>
      <c r="D13" s="51"/>
      <c r="E13" s="51"/>
      <c r="F13" s="16"/>
      <c r="G13" s="16"/>
      <c r="H13" s="16"/>
      <c r="I13" s="16"/>
      <c r="J13" s="16"/>
      <c r="K13" s="16"/>
      <c r="L13" s="16"/>
    </row>
    <row r="14" spans="1:34">
      <c r="A14" s="79"/>
      <c r="B14" s="1" t="s">
        <v>31</v>
      </c>
      <c r="C14" s="1"/>
      <c r="D14" s="1"/>
      <c r="E14" s="1"/>
      <c r="F14" s="28"/>
      <c r="G14" s="28"/>
      <c r="I14" s="28"/>
      <c r="L14" s="78"/>
      <c r="O14"/>
      <c r="P14"/>
    </row>
    <row r="15" spans="1:34">
      <c r="A15" s="79">
        <v>1</v>
      </c>
      <c r="B15" s="2"/>
      <c r="C15" s="2" t="s">
        <v>32</v>
      </c>
      <c r="D15" s="2"/>
      <c r="E15" s="2"/>
      <c r="F15" s="29">
        <f>'ADJ DETAIL INPUT'!E14</f>
        <v>246541</v>
      </c>
      <c r="G15" s="29">
        <f>H15-F15</f>
        <v>-35172</v>
      </c>
      <c r="H15" s="29">
        <f>'ADJ DETAIL INPUT'!Y14</f>
        <v>211369</v>
      </c>
      <c r="I15" s="29">
        <f>J15-H15</f>
        <v>-89786</v>
      </c>
      <c r="J15" s="29">
        <f>'ADJ DETAIL INPUT'!AW14</f>
        <v>121583</v>
      </c>
      <c r="K15" s="223">
        <f>CF!I12</f>
        <v>17293</v>
      </c>
      <c r="L15" s="29">
        <f>J15+K15</f>
        <v>138876</v>
      </c>
      <c r="O15"/>
      <c r="P15"/>
    </row>
    <row r="16" spans="1:34">
      <c r="A16" s="79">
        <v>2</v>
      </c>
      <c r="B16" s="1"/>
      <c r="C16" s="3" t="s">
        <v>33</v>
      </c>
      <c r="D16" s="3"/>
      <c r="E16" s="3"/>
      <c r="F16" s="172">
        <f>'ADJ DETAIL INPUT'!E15</f>
        <v>5180</v>
      </c>
      <c r="G16" s="172">
        <f>H16-F16</f>
        <v>-120</v>
      </c>
      <c r="H16" s="172">
        <f>'ADJ DETAIL INPUT'!Y15</f>
        <v>5060</v>
      </c>
      <c r="I16" s="172">
        <f>J16-H16</f>
        <v>333</v>
      </c>
      <c r="J16" s="172">
        <f>'ADJ DETAIL INPUT'!AW15</f>
        <v>5393</v>
      </c>
      <c r="K16" s="172"/>
      <c r="L16" s="172">
        <f>J16+K16</f>
        <v>5393</v>
      </c>
      <c r="O16"/>
      <c r="P16"/>
    </row>
    <row r="17" spans="1:16">
      <c r="A17" s="79">
        <v>3</v>
      </c>
      <c r="B17" s="1"/>
      <c r="C17" s="3" t="s">
        <v>34</v>
      </c>
      <c r="D17" s="3"/>
      <c r="E17" s="3"/>
      <c r="F17" s="174">
        <f>'ADJ DETAIL INPUT'!E16</f>
        <v>37118</v>
      </c>
      <c r="G17" s="174">
        <f>H17-F17</f>
        <v>-34031</v>
      </c>
      <c r="H17" s="174">
        <f>'ADJ DETAIL INPUT'!Y16</f>
        <v>3087</v>
      </c>
      <c r="I17" s="174">
        <f>J17-H17</f>
        <v>-2370</v>
      </c>
      <c r="J17" s="174">
        <f>'ADJ DETAIL INPUT'!AW16</f>
        <v>717</v>
      </c>
      <c r="K17" s="174"/>
      <c r="L17" s="174">
        <f>J17+K17</f>
        <v>717</v>
      </c>
      <c r="O17"/>
      <c r="P17"/>
    </row>
    <row r="18" spans="1:16">
      <c r="A18" s="79">
        <v>4</v>
      </c>
      <c r="B18" s="1" t="s">
        <v>35</v>
      </c>
      <c r="C18" s="3"/>
      <c r="D18" s="3"/>
      <c r="E18" s="3"/>
      <c r="F18" s="172">
        <f>SUM(F15:F17)</f>
        <v>288839</v>
      </c>
      <c r="G18" s="172">
        <f t="shared" ref="G18" si="0">SUM(G15:G17)</f>
        <v>-69323</v>
      </c>
      <c r="H18" s="172">
        <f t="shared" ref="H18" si="1">SUM(H15:H17)</f>
        <v>219516</v>
      </c>
      <c r="I18" s="172">
        <f t="shared" ref="I18:L18" si="2">SUM(I15:I17)</f>
        <v>-91823</v>
      </c>
      <c r="J18" s="172">
        <f t="shared" si="2"/>
        <v>127693</v>
      </c>
      <c r="K18" s="172">
        <f t="shared" si="2"/>
        <v>17293</v>
      </c>
      <c r="L18" s="172">
        <f t="shared" si="2"/>
        <v>144986</v>
      </c>
      <c r="O18"/>
      <c r="P18"/>
    </row>
    <row r="19" spans="1:16" ht="4.5" customHeight="1">
      <c r="A19" s="79"/>
      <c r="B19" s="1"/>
      <c r="C19" s="3"/>
      <c r="D19" s="3"/>
      <c r="E19" s="3"/>
      <c r="F19" s="172"/>
      <c r="G19" s="172"/>
      <c r="H19" s="172"/>
      <c r="I19" s="172"/>
      <c r="J19" s="172"/>
      <c r="K19" s="172"/>
      <c r="L19" s="172"/>
      <c r="O19"/>
      <c r="P19"/>
    </row>
    <row r="20" spans="1:16">
      <c r="A20" s="79"/>
      <c r="B20" s="1" t="s">
        <v>36</v>
      </c>
      <c r="C20" s="3"/>
      <c r="D20" s="3"/>
      <c r="E20" s="3"/>
      <c r="F20" s="172"/>
      <c r="G20" s="172"/>
      <c r="H20" s="172"/>
      <c r="I20" s="172"/>
      <c r="J20" s="172"/>
      <c r="K20" s="172"/>
      <c r="L20" s="172"/>
    </row>
    <row r="21" spans="1:16">
      <c r="A21" s="79"/>
      <c r="B21" s="1"/>
      <c r="C21" s="3" t="s">
        <v>203</v>
      </c>
      <c r="D21" s="3"/>
      <c r="E21" s="3"/>
      <c r="F21" s="172"/>
      <c r="G21" s="172"/>
      <c r="H21" s="172"/>
      <c r="I21" s="172"/>
      <c r="J21" s="172"/>
      <c r="K21" s="172"/>
      <c r="L21" s="172"/>
    </row>
    <row r="22" spans="1:16">
      <c r="A22" s="79">
        <v>5</v>
      </c>
      <c r="B22" s="1"/>
      <c r="C22" s="3"/>
      <c r="D22" s="3" t="s">
        <v>37</v>
      </c>
      <c r="E22" s="3"/>
      <c r="F22" s="172">
        <f>'ADJ DETAIL INPUT'!E21</f>
        <v>139821</v>
      </c>
      <c r="G22" s="172">
        <f>H22-F22</f>
        <v>-49451</v>
      </c>
      <c r="H22" s="172">
        <f>'ADJ DETAIL INPUT'!Y21</f>
        <v>90370</v>
      </c>
      <c r="I22" s="172">
        <f>J22-H22</f>
        <v>-90370</v>
      </c>
      <c r="J22" s="172">
        <f>'ADJ DETAIL INPUT'!AW21</f>
        <v>0</v>
      </c>
      <c r="K22" s="172"/>
      <c r="L22" s="172">
        <f>J22+K22</f>
        <v>0</v>
      </c>
    </row>
    <row r="23" spans="1:16">
      <c r="A23" s="79">
        <v>6</v>
      </c>
      <c r="B23" s="1"/>
      <c r="C23" s="3"/>
      <c r="D23" s="3" t="s">
        <v>38</v>
      </c>
      <c r="E23" s="3"/>
      <c r="F23" s="172">
        <f>'ADJ DETAIL INPUT'!E22</f>
        <v>869</v>
      </c>
      <c r="G23" s="172">
        <f>H23-F23</f>
        <v>0</v>
      </c>
      <c r="H23" s="172">
        <f>'ADJ DETAIL INPUT'!Y22</f>
        <v>869</v>
      </c>
      <c r="I23" s="172">
        <f>J23-H23</f>
        <v>82.783000000000015</v>
      </c>
      <c r="J23" s="172">
        <f>'ADJ DETAIL INPUT'!AW22</f>
        <v>951.78300000000002</v>
      </c>
      <c r="K23" s="172"/>
      <c r="L23" s="172">
        <f>J23+K23</f>
        <v>951.78300000000002</v>
      </c>
    </row>
    <row r="24" spans="1:16">
      <c r="A24" s="79">
        <v>7</v>
      </c>
      <c r="B24" s="1"/>
      <c r="C24" s="3"/>
      <c r="D24" s="3" t="s">
        <v>39</v>
      </c>
      <c r="E24" s="3"/>
      <c r="F24" s="174">
        <f>'ADJ DETAIL INPUT'!E23</f>
        <v>8789</v>
      </c>
      <c r="G24" s="174">
        <f>H24-F24</f>
        <v>-8789</v>
      </c>
      <c r="H24" s="174">
        <f>'ADJ DETAIL INPUT'!Y23</f>
        <v>0</v>
      </c>
      <c r="I24" s="174">
        <f>J24-H24</f>
        <v>0</v>
      </c>
      <c r="J24" s="174">
        <f>'ADJ DETAIL INPUT'!AW23</f>
        <v>0</v>
      </c>
      <c r="K24" s="174"/>
      <c r="L24" s="174">
        <f>J24+K24</f>
        <v>0</v>
      </c>
    </row>
    <row r="25" spans="1:16">
      <c r="A25" s="79">
        <v>8</v>
      </c>
      <c r="B25" s="1"/>
      <c r="C25" s="3"/>
      <c r="D25" s="3"/>
      <c r="E25" s="3" t="s">
        <v>40</v>
      </c>
      <c r="F25" s="172">
        <f>SUM(F22:F24)</f>
        <v>149479</v>
      </c>
      <c r="G25" s="172">
        <f t="shared" ref="G25" si="3">SUM(G22:G24)</f>
        <v>-58240</v>
      </c>
      <c r="H25" s="172">
        <f t="shared" ref="H25" si="4">SUM(H22:H24)</f>
        <v>91239</v>
      </c>
      <c r="I25" s="172">
        <f t="shared" ref="I25:L25" si="5">SUM(I22:I24)</f>
        <v>-90287.217000000004</v>
      </c>
      <c r="J25" s="172">
        <f t="shared" si="5"/>
        <v>951.78300000000002</v>
      </c>
      <c r="K25" s="172">
        <f t="shared" si="5"/>
        <v>0</v>
      </c>
      <c r="L25" s="172">
        <f t="shared" si="5"/>
        <v>951.78300000000002</v>
      </c>
    </row>
    <row r="26" spans="1:16" ht="5.25" customHeight="1">
      <c r="A26" s="79"/>
      <c r="B26" s="1"/>
      <c r="C26" s="3"/>
      <c r="D26" s="3"/>
      <c r="E26" s="3"/>
      <c r="F26" s="172"/>
      <c r="G26" s="172"/>
      <c r="H26" s="173"/>
      <c r="I26" s="172"/>
      <c r="J26" s="173"/>
      <c r="K26" s="172"/>
      <c r="L26" s="172"/>
    </row>
    <row r="27" spans="1:16">
      <c r="A27" s="79"/>
      <c r="B27" s="1"/>
      <c r="C27" s="3" t="s">
        <v>41</v>
      </c>
      <c r="D27" s="3"/>
      <c r="E27" s="3"/>
      <c r="F27" s="172"/>
      <c r="G27" s="172"/>
      <c r="H27" s="172"/>
      <c r="I27" s="172"/>
      <c r="J27" s="172"/>
      <c r="K27" s="172"/>
      <c r="L27" s="172"/>
    </row>
    <row r="28" spans="1:16">
      <c r="A28" s="79">
        <v>9</v>
      </c>
      <c r="B28" s="1"/>
      <c r="C28" s="3"/>
      <c r="D28" s="3" t="s">
        <v>42</v>
      </c>
      <c r="E28" s="3"/>
      <c r="F28" s="172">
        <f>'ADJ DETAIL INPUT'!E27</f>
        <v>2062</v>
      </c>
      <c r="G28" s="172">
        <f>H28-F28</f>
        <v>0</v>
      </c>
      <c r="H28" s="172">
        <f>'ADJ DETAIL INPUT'!Y27</f>
        <v>2062</v>
      </c>
      <c r="I28" s="172">
        <f>J28-H28</f>
        <v>236.13400000000001</v>
      </c>
      <c r="J28" s="172">
        <f>'ADJ DETAIL INPUT'!AW27</f>
        <v>2298.134</v>
      </c>
      <c r="K28" s="172"/>
      <c r="L28" s="172">
        <f>J28+K28</f>
        <v>2298.134</v>
      </c>
    </row>
    <row r="29" spans="1:16">
      <c r="A29" s="79">
        <v>10</v>
      </c>
      <c r="B29" s="1"/>
      <c r="C29" s="3"/>
      <c r="D29" s="3" t="s">
        <v>43</v>
      </c>
      <c r="E29" s="3"/>
      <c r="F29" s="172">
        <f>'ADJ DETAIL INPUT'!E28</f>
        <v>512</v>
      </c>
      <c r="G29" s="172">
        <f>H29-F29</f>
        <v>0</v>
      </c>
      <c r="H29" s="172">
        <f>'ADJ DETAIL INPUT'!Y28</f>
        <v>512</v>
      </c>
      <c r="I29" s="172">
        <f>J29-H29</f>
        <v>54.200000000000045</v>
      </c>
      <c r="J29" s="172">
        <f>'ADJ DETAIL INPUT'!AW28</f>
        <v>566.20000000000005</v>
      </c>
      <c r="K29" s="172"/>
      <c r="L29" s="172">
        <f>J29+K29</f>
        <v>566.20000000000005</v>
      </c>
    </row>
    <row r="30" spans="1:16">
      <c r="A30" s="201">
        <v>11</v>
      </c>
      <c r="B30" s="1"/>
      <c r="C30" s="3"/>
      <c r="D30" s="3" t="s">
        <v>20</v>
      </c>
      <c r="E30" s="3"/>
      <c r="F30" s="174">
        <f>'ADJ DETAIL INPUT'!E29</f>
        <v>161</v>
      </c>
      <c r="G30" s="174">
        <f>H30-F30</f>
        <v>32</v>
      </c>
      <c r="H30" s="174">
        <f>'ADJ DETAIL INPUT'!Y29</f>
        <v>193</v>
      </c>
      <c r="I30" s="174">
        <f>J30-H30</f>
        <v>57</v>
      </c>
      <c r="J30" s="174">
        <f>'ADJ DETAIL INPUT'!AW29</f>
        <v>250</v>
      </c>
      <c r="K30" s="174"/>
      <c r="L30" s="174">
        <f>J30+K30</f>
        <v>250</v>
      </c>
    </row>
    <row r="31" spans="1:16">
      <c r="A31" s="79">
        <v>12</v>
      </c>
      <c r="B31" s="1"/>
      <c r="C31" s="3"/>
      <c r="D31" s="3"/>
      <c r="E31" s="3" t="s">
        <v>44</v>
      </c>
      <c r="F31" s="172">
        <f t="shared" ref="F31:L31" si="6">SUM(F28:F30)</f>
        <v>2735</v>
      </c>
      <c r="G31" s="172">
        <f t="shared" si="6"/>
        <v>32</v>
      </c>
      <c r="H31" s="172">
        <f t="shared" si="6"/>
        <v>2767</v>
      </c>
      <c r="I31" s="172">
        <f t="shared" si="6"/>
        <v>347.33400000000006</v>
      </c>
      <c r="J31" s="172">
        <f t="shared" si="6"/>
        <v>3114.3339999999998</v>
      </c>
      <c r="K31" s="172">
        <f t="shared" si="6"/>
        <v>0</v>
      </c>
      <c r="L31" s="172">
        <f t="shared" si="6"/>
        <v>3114.3339999999998</v>
      </c>
    </row>
    <row r="32" spans="1:16" ht="3" customHeight="1">
      <c r="A32" s="79"/>
      <c r="B32" s="1"/>
      <c r="C32" s="3"/>
      <c r="D32" s="3"/>
      <c r="E32" s="3"/>
      <c r="F32" s="172"/>
      <c r="G32" s="172"/>
      <c r="H32" s="173"/>
      <c r="I32" s="172"/>
      <c r="J32" s="173"/>
      <c r="K32" s="172"/>
      <c r="L32" s="172"/>
    </row>
    <row r="33" spans="1:12">
      <c r="A33" s="79"/>
      <c r="B33" s="1"/>
      <c r="C33" s="3" t="s">
        <v>45</v>
      </c>
      <c r="D33" s="3"/>
      <c r="E33" s="3"/>
      <c r="F33" s="172"/>
      <c r="G33" s="172"/>
      <c r="H33" s="172"/>
      <c r="I33" s="172"/>
      <c r="J33" s="172"/>
      <c r="K33" s="172"/>
      <c r="L33" s="172"/>
    </row>
    <row r="34" spans="1:12">
      <c r="A34" s="79">
        <v>13</v>
      </c>
      <c r="B34" s="1"/>
      <c r="C34" s="3"/>
      <c r="D34" s="3" t="s">
        <v>42</v>
      </c>
      <c r="E34" s="3"/>
      <c r="F34" s="172">
        <f>'ADJ DETAIL INPUT'!E33</f>
        <v>12916</v>
      </c>
      <c r="G34" s="172">
        <f>H34-F34</f>
        <v>-5</v>
      </c>
      <c r="H34" s="172">
        <f>'ADJ DETAIL INPUT'!Y33</f>
        <v>12911</v>
      </c>
      <c r="I34" s="172">
        <f>J34-H34</f>
        <v>532.55500000000029</v>
      </c>
      <c r="J34" s="172">
        <f>'ADJ DETAIL INPUT'!AW33</f>
        <v>13443.555</v>
      </c>
      <c r="K34" s="172"/>
      <c r="L34" s="172">
        <f>J34+K34</f>
        <v>13443.555</v>
      </c>
    </row>
    <row r="35" spans="1:12">
      <c r="A35" s="79">
        <v>14</v>
      </c>
      <c r="B35" s="1"/>
      <c r="C35" s="3"/>
      <c r="D35" s="3" t="s">
        <v>43</v>
      </c>
      <c r="E35" s="3"/>
      <c r="F35" s="172">
        <f>'ADJ DETAIL INPUT'!E34</f>
        <v>16440</v>
      </c>
      <c r="G35" s="172">
        <f>H35-F35</f>
        <v>-11</v>
      </c>
      <c r="H35" s="172">
        <f>'ADJ DETAIL INPUT'!Y34</f>
        <v>16429</v>
      </c>
      <c r="I35" s="172">
        <f>J35-H35</f>
        <v>2065.2999999999993</v>
      </c>
      <c r="J35" s="172">
        <f>'ADJ DETAIL INPUT'!AW34</f>
        <v>18494.3</v>
      </c>
      <c r="K35" s="172"/>
      <c r="L35" s="172">
        <f>J35+K35</f>
        <v>18494.3</v>
      </c>
    </row>
    <row r="36" spans="1:12">
      <c r="A36" s="79">
        <v>15</v>
      </c>
      <c r="B36" s="1"/>
      <c r="C36" s="3"/>
      <c r="D36" s="3" t="s">
        <v>20</v>
      </c>
      <c r="E36" s="3"/>
      <c r="F36" s="175">
        <f>'ADJ DETAIL INPUT'!E35</f>
        <v>21003</v>
      </c>
      <c r="G36" s="174">
        <f>H36-F36</f>
        <v>-9457</v>
      </c>
      <c r="H36" s="174">
        <f>'ADJ DETAIL INPUT'!Y35</f>
        <v>11546</v>
      </c>
      <c r="I36" s="174">
        <f>J36-H36</f>
        <v>-2540</v>
      </c>
      <c r="J36" s="174">
        <f>'ADJ DETAIL INPUT'!AW35</f>
        <v>9006</v>
      </c>
      <c r="K36" s="174">
        <f>CF!I19</f>
        <v>663</v>
      </c>
      <c r="L36" s="174">
        <f>J36+K36</f>
        <v>9669</v>
      </c>
    </row>
    <row r="37" spans="1:12">
      <c r="A37" s="79">
        <v>16</v>
      </c>
      <c r="B37" s="1"/>
      <c r="C37" s="3"/>
      <c r="D37" s="3"/>
      <c r="E37" s="3" t="s">
        <v>46</v>
      </c>
      <c r="F37" s="172">
        <f>SUM(F34:F36)</f>
        <v>50359</v>
      </c>
      <c r="G37" s="172">
        <f t="shared" ref="G37" si="7">SUM(G34:G36)</f>
        <v>-9473</v>
      </c>
      <c r="H37" s="172">
        <f t="shared" ref="H37" si="8">SUM(H34:H36)</f>
        <v>40886</v>
      </c>
      <c r="I37" s="172">
        <f t="shared" ref="I37:L37" si="9">SUM(I34:I36)</f>
        <v>57.854999999999563</v>
      </c>
      <c r="J37" s="172">
        <f t="shared" si="9"/>
        <v>40943.854999999996</v>
      </c>
      <c r="K37" s="172">
        <f t="shared" si="9"/>
        <v>663</v>
      </c>
      <c r="L37" s="172">
        <f t="shared" si="9"/>
        <v>41606.854999999996</v>
      </c>
    </row>
    <row r="38" spans="1:12" ht="5.25" customHeight="1">
      <c r="A38" s="79"/>
      <c r="B38" s="1"/>
      <c r="C38" s="3"/>
      <c r="D38" s="3"/>
      <c r="E38" s="3"/>
      <c r="F38" s="172"/>
      <c r="G38" s="172"/>
      <c r="H38" s="172"/>
      <c r="I38" s="172"/>
      <c r="J38" s="172"/>
      <c r="K38" s="172"/>
      <c r="L38" s="172"/>
    </row>
    <row r="39" spans="1:12">
      <c r="A39" s="79">
        <v>17</v>
      </c>
      <c r="B39" s="1" t="s">
        <v>47</v>
      </c>
      <c r="C39" s="3"/>
      <c r="D39" s="3"/>
      <c r="E39" s="3"/>
      <c r="F39" s="172">
        <f>'ADJ DETAIL INPUT'!E38</f>
        <v>3993</v>
      </c>
      <c r="G39" s="172">
        <f>H39-F39</f>
        <v>795</v>
      </c>
      <c r="H39" s="172">
        <f>'ADJ DETAIL INPUT'!Y38</f>
        <v>4788</v>
      </c>
      <c r="I39" s="172">
        <f>J39-H39</f>
        <v>20.533999999999651</v>
      </c>
      <c r="J39" s="172">
        <f>'ADJ DETAIL INPUT'!AW38</f>
        <v>4808.5339999999997</v>
      </c>
      <c r="K39" s="172">
        <f>CF!I15</f>
        <v>86</v>
      </c>
      <c r="L39" s="172">
        <f>J39+K39</f>
        <v>4894.5339999999997</v>
      </c>
    </row>
    <row r="40" spans="1:12">
      <c r="A40" s="79">
        <v>18</v>
      </c>
      <c r="B40" s="1" t="s">
        <v>48</v>
      </c>
      <c r="C40" s="3"/>
      <c r="D40" s="3"/>
      <c r="E40" s="3"/>
      <c r="F40" s="172">
        <f>'ADJ DETAIL INPUT'!E39</f>
        <v>14067</v>
      </c>
      <c r="G40" s="172">
        <f>H40-F40</f>
        <v>-13331</v>
      </c>
      <c r="H40" s="172">
        <f>'ADJ DETAIL INPUT'!Y39</f>
        <v>736</v>
      </c>
      <c r="I40" s="172">
        <f>J40-H40</f>
        <v>163.47500000000002</v>
      </c>
      <c r="J40" s="172">
        <f>'ADJ DETAIL INPUT'!AW39</f>
        <v>899.47500000000002</v>
      </c>
      <c r="K40" s="172"/>
      <c r="L40" s="172">
        <f>J40+K40</f>
        <v>899.47500000000002</v>
      </c>
    </row>
    <row r="41" spans="1:12">
      <c r="A41" s="79">
        <v>19</v>
      </c>
      <c r="B41" s="1" t="s">
        <v>49</v>
      </c>
      <c r="C41" s="3"/>
      <c r="D41" s="3"/>
      <c r="E41" s="3"/>
      <c r="F41" s="172">
        <f>'ADJ DETAIL INPUT'!E40</f>
        <v>0</v>
      </c>
      <c r="G41" s="172">
        <f>H41-F41</f>
        <v>0</v>
      </c>
      <c r="H41" s="172">
        <f>'ADJ DETAIL INPUT'!Y40</f>
        <v>0</v>
      </c>
      <c r="I41" s="172">
        <f>J41-H41</f>
        <v>0</v>
      </c>
      <c r="J41" s="172">
        <f>'ADJ DETAIL INPUT'!AW40</f>
        <v>0</v>
      </c>
      <c r="K41" s="172"/>
      <c r="L41" s="172">
        <f>J41+K41</f>
        <v>0</v>
      </c>
    </row>
    <row r="42" spans="1:12" ht="4.5" customHeight="1">
      <c r="A42" s="79"/>
      <c r="B42" s="1"/>
      <c r="C42" s="3"/>
      <c r="D42" s="3"/>
      <c r="E42" s="3"/>
      <c r="F42" s="172"/>
      <c r="G42" s="172"/>
      <c r="H42" s="176"/>
      <c r="I42" s="172"/>
      <c r="J42" s="176"/>
      <c r="K42" s="172"/>
      <c r="L42" s="172"/>
    </row>
    <row r="43" spans="1:12">
      <c r="A43" s="79"/>
      <c r="B43" s="1" t="s">
        <v>50</v>
      </c>
      <c r="C43" s="3"/>
      <c r="D43" s="3"/>
      <c r="E43" s="3"/>
      <c r="F43" s="172"/>
      <c r="G43" s="172"/>
      <c r="H43" s="172"/>
      <c r="I43" s="172"/>
      <c r="J43" s="172"/>
      <c r="K43" s="172"/>
      <c r="L43" s="172"/>
    </row>
    <row r="44" spans="1:12">
      <c r="A44" s="79">
        <v>20</v>
      </c>
      <c r="B44" s="1"/>
      <c r="C44" s="3" t="s">
        <v>42</v>
      </c>
      <c r="D44" s="3"/>
      <c r="E44" s="3"/>
      <c r="F44" s="172">
        <f>'ADJ DETAIL INPUT'!E43</f>
        <v>24398</v>
      </c>
      <c r="G44" s="172">
        <f>H44-F44</f>
        <v>104.08299999999872</v>
      </c>
      <c r="H44" s="172">
        <f>'ADJ DETAIL INPUT'!Y43</f>
        <v>24502.082999999999</v>
      </c>
      <c r="I44" s="172">
        <f>J44-H44</f>
        <v>2219.887999999999</v>
      </c>
      <c r="J44" s="172">
        <f>'ADJ DETAIL INPUT'!AW43</f>
        <v>26721.970999999998</v>
      </c>
      <c r="K44" s="172">
        <f>CF!I17</f>
        <v>69</v>
      </c>
      <c r="L44" s="172">
        <f>J44+K44</f>
        <v>26790.970999999998</v>
      </c>
    </row>
    <row r="45" spans="1:12">
      <c r="A45" s="79">
        <v>21</v>
      </c>
      <c r="B45" s="1"/>
      <c r="C45" s="3" t="s">
        <v>188</v>
      </c>
      <c r="D45" s="3"/>
      <c r="E45" s="3"/>
      <c r="F45" s="172">
        <f>'ADJ DETAIL INPUT'!E44</f>
        <v>12802</v>
      </c>
      <c r="G45" s="172">
        <f>H45-F45</f>
        <v>0</v>
      </c>
      <c r="H45" s="172">
        <f>'ADJ DETAIL INPUT'!Y44</f>
        <v>12802</v>
      </c>
      <c r="I45" s="172">
        <f>J45-H45</f>
        <v>2373.2999999999993</v>
      </c>
      <c r="J45" s="172">
        <f>'ADJ DETAIL INPUT'!AW44</f>
        <v>15175.3</v>
      </c>
      <c r="K45" s="172"/>
      <c r="L45" s="172">
        <f>J45+K45</f>
        <v>15175.3</v>
      </c>
    </row>
    <row r="46" spans="1:12">
      <c r="A46" s="79">
        <v>22</v>
      </c>
      <c r="B46" s="1"/>
      <c r="C46" s="7" t="s">
        <v>370</v>
      </c>
      <c r="D46" s="3"/>
      <c r="E46" s="3"/>
      <c r="F46" s="172">
        <f>'ADJ DETAIL INPUT'!E45</f>
        <v>1612</v>
      </c>
      <c r="G46" s="172">
        <f>H46-F46</f>
        <v>1</v>
      </c>
      <c r="H46" s="172">
        <f>'ADJ DETAIL INPUT'!Y45</f>
        <v>1613</v>
      </c>
      <c r="I46" s="172">
        <f>J46-H46</f>
        <v>-1787</v>
      </c>
      <c r="J46" s="172">
        <f>'ADJ DETAIL INPUT'!AW45</f>
        <v>-174</v>
      </c>
      <c r="K46" s="172"/>
      <c r="L46" s="172">
        <f>J46+K46</f>
        <v>-174</v>
      </c>
    </row>
    <row r="47" spans="1:12">
      <c r="A47" s="79">
        <v>23</v>
      </c>
      <c r="B47" s="1"/>
      <c r="C47" s="3" t="s">
        <v>20</v>
      </c>
      <c r="D47" s="3"/>
      <c r="E47" s="3"/>
      <c r="F47" s="174">
        <f>'ADJ DETAIL INPUT'!E46</f>
        <v>1132</v>
      </c>
      <c r="G47" s="174">
        <f>H47-F47</f>
        <v>0</v>
      </c>
      <c r="H47" s="172">
        <f>'ADJ DETAIL INPUT'!Y46</f>
        <v>1132</v>
      </c>
      <c r="I47" s="174">
        <f>J47-H47</f>
        <v>0</v>
      </c>
      <c r="J47" s="172">
        <f>'ADJ DETAIL INPUT'!AW46</f>
        <v>1132</v>
      </c>
      <c r="K47" s="174"/>
      <c r="L47" s="174">
        <f>J47+K47</f>
        <v>1132</v>
      </c>
    </row>
    <row r="48" spans="1:12">
      <c r="A48" s="79">
        <v>24</v>
      </c>
      <c r="B48" s="1"/>
      <c r="C48" s="3"/>
      <c r="D48" s="3" t="s">
        <v>51</v>
      </c>
      <c r="E48" s="247"/>
      <c r="F48" s="177">
        <f>SUM(F44:F47)</f>
        <v>39944</v>
      </c>
      <c r="G48" s="177">
        <f t="shared" ref="G48" si="10">SUM(G44:G47)</f>
        <v>105.08299999999872</v>
      </c>
      <c r="H48" s="177">
        <f t="shared" ref="H48" si="11">SUM(H44:H47)</f>
        <v>40049.082999999999</v>
      </c>
      <c r="I48" s="177">
        <f t="shared" ref="I48:L48" si="12">SUM(I44:I47)</f>
        <v>2806.1879999999983</v>
      </c>
      <c r="J48" s="177">
        <f t="shared" si="12"/>
        <v>42855.270999999993</v>
      </c>
      <c r="K48" s="177">
        <f t="shared" si="12"/>
        <v>69</v>
      </c>
      <c r="L48" s="177">
        <f t="shared" si="12"/>
        <v>42924.270999999993</v>
      </c>
    </row>
    <row r="49" spans="1:18">
      <c r="A49" s="79">
        <v>25</v>
      </c>
      <c r="B49" s="1" t="s">
        <v>52</v>
      </c>
      <c r="C49" s="3"/>
      <c r="D49" s="3"/>
      <c r="E49" s="3"/>
      <c r="F49" s="174">
        <f t="shared" ref="F49:L49" si="13">F48+F37+F31+F25+F39+F40+F41</f>
        <v>260577</v>
      </c>
      <c r="G49" s="174">
        <f t="shared" si="13"/>
        <v>-80111.917000000001</v>
      </c>
      <c r="H49" s="174">
        <f t="shared" si="13"/>
        <v>180465.08299999998</v>
      </c>
      <c r="I49" s="174">
        <f t="shared" si="13"/>
        <v>-86891.831000000006</v>
      </c>
      <c r="J49" s="174">
        <f t="shared" si="13"/>
        <v>93573.251999999993</v>
      </c>
      <c r="K49" s="174">
        <f t="shared" si="13"/>
        <v>818</v>
      </c>
      <c r="L49" s="174">
        <f t="shared" si="13"/>
        <v>94391.251999999993</v>
      </c>
    </row>
    <row r="50" spans="1:18" ht="8.25" customHeight="1">
      <c r="A50" s="79"/>
      <c r="B50" s="1"/>
      <c r="C50" s="3"/>
      <c r="D50" s="3"/>
      <c r="E50" s="3"/>
      <c r="F50" s="172"/>
      <c r="G50" s="172"/>
      <c r="H50" s="172"/>
      <c r="I50" s="172"/>
      <c r="J50" s="172"/>
      <c r="K50" s="172"/>
      <c r="L50" s="172"/>
    </row>
    <row r="51" spans="1:18">
      <c r="A51" s="79">
        <v>26</v>
      </c>
      <c r="B51" s="1" t="s">
        <v>53</v>
      </c>
      <c r="C51" s="3"/>
      <c r="D51" s="3"/>
      <c r="E51" s="3"/>
      <c r="F51" s="172">
        <f t="shared" ref="F51:L51" si="14">F18-F49</f>
        <v>28262</v>
      </c>
      <c r="G51" s="172">
        <f t="shared" si="14"/>
        <v>10788.917000000001</v>
      </c>
      <c r="H51" s="172">
        <f t="shared" si="14"/>
        <v>39050.917000000016</v>
      </c>
      <c r="I51" s="172">
        <f t="shared" si="14"/>
        <v>-4931.1689999999944</v>
      </c>
      <c r="J51" s="172">
        <f t="shared" si="14"/>
        <v>34119.748000000007</v>
      </c>
      <c r="K51" s="172">
        <f t="shared" si="14"/>
        <v>16475</v>
      </c>
      <c r="L51" s="172">
        <f t="shared" si="14"/>
        <v>50594.748000000007</v>
      </c>
    </row>
    <row r="52" spans="1:18" ht="6.75" customHeight="1">
      <c r="A52" s="79"/>
      <c r="B52" s="1"/>
      <c r="C52" s="3"/>
      <c r="D52" s="3"/>
      <c r="E52" s="3"/>
      <c r="F52" s="172"/>
      <c r="G52" s="172"/>
      <c r="H52" s="172"/>
      <c r="I52" s="172"/>
      <c r="J52" s="172"/>
      <c r="K52" s="172"/>
      <c r="L52" s="172"/>
    </row>
    <row r="53" spans="1:18">
      <c r="A53" s="79"/>
      <c r="B53" s="1" t="s">
        <v>54</v>
      </c>
      <c r="C53" s="3"/>
      <c r="D53" s="3"/>
      <c r="E53" s="3"/>
      <c r="F53" s="172"/>
      <c r="G53" s="172"/>
      <c r="H53" s="172"/>
      <c r="I53" s="172"/>
      <c r="J53" s="172"/>
      <c r="K53" s="172"/>
      <c r="L53" s="172"/>
    </row>
    <row r="54" spans="1:18">
      <c r="A54" s="79">
        <v>27</v>
      </c>
      <c r="B54" s="1"/>
      <c r="C54" s="3" t="s">
        <v>55</v>
      </c>
      <c r="D54" s="3"/>
      <c r="E54" s="3"/>
      <c r="F54" s="172">
        <f>'ADJ DETAIL INPUT'!E53</f>
        <v>-4387</v>
      </c>
      <c r="G54" s="172">
        <f>H54-F54</f>
        <v>2322.6725700000011</v>
      </c>
      <c r="H54" s="172">
        <f>'ADJ DETAIL INPUT'!Y53</f>
        <v>-2064.3274299999989</v>
      </c>
      <c r="I54" s="172">
        <f>J54-H54</f>
        <v>-1035.54549</v>
      </c>
      <c r="J54" s="172">
        <f>'ADJ DETAIL INPUT'!AW53</f>
        <v>-3099.8729199999989</v>
      </c>
      <c r="K54" s="172">
        <f>CF!I25</f>
        <v>3460</v>
      </c>
      <c r="L54" s="172">
        <f>J54+K54</f>
        <v>360.12708000000111</v>
      </c>
      <c r="R54" s="57"/>
    </row>
    <row r="55" spans="1:18">
      <c r="A55" s="79">
        <v>28</v>
      </c>
      <c r="B55" s="1"/>
      <c r="C55" s="118" t="s">
        <v>170</v>
      </c>
      <c r="D55" s="3"/>
      <c r="E55" s="3"/>
      <c r="F55" s="172">
        <f>'ADJ DETAIL INPUT'!E54</f>
        <v>0</v>
      </c>
      <c r="G55" s="172">
        <f>H55-F55</f>
        <v>-62.259791999999997</v>
      </c>
      <c r="H55" s="172">
        <f>'ADJ DETAIL INPUT'!Y54</f>
        <v>-62.259791999999997</v>
      </c>
      <c r="I55" s="172">
        <f>J55-H55</f>
        <v>-221.91816360000001</v>
      </c>
      <c r="J55" s="172">
        <f>'ADJ DETAIL INPUT'!AW54</f>
        <v>-284.17795560000002</v>
      </c>
      <c r="K55" s="172"/>
      <c r="L55" s="172">
        <f>J55+K55</f>
        <v>-284.17795560000002</v>
      </c>
    </row>
    <row r="56" spans="1:18">
      <c r="A56" s="79">
        <v>29</v>
      </c>
      <c r="B56" s="1"/>
      <c r="C56" s="3" t="s">
        <v>56</v>
      </c>
      <c r="D56" s="3"/>
      <c r="E56" s="3"/>
      <c r="F56" s="172">
        <f>'ADJ DETAIL INPUT'!E55</f>
        <v>-3743</v>
      </c>
      <c r="G56" s="172">
        <f>H56-F56</f>
        <v>-101</v>
      </c>
      <c r="H56" s="172">
        <f>'ADJ DETAIL INPUT'!Y55</f>
        <v>-3844</v>
      </c>
      <c r="I56" s="172">
        <f>J56-H56</f>
        <v>136</v>
      </c>
      <c r="J56" s="172">
        <f>'ADJ DETAIL INPUT'!AW55</f>
        <v>-3708</v>
      </c>
      <c r="K56" s="172"/>
      <c r="L56" s="172">
        <f>J56+K56</f>
        <v>-3708</v>
      </c>
    </row>
    <row r="57" spans="1:18">
      <c r="A57" s="79">
        <v>30</v>
      </c>
      <c r="B57" s="1"/>
      <c r="C57" s="3" t="s">
        <v>57</v>
      </c>
      <c r="D57" s="3"/>
      <c r="E57" s="3"/>
      <c r="F57" s="174">
        <f>'ADJ DETAIL INPUT'!E56</f>
        <v>0</v>
      </c>
      <c r="G57" s="174">
        <f>H57-F57</f>
        <v>9626</v>
      </c>
      <c r="H57" s="174">
        <f>'ADJ DETAIL INPUT'!Y56</f>
        <v>9626</v>
      </c>
      <c r="I57" s="174">
        <f>J57-H57</f>
        <v>0</v>
      </c>
      <c r="J57" s="174">
        <f>'ADJ DETAIL INPUT'!AW56</f>
        <v>9626</v>
      </c>
      <c r="K57" s="174"/>
      <c r="L57" s="174">
        <f>J57+K57</f>
        <v>9626</v>
      </c>
    </row>
    <row r="58" spans="1:18" ht="6" customHeight="1">
      <c r="A58" s="79"/>
      <c r="B58" s="1"/>
      <c r="C58" s="1"/>
      <c r="D58" s="1"/>
      <c r="E58" s="1"/>
      <c r="F58" s="172"/>
      <c r="G58" s="172"/>
      <c r="H58" s="172"/>
      <c r="I58" s="172"/>
      <c r="J58" s="172"/>
      <c r="K58" s="178"/>
      <c r="L58" s="172"/>
    </row>
    <row r="59" spans="1:18" ht="13.5" thickBot="1">
      <c r="A59" s="79">
        <v>31</v>
      </c>
      <c r="B59" s="2" t="s">
        <v>58</v>
      </c>
      <c r="C59" s="2"/>
      <c r="D59" s="2"/>
      <c r="E59" s="2"/>
      <c r="F59" s="179">
        <f t="shared" ref="F59:L59" si="15">F51-SUM(F54:F57)</f>
        <v>36392</v>
      </c>
      <c r="G59" s="179">
        <f t="shared" si="15"/>
        <v>-996.49577800000043</v>
      </c>
      <c r="H59" s="179">
        <f t="shared" si="15"/>
        <v>35395.504222000018</v>
      </c>
      <c r="I59" s="179">
        <f t="shared" si="15"/>
        <v>-3809.7053463999946</v>
      </c>
      <c r="J59" s="179">
        <f t="shared" si="15"/>
        <v>31585.798875600005</v>
      </c>
      <c r="K59" s="179">
        <f t="shared" si="15"/>
        <v>13015</v>
      </c>
      <c r="L59" s="179">
        <f t="shared" si="15"/>
        <v>44600.798875600005</v>
      </c>
    </row>
    <row r="60" spans="1:18" ht="7.5" customHeight="1" thickTop="1">
      <c r="A60" s="79"/>
      <c r="B60" s="1"/>
      <c r="C60" s="1"/>
      <c r="D60" s="1"/>
      <c r="E60" s="1"/>
      <c r="F60" s="172"/>
      <c r="G60" s="172"/>
      <c r="H60" s="172"/>
      <c r="I60" s="172"/>
      <c r="J60" s="172"/>
      <c r="K60" s="172"/>
      <c r="L60" s="172"/>
    </row>
    <row r="61" spans="1:18" hidden="1">
      <c r="A61" s="79"/>
      <c r="B61" s="1"/>
      <c r="C61" s="1"/>
      <c r="D61" s="1"/>
      <c r="E61" s="1"/>
      <c r="F61" s="172"/>
      <c r="G61" s="172"/>
      <c r="H61" s="172"/>
      <c r="I61" s="172"/>
      <c r="J61" s="172"/>
      <c r="K61" s="172"/>
      <c r="L61" s="172"/>
    </row>
    <row r="62" spans="1:18">
      <c r="A62" s="79"/>
      <c r="B62" s="1" t="s">
        <v>59</v>
      </c>
      <c r="C62" s="1"/>
      <c r="D62" s="1"/>
      <c r="E62" s="1"/>
      <c r="F62" s="172"/>
      <c r="G62" s="172"/>
      <c r="H62" s="172"/>
      <c r="I62" s="172"/>
      <c r="J62" s="172"/>
      <c r="K62" s="172"/>
      <c r="L62" s="172"/>
    </row>
    <row r="63" spans="1:18">
      <c r="A63" s="79">
        <v>32</v>
      </c>
      <c r="B63" s="3"/>
      <c r="C63" s="3" t="s">
        <v>41</v>
      </c>
      <c r="D63" s="3"/>
      <c r="E63" s="3"/>
      <c r="F63" s="172">
        <f>'ADJ DETAIL INPUT'!E62</f>
        <v>34499.699999999997</v>
      </c>
      <c r="G63" s="172">
        <f>H63-F63</f>
        <v>550</v>
      </c>
      <c r="H63" s="172">
        <f>'ADJ DETAIL INPUT'!Y62</f>
        <v>35049.699999999997</v>
      </c>
      <c r="I63" s="172">
        <f>J63-H63</f>
        <v>3389</v>
      </c>
      <c r="J63" s="172">
        <f>'ADJ DETAIL INPUT'!AW62</f>
        <v>38438.699999999997</v>
      </c>
      <c r="K63" s="172"/>
      <c r="L63" s="172">
        <f>J63+K63</f>
        <v>38438.699999999997</v>
      </c>
    </row>
    <row r="64" spans="1:18">
      <c r="A64" s="79">
        <v>33</v>
      </c>
      <c r="B64" s="3"/>
      <c r="C64" s="3" t="s">
        <v>60</v>
      </c>
      <c r="D64" s="3"/>
      <c r="E64" s="3"/>
      <c r="F64" s="172">
        <f>'ADJ DETAIL INPUT'!E63</f>
        <v>650522.69999999995</v>
      </c>
      <c r="G64" s="172">
        <f>H64-F64</f>
        <v>21260</v>
      </c>
      <c r="H64" s="172">
        <f>'ADJ DETAIL INPUT'!Y63</f>
        <v>671782.7</v>
      </c>
      <c r="I64" s="172">
        <f>J64-H64</f>
        <v>72533</v>
      </c>
      <c r="J64" s="172">
        <f>'ADJ DETAIL INPUT'!AW63</f>
        <v>744315.7</v>
      </c>
      <c r="K64" s="172"/>
      <c r="L64" s="172">
        <f>J64+K64</f>
        <v>744315.7</v>
      </c>
    </row>
    <row r="65" spans="1:12">
      <c r="A65" s="79">
        <v>34</v>
      </c>
      <c r="B65" s="3"/>
      <c r="C65" s="3" t="s">
        <v>61</v>
      </c>
      <c r="D65" s="3"/>
      <c r="E65" s="3"/>
      <c r="F65" s="174">
        <f>'ADJ DETAIL INPUT'!E64</f>
        <v>161473</v>
      </c>
      <c r="G65" s="174">
        <f>H65-F65</f>
        <v>2797</v>
      </c>
      <c r="H65" s="174">
        <f>'ADJ DETAIL INPUT'!Y64</f>
        <v>164270</v>
      </c>
      <c r="I65" s="174">
        <f>J65-H65</f>
        <v>5150</v>
      </c>
      <c r="J65" s="174">
        <f>'ADJ DETAIL INPUT'!AW64</f>
        <v>169420</v>
      </c>
      <c r="K65" s="174"/>
      <c r="L65" s="174">
        <f>J65+K65</f>
        <v>169420</v>
      </c>
    </row>
    <row r="66" spans="1:12">
      <c r="A66" s="79">
        <v>35</v>
      </c>
      <c r="B66" s="3"/>
      <c r="C66" s="3"/>
      <c r="D66" s="3"/>
      <c r="E66" s="3" t="s">
        <v>62</v>
      </c>
      <c r="F66" s="180">
        <f>SUM(F63:F65)</f>
        <v>846495.39999999991</v>
      </c>
      <c r="G66" s="180">
        <f t="shared" ref="G66" si="16">SUM(G63:G65)</f>
        <v>24607</v>
      </c>
      <c r="H66" s="180">
        <f t="shared" ref="H66" si="17">SUM(H63:H65)</f>
        <v>871102.39999999991</v>
      </c>
      <c r="I66" s="180">
        <f t="shared" ref="I66:L66" si="18">SUM(I63:I65)</f>
        <v>81072</v>
      </c>
      <c r="J66" s="180">
        <f t="shared" si="18"/>
        <v>952174.39999999991</v>
      </c>
      <c r="K66" s="180">
        <f t="shared" si="18"/>
        <v>0</v>
      </c>
      <c r="L66" s="180">
        <f t="shared" si="18"/>
        <v>952174.39999999991</v>
      </c>
    </row>
    <row r="67" spans="1:12" ht="5.25" customHeight="1">
      <c r="A67" s="79"/>
      <c r="B67" s="3"/>
      <c r="C67" s="3"/>
      <c r="D67" s="3"/>
      <c r="E67" s="3"/>
      <c r="F67" s="180"/>
      <c r="G67" s="180"/>
      <c r="H67" s="180"/>
      <c r="I67" s="180"/>
      <c r="J67" s="180"/>
      <c r="K67" s="180"/>
      <c r="L67" s="180"/>
    </row>
    <row r="68" spans="1:12">
      <c r="A68" s="79"/>
      <c r="B68" s="3" t="s">
        <v>375</v>
      </c>
      <c r="C68" s="3"/>
      <c r="D68" s="3"/>
      <c r="E68" s="3"/>
      <c r="F68" s="172"/>
      <c r="G68" s="172"/>
      <c r="H68" s="172"/>
      <c r="I68" s="172"/>
      <c r="J68" s="172"/>
      <c r="K68" s="172"/>
      <c r="L68" s="172"/>
    </row>
    <row r="69" spans="1:12">
      <c r="A69" s="79">
        <v>36</v>
      </c>
      <c r="B69" s="3"/>
      <c r="C69" s="3" t="s">
        <v>41</v>
      </c>
      <c r="D69" s="3"/>
      <c r="E69" s="3"/>
      <c r="F69" s="172">
        <f>'ADJ DETAIL INPUT'!E68</f>
        <v>-13149</v>
      </c>
      <c r="G69" s="172">
        <f>H69-F69</f>
        <v>-258</v>
      </c>
      <c r="H69" s="172">
        <f>'ADJ DETAIL INPUT'!Y68</f>
        <v>-13407</v>
      </c>
      <c r="I69" s="172">
        <f>J69-H69</f>
        <v>-1085.5</v>
      </c>
      <c r="J69" s="172">
        <f>'ADJ DETAIL INPUT'!AW68</f>
        <v>-14492.5</v>
      </c>
      <c r="K69" s="172"/>
      <c r="L69" s="172">
        <f t="shared" ref="L69:L79" si="19">J69+K69</f>
        <v>-14492.5</v>
      </c>
    </row>
    <row r="70" spans="1:12">
      <c r="A70" s="79">
        <v>37</v>
      </c>
      <c r="B70" s="3"/>
      <c r="C70" s="3" t="s">
        <v>60</v>
      </c>
      <c r="D70" s="3"/>
      <c r="E70" s="3"/>
      <c r="F70" s="172">
        <f>'ADJ DETAIL INPUT'!E69</f>
        <v>-188334</v>
      </c>
      <c r="G70" s="172">
        <f>H70-F70</f>
        <v>-7739</v>
      </c>
      <c r="H70" s="172">
        <f>'ADJ DETAIL INPUT'!Y69</f>
        <v>-196073</v>
      </c>
      <c r="I70" s="172">
        <f>J70-H70</f>
        <v>-30400.399999999994</v>
      </c>
      <c r="J70" s="172">
        <f>'ADJ DETAIL INPUT'!AW69</f>
        <v>-226473.4</v>
      </c>
      <c r="K70" s="172"/>
      <c r="L70" s="172">
        <f t="shared" si="19"/>
        <v>-226473.4</v>
      </c>
    </row>
    <row r="71" spans="1:12">
      <c r="A71" s="79">
        <v>38</v>
      </c>
      <c r="B71" s="3"/>
      <c r="C71" s="3" t="s">
        <v>61</v>
      </c>
      <c r="D71" s="3"/>
      <c r="E71" s="3"/>
      <c r="F71" s="174">
        <f>'ADJ DETAIL INPUT'!E70</f>
        <v>-62353</v>
      </c>
      <c r="G71" s="174">
        <f>H71-F71</f>
        <v>-4319</v>
      </c>
      <c r="H71" s="172">
        <f>'ADJ DETAIL INPUT'!Y70</f>
        <v>-66672</v>
      </c>
      <c r="I71" s="174">
        <f>J71-H71</f>
        <v>-5244.3000000000029</v>
      </c>
      <c r="J71" s="172">
        <f>'ADJ DETAIL INPUT'!AW70</f>
        <v>-71916.3</v>
      </c>
      <c r="K71" s="174"/>
      <c r="L71" s="174">
        <f t="shared" si="19"/>
        <v>-71916.3</v>
      </c>
    </row>
    <row r="72" spans="1:12">
      <c r="A72" s="79">
        <v>39</v>
      </c>
      <c r="B72" s="3" t="s">
        <v>376</v>
      </c>
      <c r="C72" s="3"/>
      <c r="D72" s="3"/>
      <c r="E72" s="247"/>
      <c r="F72" s="177">
        <f>SUM(F69:F71)</f>
        <v>-263836</v>
      </c>
      <c r="G72" s="177">
        <f t="shared" ref="G72" si="20">SUM(G69:G71)</f>
        <v>-12316</v>
      </c>
      <c r="H72" s="177">
        <f t="shared" ref="H72" si="21">SUM(H69:H71)</f>
        <v>-276152</v>
      </c>
      <c r="I72" s="177">
        <f t="shared" ref="I72:L72" si="22">SUM(I69:I71)</f>
        <v>-36730.199999999997</v>
      </c>
      <c r="J72" s="177">
        <f t="shared" si="22"/>
        <v>-312882.2</v>
      </c>
      <c r="K72" s="177">
        <f t="shared" si="22"/>
        <v>0</v>
      </c>
      <c r="L72" s="177">
        <f t="shared" si="22"/>
        <v>-312882.2</v>
      </c>
    </row>
    <row r="73" spans="1:12">
      <c r="A73" s="79">
        <v>40</v>
      </c>
      <c r="B73" s="118" t="s">
        <v>164</v>
      </c>
      <c r="C73" s="3"/>
      <c r="D73" s="3"/>
      <c r="E73" s="3"/>
      <c r="F73" s="180">
        <f>F66+F72</f>
        <v>582659.39999999991</v>
      </c>
      <c r="G73" s="180">
        <f t="shared" ref="G73" si="23">G66+G72</f>
        <v>12291</v>
      </c>
      <c r="H73" s="180">
        <f t="shared" ref="H73" si="24">H66+H72</f>
        <v>594950.39999999991</v>
      </c>
      <c r="I73" s="180">
        <f t="shared" ref="I73:L73" si="25">I66+I72</f>
        <v>44341.8</v>
      </c>
      <c r="J73" s="180">
        <f t="shared" si="25"/>
        <v>639292.19999999995</v>
      </c>
      <c r="K73" s="180">
        <f t="shared" si="25"/>
        <v>0</v>
      </c>
      <c r="L73" s="180">
        <f t="shared" si="25"/>
        <v>639292.19999999995</v>
      </c>
    </row>
    <row r="74" spans="1:12">
      <c r="A74" s="4">
        <v>41</v>
      </c>
      <c r="B74" s="5" t="s">
        <v>64</v>
      </c>
      <c r="C74" s="5"/>
      <c r="D74" s="5"/>
      <c r="E74" s="5"/>
      <c r="F74" s="174">
        <f>'ADJ DETAIL INPUT'!E73</f>
        <v>-84772</v>
      </c>
      <c r="G74" s="174">
        <f>H74-F74</f>
        <v>-107</v>
      </c>
      <c r="H74" s="174">
        <f>'ADJ DETAIL INPUT'!Y73</f>
        <v>-84879</v>
      </c>
      <c r="I74" s="174">
        <f>J74-H74</f>
        <v>-1082</v>
      </c>
      <c r="J74" s="174">
        <f>'ADJ DETAIL INPUT'!AW73</f>
        <v>-85961</v>
      </c>
      <c r="K74" s="174"/>
      <c r="L74" s="174">
        <f>J74+K74</f>
        <v>-85961</v>
      </c>
    </row>
    <row r="75" spans="1:12">
      <c r="A75" s="4">
        <v>42</v>
      </c>
      <c r="B75" s="5"/>
      <c r="C75" s="120" t="s">
        <v>191</v>
      </c>
      <c r="D75" s="5"/>
      <c r="E75" s="5"/>
      <c r="F75" s="172">
        <f>F73+F74</f>
        <v>497887.39999999991</v>
      </c>
      <c r="G75" s="172">
        <f t="shared" ref="G75" si="26">G73+G74</f>
        <v>12184</v>
      </c>
      <c r="H75" s="172">
        <f>H73+H74</f>
        <v>510071.39999999991</v>
      </c>
      <c r="I75" s="172">
        <f t="shared" ref="I75:L75" si="27">I73+I74</f>
        <v>43259.8</v>
      </c>
      <c r="J75" s="172">
        <f>J73+J74</f>
        <v>553331.19999999995</v>
      </c>
      <c r="K75" s="172">
        <f t="shared" si="27"/>
        <v>0</v>
      </c>
      <c r="L75" s="172">
        <f t="shared" si="27"/>
        <v>553331.19999999995</v>
      </c>
    </row>
    <row r="76" spans="1:12" ht="12" customHeight="1">
      <c r="A76" s="79">
        <v>43</v>
      </c>
      <c r="B76" s="212" t="s">
        <v>65</v>
      </c>
      <c r="C76" s="212"/>
      <c r="D76" s="212"/>
      <c r="E76" s="212"/>
      <c r="F76" s="213">
        <f>'ADJ DETAIL INPUT'!E75</f>
        <v>19552</v>
      </c>
      <c r="G76" s="213">
        <f>H76-F76</f>
        <v>0</v>
      </c>
      <c r="H76" s="172">
        <f>'ADJ DETAIL INPUT'!Y75</f>
        <v>19552</v>
      </c>
      <c r="I76" s="213">
        <f>J76-H76</f>
        <v>0</v>
      </c>
      <c r="J76" s="172">
        <f>'ADJ DETAIL INPUT'!AW75</f>
        <v>19552</v>
      </c>
      <c r="K76" s="213"/>
      <c r="L76" s="213">
        <f t="shared" si="19"/>
        <v>19552</v>
      </c>
    </row>
    <row r="77" spans="1:12">
      <c r="A77" s="79">
        <v>44</v>
      </c>
      <c r="B77" s="212" t="s">
        <v>66</v>
      </c>
      <c r="C77" s="212"/>
      <c r="D77" s="212"/>
      <c r="E77" s="212"/>
      <c r="F77" s="213">
        <f>'ADJ DETAIL INPUT'!E76</f>
        <v>0</v>
      </c>
      <c r="G77" s="213">
        <f>H77-F77</f>
        <v>0</v>
      </c>
      <c r="H77" s="172">
        <f>'ADJ DETAIL INPUT'!Y76</f>
        <v>0</v>
      </c>
      <c r="I77" s="213">
        <f>J77-H77</f>
        <v>0</v>
      </c>
      <c r="J77" s="172">
        <f>'ADJ DETAIL INPUT'!AW76</f>
        <v>0</v>
      </c>
      <c r="K77" s="213"/>
      <c r="L77" s="213">
        <f t="shared" si="19"/>
        <v>0</v>
      </c>
    </row>
    <row r="78" spans="1:12">
      <c r="A78" s="79">
        <v>45</v>
      </c>
      <c r="B78" s="212" t="s">
        <v>377</v>
      </c>
      <c r="C78" s="212"/>
      <c r="D78" s="212"/>
      <c r="E78" s="212"/>
      <c r="F78" s="213">
        <f>'ADJ DETAIL INPUT'!E77</f>
        <v>943</v>
      </c>
      <c r="G78" s="213">
        <f>H78-F78</f>
        <v>0</v>
      </c>
      <c r="H78" s="172">
        <f>'ADJ DETAIL INPUT'!Y77</f>
        <v>943</v>
      </c>
      <c r="I78" s="213">
        <f>J78-H78</f>
        <v>-2141</v>
      </c>
      <c r="J78" s="172">
        <f>'ADJ DETAIL INPUT'!AW77</f>
        <v>-1198</v>
      </c>
      <c r="K78" s="213"/>
      <c r="L78" s="213">
        <f t="shared" si="19"/>
        <v>-1198</v>
      </c>
    </row>
    <row r="79" spans="1:12">
      <c r="A79" s="79">
        <v>46</v>
      </c>
      <c r="B79" s="212" t="s">
        <v>166</v>
      </c>
      <c r="C79" s="212"/>
      <c r="D79" s="212"/>
      <c r="E79" s="212"/>
      <c r="F79" s="175">
        <f>'ADJ DETAIL INPUT'!E78</f>
        <v>15047</v>
      </c>
      <c r="G79" s="175">
        <f>H79-F79</f>
        <v>-648</v>
      </c>
      <c r="H79" s="174">
        <f>'ADJ DETAIL INPUT'!Y78</f>
        <v>14399</v>
      </c>
      <c r="I79" s="175">
        <f>J79-H79</f>
        <v>0</v>
      </c>
      <c r="J79" s="174">
        <f>'ADJ DETAIL INPUT'!AW78</f>
        <v>14399</v>
      </c>
      <c r="K79" s="175"/>
      <c r="L79" s="175">
        <f t="shared" si="19"/>
        <v>14399</v>
      </c>
    </row>
    <row r="80" spans="1:12" ht="3" customHeight="1">
      <c r="A80" s="79"/>
      <c r="B80" s="1"/>
      <c r="C80" s="1"/>
      <c r="D80" s="1"/>
      <c r="E80" s="1"/>
      <c r="F80" s="28"/>
      <c r="G80" s="28"/>
      <c r="H80" s="56"/>
      <c r="I80" s="28"/>
      <c r="J80" s="56"/>
      <c r="K80" s="28"/>
      <c r="L80" s="28"/>
    </row>
    <row r="81" spans="1:12" ht="13.5" thickBot="1">
      <c r="A81" s="79">
        <v>47</v>
      </c>
      <c r="B81" s="2" t="s">
        <v>67</v>
      </c>
      <c r="C81" s="2"/>
      <c r="D81" s="2"/>
      <c r="E81" s="2"/>
      <c r="F81" s="55">
        <f>F79+F77+F76+F75+F78</f>
        <v>533429.39999999991</v>
      </c>
      <c r="G81" s="55">
        <f>G79+G77+G76+G75+G78</f>
        <v>11536</v>
      </c>
      <c r="H81" s="55">
        <f>H79+H77+H76+H75+H78</f>
        <v>544965.39999999991</v>
      </c>
      <c r="I81" s="55">
        <f>I79+I77+I76+I75+I78</f>
        <v>41118.800000000003</v>
      </c>
      <c r="J81" s="55">
        <f>J79+J77+J76+J75+J78</f>
        <v>586084.19999999995</v>
      </c>
      <c r="K81" s="55">
        <f>K79+K77+K76+K75</f>
        <v>0</v>
      </c>
      <c r="L81" s="55">
        <f>L79+L77+L76+L75+L78</f>
        <v>586084.19999999995</v>
      </c>
    </row>
    <row r="82" spans="1:12" ht="13.5" thickTop="1">
      <c r="A82" s="79">
        <v>48</v>
      </c>
      <c r="B82" s="1" t="s">
        <v>413</v>
      </c>
      <c r="C82" s="1"/>
      <c r="D82" s="1"/>
      <c r="E82" s="1"/>
      <c r="F82" s="219">
        <f>ROUND(F59/F81,4)</f>
        <v>6.8199999999999997E-2</v>
      </c>
      <c r="G82" s="52"/>
      <c r="H82" s="219">
        <f>ROUND(H59/H81,4)</f>
        <v>6.5000000000000002E-2</v>
      </c>
      <c r="I82" s="52"/>
      <c r="J82" s="219">
        <f>ROUND(J59/J81,4)</f>
        <v>5.3900000000000003E-2</v>
      </c>
      <c r="K82" s="6"/>
      <c r="L82" s="219">
        <f>ROUND(L59/L81,4)</f>
        <v>7.6100000000000001E-2</v>
      </c>
    </row>
    <row r="83" spans="1:12" ht="7.5" customHeight="1">
      <c r="A83" s="263"/>
      <c r="B83" s="263"/>
      <c r="C83" s="263"/>
      <c r="D83" s="263"/>
      <c r="E83" s="263"/>
      <c r="F83" s="263"/>
      <c r="G83" s="263"/>
      <c r="H83" s="263"/>
      <c r="I83" s="263"/>
      <c r="J83" s="263"/>
      <c r="K83" s="263"/>
      <c r="L83" s="263"/>
    </row>
    <row r="84" spans="1:12">
      <c r="A84" s="53"/>
      <c r="B84" s="54"/>
      <c r="C84" s="54"/>
      <c r="D84" s="54"/>
      <c r="E84" s="30"/>
      <c r="F84" s="30"/>
      <c r="G84" s="30"/>
      <c r="H84" s="30"/>
      <c r="I84" s="30"/>
      <c r="J84" s="30"/>
      <c r="K84" s="30"/>
      <c r="L84" s="30"/>
    </row>
    <row r="1048576" spans="8:8">
      <c r="H1048576" s="78">
        <f>SUM(H83:H1048575)</f>
        <v>0</v>
      </c>
    </row>
  </sheetData>
  <mergeCells count="3">
    <mergeCell ref="F6:L6"/>
    <mergeCell ref="K7:L7"/>
    <mergeCell ref="F7:J7"/>
  </mergeCells>
  <pageMargins left="1" right="1" top="1" bottom="1" header="0.5" footer="0.5"/>
  <pageSetup scale="70" orientation="portrait" r:id="rId1"/>
  <headerFooter scaleWithDoc="0" alignWithMargins="0">
    <oddHeader>&amp;RExh. KJS-3</oddHeader>
    <oddFooter>&amp;RPage &amp;P of &amp;N</oddFooter>
  </headerFooter>
  <ignoredErrors>
    <ignoredError sqref="L8" numberStoredAsText="1"/>
    <ignoredError sqref="H15:L82 G7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EBF8-D389-4E29-AA63-081E4DA738D6}">
  <sheetPr codeName="Sheet6">
    <pageSetUpPr fitToPage="1"/>
  </sheetPr>
  <dimension ref="A1:AI1048576"/>
  <sheetViews>
    <sheetView zoomScaleNormal="100" workbookViewId="0"/>
  </sheetViews>
  <sheetFormatPr defaultColWidth="9.28515625" defaultRowHeight="12.75"/>
  <cols>
    <col min="1" max="1" width="4.5703125" style="32" customWidth="1"/>
    <col min="2" max="3" width="1.5703125" style="31" customWidth="1"/>
    <col min="4" max="4" width="2.5703125" style="31" customWidth="1"/>
    <col min="5" max="5" width="22.85546875" style="78" customWidth="1"/>
    <col min="6" max="6" width="9.7109375" style="78" customWidth="1"/>
    <col min="7" max="7" width="11.28515625" style="78" bestFit="1" customWidth="1"/>
    <col min="8" max="8" width="9.7109375" style="78" bestFit="1" customWidth="1"/>
    <col min="9" max="10" width="15.140625" style="78" bestFit="1" customWidth="1"/>
    <col min="11" max="11" width="15.85546875" style="247" bestFit="1" customWidth="1"/>
    <col min="12" max="13" width="9" style="247" customWidth="1"/>
    <col min="14" max="14" width="9.28515625" style="247"/>
    <col min="15" max="15" width="10.28515625" style="247" customWidth="1"/>
    <col min="16" max="16" width="9.28515625" style="247"/>
    <col min="17" max="17" width="11.28515625" style="247" bestFit="1" customWidth="1"/>
    <col min="18" max="16384" width="9.28515625" style="247"/>
  </cols>
  <sheetData>
    <row r="1" spans="1:35" ht="15">
      <c r="A1" s="271" t="str">
        <f>'ROO INPUT 1.00'!A3:C3</f>
        <v>AVISTA UTILITIES</v>
      </c>
      <c r="D1" s="32"/>
      <c r="F1" s="261"/>
      <c r="G1" s="261"/>
    </row>
    <row r="2" spans="1:35" ht="15" customHeight="1">
      <c r="A2" s="271" t="str">
        <f>'ADJ DETAIL INPUT'!A3</f>
        <v>WASHINGTON NATURAL GAS</v>
      </c>
      <c r="D2" s="32"/>
      <c r="G2" s="63"/>
      <c r="H2" s="64"/>
      <c r="I2" s="64"/>
      <c r="J2" s="64"/>
      <c r="K2" s="250"/>
      <c r="L2" s="250"/>
      <c r="M2" s="250"/>
      <c r="N2" s="250"/>
    </row>
    <row r="3" spans="1:35" ht="15" customHeight="1">
      <c r="A3" s="271" t="str">
        <f>'ROO INPUT 1.00'!A5:C5</f>
        <v>TWELVE MONTHS ENDED JUNE 30, 2023</v>
      </c>
      <c r="D3" s="32"/>
      <c r="G3" s="63"/>
      <c r="H3" s="64"/>
      <c r="I3" s="64"/>
      <c r="J3" s="64"/>
      <c r="K3" s="250"/>
      <c r="L3" s="250"/>
      <c r="M3" s="250"/>
      <c r="N3" s="250"/>
    </row>
    <row r="4" spans="1:35" ht="15">
      <c r="A4" s="271" t="str">
        <f>'ROO INPUT 1.00'!A6:C6</f>
        <v xml:space="preserve">(000'S OF DOLLARS)   </v>
      </c>
      <c r="D4" s="32"/>
      <c r="G4" s="399"/>
      <c r="H4" s="399"/>
    </row>
    <row r="5" spans="1:35" ht="15">
      <c r="A5" s="271" t="s">
        <v>644</v>
      </c>
      <c r="D5" s="32"/>
    </row>
    <row r="6" spans="1:35" ht="14.25">
      <c r="D6" s="32"/>
      <c r="F6" s="3722" t="s">
        <v>550</v>
      </c>
      <c r="G6" s="3723"/>
      <c r="H6" s="3723"/>
      <c r="I6" s="3723"/>
      <c r="J6" s="3723"/>
      <c r="K6" s="3731"/>
      <c r="AD6" s="250"/>
      <c r="AE6" s="250"/>
      <c r="AF6" s="250"/>
      <c r="AG6" s="250"/>
      <c r="AH6" s="250"/>
      <c r="AI6" s="250"/>
    </row>
    <row r="7" spans="1:35">
      <c r="A7" s="33"/>
      <c r="B7" s="33"/>
      <c r="C7" s="34"/>
      <c r="D7" s="34"/>
      <c r="E7" s="33"/>
      <c r="F7" s="437" t="s">
        <v>547</v>
      </c>
      <c r="G7" s="447"/>
      <c r="H7" s="448"/>
      <c r="I7" s="449"/>
      <c r="J7" s="437" t="s">
        <v>555</v>
      </c>
      <c r="K7" s="448"/>
      <c r="P7" s="250"/>
      <c r="Y7" s="250"/>
      <c r="Z7" s="250"/>
      <c r="AD7" s="250"/>
      <c r="AE7" s="250"/>
      <c r="AF7" s="250"/>
      <c r="AG7" s="250"/>
      <c r="AH7" s="250"/>
      <c r="AI7" s="250"/>
    </row>
    <row r="8" spans="1:35">
      <c r="A8" s="35"/>
      <c r="B8" s="36"/>
      <c r="C8" s="37"/>
      <c r="D8" s="38"/>
      <c r="E8" s="39"/>
      <c r="F8" s="434" t="s">
        <v>549</v>
      </c>
      <c r="G8" s="434" t="s">
        <v>551</v>
      </c>
      <c r="H8" s="434" t="s">
        <v>551</v>
      </c>
      <c r="I8" s="438" t="s">
        <v>552</v>
      </c>
      <c r="J8" s="438" t="s">
        <v>553</v>
      </c>
      <c r="K8" s="438" t="s">
        <v>554</v>
      </c>
    </row>
    <row r="9" spans="1:35">
      <c r="A9" s="40" t="s">
        <v>6</v>
      </c>
      <c r="B9" s="41"/>
      <c r="C9" s="42"/>
      <c r="D9" s="43"/>
      <c r="E9" s="44"/>
      <c r="F9" s="435" t="s">
        <v>14</v>
      </c>
      <c r="G9" s="435" t="s">
        <v>24</v>
      </c>
      <c r="H9" s="435" t="s">
        <v>14</v>
      </c>
      <c r="I9" s="435" t="s">
        <v>140</v>
      </c>
      <c r="J9" s="435" t="s">
        <v>140</v>
      </c>
      <c r="K9" s="435" t="s">
        <v>139</v>
      </c>
    </row>
    <row r="10" spans="1:35">
      <c r="A10" s="45" t="s">
        <v>15</v>
      </c>
      <c r="B10" s="46"/>
      <c r="C10" s="47"/>
      <c r="D10" s="48"/>
      <c r="E10" s="49" t="s">
        <v>16</v>
      </c>
      <c r="F10" s="436" t="s">
        <v>24</v>
      </c>
      <c r="G10" s="436" t="s">
        <v>116</v>
      </c>
      <c r="H10" s="436" t="s">
        <v>24</v>
      </c>
      <c r="I10" s="436" t="s">
        <v>141</v>
      </c>
      <c r="J10" s="436" t="s">
        <v>141</v>
      </c>
      <c r="K10" s="436" t="s">
        <v>24</v>
      </c>
    </row>
    <row r="11" spans="1:35">
      <c r="A11" s="50"/>
      <c r="B11" s="50"/>
      <c r="C11" s="51"/>
      <c r="D11" s="51"/>
      <c r="E11" s="51" t="s">
        <v>25</v>
      </c>
      <c r="F11" s="16" t="s">
        <v>26</v>
      </c>
      <c r="G11" s="382" t="s">
        <v>27</v>
      </c>
      <c r="H11" s="382" t="s">
        <v>28</v>
      </c>
      <c r="I11" s="16" t="s">
        <v>29</v>
      </c>
      <c r="J11" s="16" t="s">
        <v>30</v>
      </c>
      <c r="K11" s="16" t="s">
        <v>529</v>
      </c>
    </row>
    <row r="12" spans="1:35" ht="3.75" customHeight="1">
      <c r="A12" s="50"/>
      <c r="B12" s="50"/>
      <c r="C12" s="51"/>
      <c r="D12" s="51"/>
      <c r="E12" s="51"/>
      <c r="F12" s="16"/>
      <c r="G12" s="16"/>
      <c r="H12" s="16"/>
      <c r="I12" s="16"/>
      <c r="J12" s="16"/>
      <c r="K12" s="16"/>
    </row>
    <row r="13" spans="1:35" ht="2.25" customHeight="1">
      <c r="A13" s="50"/>
      <c r="B13" s="50"/>
      <c r="C13" s="51"/>
      <c r="D13" s="51"/>
      <c r="E13" s="51"/>
      <c r="F13" s="16"/>
      <c r="G13" s="16"/>
      <c r="H13" s="16"/>
      <c r="I13" s="16"/>
      <c r="J13" s="16"/>
      <c r="K13" s="16"/>
    </row>
    <row r="14" spans="1:35">
      <c r="A14" s="79"/>
      <c r="B14" s="1" t="s">
        <v>31</v>
      </c>
      <c r="C14" s="1"/>
      <c r="D14" s="1"/>
      <c r="E14" s="1"/>
      <c r="F14" s="28"/>
      <c r="G14" s="28"/>
      <c r="K14" s="78"/>
    </row>
    <row r="15" spans="1:35">
      <c r="A15" s="79">
        <v>1</v>
      </c>
      <c r="B15" s="2"/>
      <c r="C15" s="2" t="s">
        <v>32</v>
      </c>
      <c r="D15" s="2"/>
      <c r="E15" s="2"/>
      <c r="F15" s="29">
        <f>'PROPOSED RATES-12.2024'!J15</f>
        <v>121583</v>
      </c>
      <c r="G15" s="29">
        <f>H15-F15</f>
        <v>0</v>
      </c>
      <c r="H15" s="29">
        <f>'ADJ DETAIL INPUT'!BI14</f>
        <v>121583</v>
      </c>
      <c r="I15" s="29">
        <f>CF!I12</f>
        <v>17293</v>
      </c>
      <c r="J15" s="223">
        <f>CF!J12</f>
        <v>4563.7102337211754</v>
      </c>
      <c r="K15" s="29">
        <f>H15+I15+J15</f>
        <v>143439.71023372118</v>
      </c>
    </row>
    <row r="16" spans="1:35">
      <c r="A16" s="79">
        <v>2</v>
      </c>
      <c r="B16" s="1"/>
      <c r="C16" s="3" t="s">
        <v>33</v>
      </c>
      <c r="D16" s="3"/>
      <c r="E16" s="3"/>
      <c r="F16" s="56">
        <f>'PROPOSED RATES-12.2024'!J16</f>
        <v>5393</v>
      </c>
      <c r="G16" s="172">
        <f>H16-F16</f>
        <v>0</v>
      </c>
      <c r="H16" s="172">
        <f>'ADJ DETAIL INPUT'!BI15</f>
        <v>5393</v>
      </c>
      <c r="I16" s="172"/>
      <c r="J16" s="172"/>
      <c r="K16" s="56">
        <f>H16+I16+J16</f>
        <v>5393</v>
      </c>
    </row>
    <row r="17" spans="1:17">
      <c r="A17" s="79">
        <v>3</v>
      </c>
      <c r="B17" s="1"/>
      <c r="C17" s="3" t="s">
        <v>34</v>
      </c>
      <c r="D17" s="3"/>
      <c r="E17" s="3"/>
      <c r="F17" s="439">
        <f>'PROPOSED RATES-12.2024'!J17</f>
        <v>717</v>
      </c>
      <c r="G17" s="174">
        <f>H17-F17</f>
        <v>39</v>
      </c>
      <c r="H17" s="174">
        <f>'ADJ DETAIL INPUT'!BI16</f>
        <v>756</v>
      </c>
      <c r="I17" s="174"/>
      <c r="J17" s="174"/>
      <c r="K17" s="439">
        <f>H17+I17+J17</f>
        <v>756</v>
      </c>
    </row>
    <row r="18" spans="1:17">
      <c r="A18" s="79">
        <v>4</v>
      </c>
      <c r="B18" s="1" t="s">
        <v>35</v>
      </c>
      <c r="C18" s="3"/>
      <c r="D18" s="3"/>
      <c r="E18" s="3"/>
      <c r="F18" s="172">
        <f>SUM(F15:F17)</f>
        <v>127693</v>
      </c>
      <c r="G18" s="172">
        <f t="shared" ref="G18:K18" si="0">SUM(G15:G17)</f>
        <v>39</v>
      </c>
      <c r="H18" s="172">
        <f t="shared" si="0"/>
        <v>127732</v>
      </c>
      <c r="I18" s="172">
        <f t="shared" si="0"/>
        <v>17293</v>
      </c>
      <c r="J18" s="172">
        <f t="shared" si="0"/>
        <v>4563.7102337211754</v>
      </c>
      <c r="K18" s="172">
        <f t="shared" si="0"/>
        <v>149588.71023372118</v>
      </c>
      <c r="O18"/>
      <c r="P18"/>
      <c r="Q18"/>
    </row>
    <row r="19" spans="1:17" ht="4.5" customHeight="1">
      <c r="A19" s="79"/>
      <c r="B19" s="1"/>
      <c r="C19" s="3"/>
      <c r="D19" s="3"/>
      <c r="E19" s="3"/>
      <c r="F19" s="172"/>
      <c r="G19" s="172"/>
      <c r="H19" s="172"/>
      <c r="I19" s="172"/>
      <c r="J19" s="172"/>
      <c r="K19" s="172"/>
      <c r="O19"/>
      <c r="P19"/>
      <c r="Q19"/>
    </row>
    <row r="20" spans="1:17">
      <c r="A20" s="79"/>
      <c r="B20" s="1" t="s">
        <v>36</v>
      </c>
      <c r="C20" s="3"/>
      <c r="D20" s="3"/>
      <c r="E20" s="3"/>
      <c r="F20" s="172"/>
      <c r="G20" s="172"/>
      <c r="H20" s="172"/>
      <c r="I20" s="172"/>
      <c r="J20" s="172"/>
      <c r="K20" s="172"/>
      <c r="O20"/>
      <c r="P20"/>
      <c r="Q20"/>
    </row>
    <row r="21" spans="1:17">
      <c r="A21" s="79"/>
      <c r="B21" s="1"/>
      <c r="C21" s="3" t="s">
        <v>203</v>
      </c>
      <c r="D21" s="3"/>
      <c r="E21" s="3"/>
      <c r="F21" s="172"/>
      <c r="G21" s="172"/>
      <c r="H21" s="172"/>
      <c r="I21" s="172"/>
      <c r="J21" s="172"/>
      <c r="K21" s="172"/>
      <c r="O21"/>
      <c r="P21"/>
      <c r="Q21"/>
    </row>
    <row r="22" spans="1:17">
      <c r="A22" s="79">
        <v>5</v>
      </c>
      <c r="B22" s="1"/>
      <c r="C22" s="3"/>
      <c r="D22" s="3" t="s">
        <v>37</v>
      </c>
      <c r="E22" s="3"/>
      <c r="F22" s="56">
        <f>'PROPOSED RATES-12.2024'!J22</f>
        <v>0</v>
      </c>
      <c r="G22" s="172">
        <f>H22-F22</f>
        <v>0</v>
      </c>
      <c r="H22" s="172">
        <f>'ADJ DETAIL INPUT'!BI21</f>
        <v>0</v>
      </c>
      <c r="I22" s="172"/>
      <c r="J22" s="172"/>
      <c r="K22" s="56">
        <f t="shared" ref="K22:K23" si="1">H22+I22+J22</f>
        <v>0</v>
      </c>
      <c r="O22"/>
      <c r="P22"/>
      <c r="Q22"/>
    </row>
    <row r="23" spans="1:17">
      <c r="A23" s="79">
        <v>6</v>
      </c>
      <c r="B23" s="1"/>
      <c r="C23" s="3"/>
      <c r="D23" s="3" t="s">
        <v>38</v>
      </c>
      <c r="E23" s="3"/>
      <c r="F23" s="56">
        <f>'PROPOSED RATES-12.2024'!J23</f>
        <v>951.78300000000002</v>
      </c>
      <c r="G23" s="172">
        <f>H23-F23</f>
        <v>36.932999999999993</v>
      </c>
      <c r="H23" s="172">
        <f>'ADJ DETAIL INPUT'!BI22</f>
        <v>988.71600000000001</v>
      </c>
      <c r="I23" s="172"/>
      <c r="J23" s="172"/>
      <c r="K23" s="56">
        <f t="shared" si="1"/>
        <v>988.71600000000001</v>
      </c>
      <c r="O23"/>
      <c r="P23"/>
      <c r="Q23"/>
    </row>
    <row r="24" spans="1:17">
      <c r="A24" s="79">
        <v>7</v>
      </c>
      <c r="B24" s="1"/>
      <c r="C24" s="3"/>
      <c r="D24" s="3" t="s">
        <v>39</v>
      </c>
      <c r="E24" s="3"/>
      <c r="F24" s="439">
        <f>'PROPOSED RATES-12.2024'!J24</f>
        <v>0</v>
      </c>
      <c r="G24" s="174">
        <f>H24-F24</f>
        <v>0</v>
      </c>
      <c r="H24" s="174">
        <f>'ADJ DETAIL INPUT'!BI23</f>
        <v>0</v>
      </c>
      <c r="I24" s="174"/>
      <c r="J24" s="174"/>
      <c r="K24" s="439">
        <f>H24+I24+J24</f>
        <v>0</v>
      </c>
      <c r="O24"/>
      <c r="P24"/>
      <c r="Q24"/>
    </row>
    <row r="25" spans="1:17">
      <c r="A25" s="79">
        <v>8</v>
      </c>
      <c r="B25" s="1"/>
      <c r="C25" s="3"/>
      <c r="D25" s="3"/>
      <c r="E25" s="3" t="s">
        <v>40</v>
      </c>
      <c r="F25" s="172">
        <f>SUM(F22:F24)</f>
        <v>951.78300000000002</v>
      </c>
      <c r="G25" s="172">
        <f t="shared" ref="G25:K25" si="2">SUM(G22:G24)</f>
        <v>36.932999999999993</v>
      </c>
      <c r="H25" s="172">
        <f t="shared" si="2"/>
        <v>988.71600000000001</v>
      </c>
      <c r="I25" s="172">
        <f t="shared" si="2"/>
        <v>0</v>
      </c>
      <c r="J25" s="172">
        <f t="shared" si="2"/>
        <v>0</v>
      </c>
      <c r="K25" s="172">
        <f t="shared" si="2"/>
        <v>988.71600000000001</v>
      </c>
      <c r="O25"/>
      <c r="P25"/>
      <c r="Q25"/>
    </row>
    <row r="26" spans="1:17" ht="5.25" customHeight="1">
      <c r="A26" s="79"/>
      <c r="B26" s="1"/>
      <c r="C26" s="3"/>
      <c r="D26" s="3"/>
      <c r="E26" s="3"/>
      <c r="F26" s="172"/>
      <c r="G26" s="172"/>
      <c r="H26" s="173"/>
      <c r="I26" s="173"/>
      <c r="J26" s="172"/>
      <c r="K26" s="172"/>
      <c r="O26"/>
      <c r="P26"/>
      <c r="Q26"/>
    </row>
    <row r="27" spans="1:17">
      <c r="A27" s="79"/>
      <c r="B27" s="1"/>
      <c r="C27" s="3" t="s">
        <v>41</v>
      </c>
      <c r="D27" s="3"/>
      <c r="E27" s="3"/>
      <c r="F27" s="172"/>
      <c r="G27" s="172"/>
      <c r="H27" s="172"/>
      <c r="I27" s="172"/>
      <c r="J27" s="172"/>
      <c r="K27" s="172"/>
      <c r="O27"/>
      <c r="P27"/>
      <c r="Q27"/>
    </row>
    <row r="28" spans="1:17">
      <c r="A28" s="79">
        <v>9</v>
      </c>
      <c r="B28" s="1"/>
      <c r="C28" s="3"/>
      <c r="D28" s="3" t="s">
        <v>42</v>
      </c>
      <c r="E28" s="3"/>
      <c r="F28" s="56">
        <f>'PROPOSED RATES-12.2024'!J28</f>
        <v>2298.134</v>
      </c>
      <c r="G28" s="172">
        <f>H28-F28</f>
        <v>94.333999999999833</v>
      </c>
      <c r="H28" s="172">
        <f>'ADJ DETAIL INPUT'!BI27</f>
        <v>2392.4679999999998</v>
      </c>
      <c r="I28" s="172"/>
      <c r="J28" s="172"/>
      <c r="K28" s="56">
        <f t="shared" ref="K28:K29" si="3">H28+I28+J28</f>
        <v>2392.4679999999998</v>
      </c>
      <c r="O28"/>
      <c r="P28"/>
      <c r="Q28"/>
    </row>
    <row r="29" spans="1:17">
      <c r="A29" s="79">
        <v>10</v>
      </c>
      <c r="B29" s="1"/>
      <c r="C29" s="3"/>
      <c r="D29" s="3" t="s">
        <v>43</v>
      </c>
      <c r="E29" s="3"/>
      <c r="F29" s="56">
        <f>'PROPOSED RATES-12.2024'!J29</f>
        <v>566.20000000000005</v>
      </c>
      <c r="G29" s="172">
        <f>H29-F29</f>
        <v>22</v>
      </c>
      <c r="H29" s="172">
        <f>'ADJ DETAIL INPUT'!BI28</f>
        <v>588.20000000000005</v>
      </c>
      <c r="I29" s="172"/>
      <c r="J29" s="172"/>
      <c r="K29" s="56">
        <f t="shared" si="3"/>
        <v>588.20000000000005</v>
      </c>
      <c r="O29"/>
      <c r="P29"/>
      <c r="Q29"/>
    </row>
    <row r="30" spans="1:17">
      <c r="A30" s="201">
        <v>11</v>
      </c>
      <c r="B30" s="1"/>
      <c r="C30" s="3"/>
      <c r="D30" s="3" t="s">
        <v>20</v>
      </c>
      <c r="E30" s="3"/>
      <c r="F30" s="439">
        <f>'PROPOSED RATES-12.2024'!J30</f>
        <v>250</v>
      </c>
      <c r="G30" s="174">
        <f>H30-F30</f>
        <v>2</v>
      </c>
      <c r="H30" s="174">
        <f>'ADJ DETAIL INPUT'!BI29</f>
        <v>252</v>
      </c>
      <c r="I30" s="174"/>
      <c r="J30" s="174"/>
      <c r="K30" s="439">
        <f>H30+I30+J30</f>
        <v>252</v>
      </c>
      <c r="O30"/>
      <c r="P30"/>
      <c r="Q30"/>
    </row>
    <row r="31" spans="1:17">
      <c r="A31" s="79">
        <v>12</v>
      </c>
      <c r="B31" s="1"/>
      <c r="C31" s="3"/>
      <c r="D31" s="3"/>
      <c r="E31" s="3" t="s">
        <v>44</v>
      </c>
      <c r="F31" s="172">
        <f t="shared" ref="F31:K31" si="4">SUM(F28:F30)</f>
        <v>3114.3339999999998</v>
      </c>
      <c r="G31" s="172">
        <f t="shared" si="4"/>
        <v>118.33399999999983</v>
      </c>
      <c r="H31" s="172">
        <f t="shared" si="4"/>
        <v>3232.6679999999997</v>
      </c>
      <c r="I31" s="172">
        <f t="shared" si="4"/>
        <v>0</v>
      </c>
      <c r="J31" s="172">
        <f t="shared" si="4"/>
        <v>0</v>
      </c>
      <c r="K31" s="172">
        <f t="shared" si="4"/>
        <v>3232.6679999999997</v>
      </c>
      <c r="O31"/>
      <c r="P31"/>
      <c r="Q31"/>
    </row>
    <row r="32" spans="1:17" ht="3" customHeight="1">
      <c r="A32" s="79"/>
      <c r="B32" s="1"/>
      <c r="C32" s="3"/>
      <c r="D32" s="3"/>
      <c r="E32" s="3"/>
      <c r="F32" s="172"/>
      <c r="G32" s="172"/>
      <c r="H32" s="173"/>
      <c r="I32" s="173"/>
      <c r="J32" s="172"/>
      <c r="K32" s="172"/>
      <c r="O32"/>
      <c r="P32"/>
      <c r="Q32"/>
    </row>
    <row r="33" spans="1:17">
      <c r="A33" s="79"/>
      <c r="B33" s="1"/>
      <c r="C33" s="3" t="s">
        <v>45</v>
      </c>
      <c r="D33" s="3"/>
      <c r="E33" s="3"/>
      <c r="F33" s="172"/>
      <c r="G33" s="172"/>
      <c r="H33" s="172"/>
      <c r="I33" s="172"/>
      <c r="J33" s="172"/>
      <c r="K33" s="172"/>
      <c r="O33"/>
      <c r="P33"/>
      <c r="Q33"/>
    </row>
    <row r="34" spans="1:17">
      <c r="A34" s="79">
        <v>13</v>
      </c>
      <c r="B34" s="1"/>
      <c r="C34" s="3"/>
      <c r="D34" s="3" t="s">
        <v>42</v>
      </c>
      <c r="E34" s="3"/>
      <c r="F34" s="56">
        <f>'PROPOSED RATES-12.2024'!J34</f>
        <v>13443.555</v>
      </c>
      <c r="G34" s="172">
        <f>H34-F34</f>
        <v>466.90300000000207</v>
      </c>
      <c r="H34" s="172">
        <f>'ADJ DETAIL INPUT'!BI33</f>
        <v>13910.458000000002</v>
      </c>
      <c r="I34" s="172"/>
      <c r="J34" s="172"/>
      <c r="K34" s="56">
        <f t="shared" ref="K34:K35" si="5">H34+I34+J34</f>
        <v>13910.458000000002</v>
      </c>
      <c r="O34"/>
      <c r="P34"/>
      <c r="Q34"/>
    </row>
    <row r="35" spans="1:17">
      <c r="A35" s="79">
        <v>14</v>
      </c>
      <c r="B35" s="1"/>
      <c r="C35" s="3"/>
      <c r="D35" s="3" t="s">
        <v>43</v>
      </c>
      <c r="E35" s="3"/>
      <c r="F35" s="56">
        <f>'PROPOSED RATES-12.2024'!J35</f>
        <v>18494.3</v>
      </c>
      <c r="G35" s="172">
        <f>H35-F35</f>
        <v>823</v>
      </c>
      <c r="H35" s="172">
        <f>'ADJ DETAIL INPUT'!BI34</f>
        <v>19317.3</v>
      </c>
      <c r="I35" s="172"/>
      <c r="J35" s="172"/>
      <c r="K35" s="56">
        <f t="shared" si="5"/>
        <v>19317.3</v>
      </c>
      <c r="O35"/>
      <c r="P35"/>
      <c r="Q35"/>
    </row>
    <row r="36" spans="1:17">
      <c r="A36" s="79">
        <v>15</v>
      </c>
      <c r="B36" s="1"/>
      <c r="C36" s="3"/>
      <c r="D36" s="3" t="s">
        <v>20</v>
      </c>
      <c r="E36" s="3"/>
      <c r="F36" s="439">
        <f>'PROPOSED RATES-12.2024'!J36</f>
        <v>9006</v>
      </c>
      <c r="G36" s="174">
        <f>H36-F36</f>
        <v>28</v>
      </c>
      <c r="H36" s="174">
        <f>'ADJ DETAIL INPUT'!BI35</f>
        <v>9034</v>
      </c>
      <c r="I36" s="174">
        <f>CF!I19</f>
        <v>663</v>
      </c>
      <c r="J36" s="174">
        <f>CF!J19</f>
        <v>175</v>
      </c>
      <c r="K36" s="439">
        <f>H36+I36+J36</f>
        <v>9872</v>
      </c>
    </row>
    <row r="37" spans="1:17">
      <c r="A37" s="79">
        <v>16</v>
      </c>
      <c r="B37" s="1"/>
      <c r="C37" s="3"/>
      <c r="D37" s="3"/>
      <c r="E37" s="3" t="s">
        <v>46</v>
      </c>
      <c r="F37" s="172">
        <f>SUM(F34:F36)</f>
        <v>40943.854999999996</v>
      </c>
      <c r="G37" s="172">
        <f t="shared" ref="G37:K37" si="6">SUM(G34:G36)</f>
        <v>1317.9030000000021</v>
      </c>
      <c r="H37" s="172">
        <f t="shared" si="6"/>
        <v>42261.758000000002</v>
      </c>
      <c r="I37" s="172">
        <f t="shared" si="6"/>
        <v>663</v>
      </c>
      <c r="J37" s="172">
        <f t="shared" si="6"/>
        <v>175</v>
      </c>
      <c r="K37" s="172">
        <f t="shared" si="6"/>
        <v>43099.758000000002</v>
      </c>
    </row>
    <row r="38" spans="1:17" ht="5.25" customHeight="1">
      <c r="A38" s="79"/>
      <c r="B38" s="1"/>
      <c r="C38" s="3"/>
      <c r="D38" s="3"/>
      <c r="E38" s="3"/>
      <c r="F38" s="172"/>
      <c r="G38" s="172"/>
      <c r="H38" s="172"/>
      <c r="I38" s="172"/>
      <c r="J38" s="172"/>
      <c r="K38" s="172"/>
    </row>
    <row r="39" spans="1:17">
      <c r="A39" s="79">
        <v>17</v>
      </c>
      <c r="B39" s="1" t="s">
        <v>47</v>
      </c>
      <c r="C39" s="3"/>
      <c r="D39" s="3"/>
      <c r="E39" s="3"/>
      <c r="F39" s="56">
        <f>'PROPOSED RATES-12.2024'!J39</f>
        <v>4808.5339999999997</v>
      </c>
      <c r="G39" s="172">
        <f>H39-F39</f>
        <v>201.21399999999994</v>
      </c>
      <c r="H39" s="172">
        <f>'ADJ DETAIL INPUT'!BI38</f>
        <v>5009.7479999999996</v>
      </c>
      <c r="I39" s="172">
        <f>CF!I15</f>
        <v>86</v>
      </c>
      <c r="J39" s="172">
        <f>CF!J15</f>
        <v>23</v>
      </c>
      <c r="K39" s="56">
        <f t="shared" ref="K39:K41" si="7">H39+I39+J39</f>
        <v>5118.7479999999996</v>
      </c>
    </row>
    <row r="40" spans="1:17">
      <c r="A40" s="79">
        <v>18</v>
      </c>
      <c r="B40" s="1" t="s">
        <v>48</v>
      </c>
      <c r="C40" s="3"/>
      <c r="D40" s="3"/>
      <c r="E40" s="3"/>
      <c r="F40" s="56">
        <f>'PROPOSED RATES-12.2024'!J40</f>
        <v>899.47500000000002</v>
      </c>
      <c r="G40" s="172">
        <f>H40-F40</f>
        <v>34.990000000000009</v>
      </c>
      <c r="H40" s="172">
        <f>'ADJ DETAIL INPUT'!BI39</f>
        <v>934.46500000000003</v>
      </c>
      <c r="I40" s="172"/>
      <c r="J40" s="172"/>
      <c r="K40" s="56">
        <f t="shared" si="7"/>
        <v>934.46500000000003</v>
      </c>
    </row>
    <row r="41" spans="1:17">
      <c r="A41" s="79">
        <v>19</v>
      </c>
      <c r="B41" s="1" t="s">
        <v>49</v>
      </c>
      <c r="C41" s="3"/>
      <c r="D41" s="3"/>
      <c r="E41" s="3"/>
      <c r="F41" s="56">
        <f>'PROPOSED RATES-12.2024'!J41</f>
        <v>0</v>
      </c>
      <c r="G41" s="172">
        <f>H41-F41</f>
        <v>0</v>
      </c>
      <c r="H41" s="172">
        <f>'ADJ DETAIL INPUT'!BI40</f>
        <v>0</v>
      </c>
      <c r="I41" s="172"/>
      <c r="J41" s="172"/>
      <c r="K41" s="56">
        <f t="shared" si="7"/>
        <v>0</v>
      </c>
    </row>
    <row r="42" spans="1:17" ht="4.5" customHeight="1">
      <c r="A42" s="79"/>
      <c r="B42" s="1"/>
      <c r="C42" s="3"/>
      <c r="D42" s="3"/>
      <c r="E42" s="3"/>
      <c r="F42" s="172"/>
      <c r="G42" s="172"/>
      <c r="H42" s="176"/>
      <c r="I42" s="176"/>
      <c r="J42" s="172"/>
      <c r="K42" s="172"/>
    </row>
    <row r="43" spans="1:17">
      <c r="A43" s="79"/>
      <c r="B43" s="1" t="s">
        <v>50</v>
      </c>
      <c r="C43" s="3"/>
      <c r="D43" s="3"/>
      <c r="E43" s="3"/>
      <c r="F43" s="172"/>
      <c r="G43" s="172"/>
      <c r="H43" s="172"/>
      <c r="I43" s="172"/>
      <c r="J43" s="172"/>
      <c r="K43" s="172"/>
    </row>
    <row r="44" spans="1:17">
      <c r="A44" s="79">
        <v>20</v>
      </c>
      <c r="B44" s="1"/>
      <c r="C44" s="3" t="s">
        <v>42</v>
      </c>
      <c r="D44" s="3"/>
      <c r="E44" s="3"/>
      <c r="F44" s="56">
        <f>'PROPOSED RATES-12.2024'!J44</f>
        <v>26721.970999999998</v>
      </c>
      <c r="G44" s="172">
        <f>H44-F44</f>
        <v>329.91300000000047</v>
      </c>
      <c r="H44" s="172">
        <f>'ADJ DETAIL INPUT'!BI43</f>
        <v>27051.883999999998</v>
      </c>
      <c r="I44" s="172">
        <f>CF!I17</f>
        <v>69</v>
      </c>
      <c r="J44" s="172">
        <f>CF!J17</f>
        <v>18</v>
      </c>
      <c r="K44" s="56">
        <f t="shared" ref="K44:K46" si="8">H44+I44+J44</f>
        <v>27138.883999999998</v>
      </c>
    </row>
    <row r="45" spans="1:17">
      <c r="A45" s="79">
        <v>21</v>
      </c>
      <c r="B45" s="1"/>
      <c r="C45" s="3" t="s">
        <v>188</v>
      </c>
      <c r="D45" s="3"/>
      <c r="E45" s="3"/>
      <c r="F45" s="56">
        <f>'PROPOSED RATES-12.2024'!J45</f>
        <v>15175.3</v>
      </c>
      <c r="G45" s="172">
        <f>H45-F45</f>
        <v>895</v>
      </c>
      <c r="H45" s="172">
        <f>'ADJ DETAIL INPUT'!BI44</f>
        <v>16070.3</v>
      </c>
      <c r="I45" s="172"/>
      <c r="J45" s="172"/>
      <c r="K45" s="56">
        <f t="shared" si="8"/>
        <v>16070.3</v>
      </c>
    </row>
    <row r="46" spans="1:17">
      <c r="A46" s="79">
        <v>22</v>
      </c>
      <c r="B46" s="1"/>
      <c r="C46" s="7" t="s">
        <v>370</v>
      </c>
      <c r="D46" s="3"/>
      <c r="E46" s="3"/>
      <c r="F46" s="56">
        <f>'PROPOSED RATES-12.2024'!J46</f>
        <v>-174</v>
      </c>
      <c r="G46" s="172">
        <f>H46-F46</f>
        <v>0</v>
      </c>
      <c r="H46" s="172">
        <f>'ADJ DETAIL INPUT'!BI45</f>
        <v>-174</v>
      </c>
      <c r="I46" s="172"/>
      <c r="J46" s="172"/>
      <c r="K46" s="56">
        <f t="shared" si="8"/>
        <v>-174</v>
      </c>
    </row>
    <row r="47" spans="1:17">
      <c r="A47" s="79">
        <v>23</v>
      </c>
      <c r="B47" s="1"/>
      <c r="C47" s="3" t="s">
        <v>20</v>
      </c>
      <c r="D47" s="3"/>
      <c r="E47" s="3"/>
      <c r="F47" s="439">
        <f>'PROPOSED RATES-12.2024'!J47</f>
        <v>1132</v>
      </c>
      <c r="G47" s="174">
        <f>H47-F47</f>
        <v>0</v>
      </c>
      <c r="H47" s="172">
        <f>'ADJ DETAIL INPUT'!BI46</f>
        <v>1132</v>
      </c>
      <c r="I47" s="172"/>
      <c r="J47" s="174"/>
      <c r="K47" s="439">
        <f>H47+I47+J47</f>
        <v>1132</v>
      </c>
    </row>
    <row r="48" spans="1:17">
      <c r="A48" s="79">
        <v>24</v>
      </c>
      <c r="B48" s="1"/>
      <c r="C48" s="3"/>
      <c r="D48" s="3" t="s">
        <v>51</v>
      </c>
      <c r="E48" s="247"/>
      <c r="F48" s="177">
        <f>SUM(F44:F47)</f>
        <v>42855.270999999993</v>
      </c>
      <c r="G48" s="177">
        <f t="shared" ref="G48:K48" si="9">SUM(G44:G47)</f>
        <v>1224.9130000000005</v>
      </c>
      <c r="H48" s="177">
        <f t="shared" si="9"/>
        <v>44080.183999999994</v>
      </c>
      <c r="I48" s="177">
        <f t="shared" ref="I48" si="10">SUM(I44:I47)</f>
        <v>69</v>
      </c>
      <c r="J48" s="177">
        <f t="shared" si="9"/>
        <v>18</v>
      </c>
      <c r="K48" s="177">
        <f t="shared" si="9"/>
        <v>44167.183999999994</v>
      </c>
    </row>
    <row r="49" spans="1:17">
      <c r="A49" s="79">
        <v>25</v>
      </c>
      <c r="B49" s="1" t="s">
        <v>52</v>
      </c>
      <c r="C49" s="3"/>
      <c r="D49" s="3"/>
      <c r="E49" s="3"/>
      <c r="F49" s="174">
        <f t="shared" ref="F49:K49" si="11">F48+F37+F31+F25+F39+F40+F41</f>
        <v>93573.251999999993</v>
      </c>
      <c r="G49" s="174">
        <f t="shared" si="11"/>
        <v>2934.2870000000021</v>
      </c>
      <c r="H49" s="174">
        <f t="shared" si="11"/>
        <v>96507.53899999999</v>
      </c>
      <c r="I49" s="174">
        <f t="shared" ref="I49" si="12">I48+I37+I31+I25+I39+I40+I41</f>
        <v>818</v>
      </c>
      <c r="J49" s="174">
        <f t="shared" si="11"/>
        <v>216</v>
      </c>
      <c r="K49" s="174">
        <f t="shared" si="11"/>
        <v>97541.53899999999</v>
      </c>
    </row>
    <row r="50" spans="1:17" ht="8.25" customHeight="1">
      <c r="A50" s="79"/>
      <c r="B50" s="1"/>
      <c r="C50" s="3"/>
      <c r="D50" s="3"/>
      <c r="E50" s="3"/>
      <c r="F50" s="172"/>
      <c r="G50" s="172"/>
      <c r="H50" s="172"/>
      <c r="I50" s="172"/>
      <c r="J50" s="172"/>
      <c r="K50" s="172"/>
    </row>
    <row r="51" spans="1:17">
      <c r="A51" s="79">
        <v>26</v>
      </c>
      <c r="B51" s="1" t="s">
        <v>53</v>
      </c>
      <c r="C51" s="3"/>
      <c r="D51" s="3"/>
      <c r="E51" s="3"/>
      <c r="F51" s="172">
        <f t="shared" ref="F51:K51" si="13">F18-F49</f>
        <v>34119.748000000007</v>
      </c>
      <c r="G51" s="172">
        <f t="shared" si="13"/>
        <v>-2895.2870000000021</v>
      </c>
      <c r="H51" s="172">
        <f t="shared" si="13"/>
        <v>31224.46100000001</v>
      </c>
      <c r="I51" s="172">
        <f t="shared" si="13"/>
        <v>16475</v>
      </c>
      <c r="J51" s="172">
        <f t="shared" si="13"/>
        <v>4347.7102337211754</v>
      </c>
      <c r="K51" s="172">
        <f t="shared" si="13"/>
        <v>52047.171233721194</v>
      </c>
    </row>
    <row r="52" spans="1:17" ht="6.75" customHeight="1">
      <c r="A52" s="79"/>
      <c r="B52" s="1"/>
      <c r="C52" s="3"/>
      <c r="D52" s="3"/>
      <c r="E52" s="3"/>
      <c r="F52" s="172"/>
      <c r="G52" s="172"/>
      <c r="H52" s="172"/>
      <c r="I52" s="172"/>
      <c r="J52" s="172"/>
      <c r="K52" s="172"/>
    </row>
    <row r="53" spans="1:17">
      <c r="A53" s="79"/>
      <c r="B53" s="1" t="s">
        <v>54</v>
      </c>
      <c r="C53" s="3"/>
      <c r="D53" s="3"/>
      <c r="E53" s="3"/>
      <c r="F53" s="172"/>
      <c r="G53" s="172"/>
      <c r="H53" s="172"/>
      <c r="I53" s="172"/>
      <c r="J53" s="172"/>
      <c r="K53" s="172"/>
    </row>
    <row r="54" spans="1:17">
      <c r="A54" s="79">
        <v>27</v>
      </c>
      <c r="B54" s="1"/>
      <c r="C54" s="3" t="s">
        <v>55</v>
      </c>
      <c r="D54" s="3"/>
      <c r="E54" s="3"/>
      <c r="F54" s="56">
        <f>'PROPOSED RATES-12.2024'!J54</f>
        <v>-3099.8729199999989</v>
      </c>
      <c r="G54" s="172">
        <f>H54-F54</f>
        <v>-608.01027000000022</v>
      </c>
      <c r="H54" s="172">
        <f>'ADJ DETAIL INPUT'!BI53</f>
        <v>-3707.8831899999991</v>
      </c>
      <c r="I54" s="172">
        <f>CF!I25</f>
        <v>3460</v>
      </c>
      <c r="J54" s="172">
        <f>CF!J25</f>
        <v>913</v>
      </c>
      <c r="K54" s="56">
        <f t="shared" ref="K54:K56" si="14">H54+I54+J54</f>
        <v>665.1168100000009</v>
      </c>
      <c r="Q54" s="57"/>
    </row>
    <row r="55" spans="1:17">
      <c r="A55" s="79">
        <v>28</v>
      </c>
      <c r="B55" s="1"/>
      <c r="C55" s="118" t="s">
        <v>170</v>
      </c>
      <c r="D55" s="3"/>
      <c r="E55" s="3"/>
      <c r="F55" s="56">
        <f>'PROPOSED RATES-12.2024'!J55</f>
        <v>-284.17795560000002</v>
      </c>
      <c r="G55" s="172">
        <f>H55-F55</f>
        <v>-87.652137299999993</v>
      </c>
      <c r="H55" s="172">
        <f>'ADJ DETAIL INPUT'!BI54</f>
        <v>-371.83009290000001</v>
      </c>
      <c r="I55" s="172"/>
      <c r="J55" s="172"/>
      <c r="K55" s="56">
        <f t="shared" si="14"/>
        <v>-371.83009290000001</v>
      </c>
    </row>
    <row r="56" spans="1:17">
      <c r="A56" s="79">
        <v>29</v>
      </c>
      <c r="B56" s="1"/>
      <c r="C56" s="3" t="s">
        <v>56</v>
      </c>
      <c r="D56" s="3"/>
      <c r="E56" s="3"/>
      <c r="F56" s="56">
        <f>'PROPOSED RATES-12.2024'!J56</f>
        <v>-3708</v>
      </c>
      <c r="G56" s="172">
        <f>H56-F56</f>
        <v>0</v>
      </c>
      <c r="H56" s="172">
        <f>'ADJ DETAIL INPUT'!BI55</f>
        <v>-3708</v>
      </c>
      <c r="I56" s="172"/>
      <c r="J56" s="172"/>
      <c r="K56" s="56">
        <f t="shared" si="14"/>
        <v>-3708</v>
      </c>
    </row>
    <row r="57" spans="1:17">
      <c r="A57" s="79">
        <v>30</v>
      </c>
      <c r="B57" s="1"/>
      <c r="C57" s="3" t="s">
        <v>57</v>
      </c>
      <c r="D57" s="3"/>
      <c r="E57" s="3"/>
      <c r="F57" s="439">
        <f>'PROPOSED RATES-12.2024'!J57</f>
        <v>9626</v>
      </c>
      <c r="G57" s="174">
        <f>H57-F57</f>
        <v>0</v>
      </c>
      <c r="H57" s="174">
        <f>'ADJ DETAIL INPUT'!BI56</f>
        <v>9626</v>
      </c>
      <c r="I57" s="174"/>
      <c r="J57" s="174"/>
      <c r="K57" s="439">
        <f>H57+I57+J57</f>
        <v>9626</v>
      </c>
    </row>
    <row r="58" spans="1:17" ht="6" customHeight="1">
      <c r="A58" s="79"/>
      <c r="B58" s="1"/>
      <c r="C58" s="1"/>
      <c r="D58" s="1"/>
      <c r="E58" s="1"/>
      <c r="F58" s="172"/>
      <c r="G58" s="172"/>
      <c r="H58" s="172"/>
      <c r="I58" s="172"/>
      <c r="J58" s="178"/>
      <c r="K58" s="172"/>
    </row>
    <row r="59" spans="1:17" ht="13.5" thickBot="1">
      <c r="A59" s="79">
        <v>31</v>
      </c>
      <c r="B59" s="2" t="s">
        <v>58</v>
      </c>
      <c r="C59" s="2"/>
      <c r="D59" s="2"/>
      <c r="E59" s="2"/>
      <c r="F59" s="179">
        <f t="shared" ref="F59:K59" si="15">F51-SUM(F54:F57)</f>
        <v>31585.798875600005</v>
      </c>
      <c r="G59" s="179">
        <f t="shared" si="15"/>
        <v>-2199.6245927000018</v>
      </c>
      <c r="H59" s="179">
        <f t="shared" si="15"/>
        <v>29386.17428290001</v>
      </c>
      <c r="I59" s="179">
        <f t="shared" si="15"/>
        <v>13015</v>
      </c>
      <c r="J59" s="179">
        <f t="shared" si="15"/>
        <v>3434.7102337211754</v>
      </c>
      <c r="K59" s="179">
        <f t="shared" si="15"/>
        <v>45835.88451662119</v>
      </c>
    </row>
    <row r="60" spans="1:17" ht="7.5" customHeight="1" thickTop="1">
      <c r="A60" s="79"/>
      <c r="B60" s="1"/>
      <c r="C60" s="1"/>
      <c r="D60" s="1"/>
      <c r="E60" s="1"/>
      <c r="F60" s="172"/>
      <c r="G60" s="172"/>
      <c r="H60" s="172"/>
      <c r="I60" s="172"/>
      <c r="J60" s="172"/>
      <c r="K60" s="172"/>
    </row>
    <row r="61" spans="1:17" hidden="1">
      <c r="A61" s="79"/>
      <c r="B61" s="1"/>
      <c r="C61" s="1"/>
      <c r="D61" s="1"/>
      <c r="E61" s="1"/>
      <c r="F61" s="172"/>
      <c r="G61" s="172"/>
      <c r="H61" s="172"/>
      <c r="I61" s="172"/>
      <c r="J61" s="172"/>
      <c r="K61" s="172"/>
    </row>
    <row r="62" spans="1:17">
      <c r="A62" s="79"/>
      <c r="B62" s="1" t="s">
        <v>59</v>
      </c>
      <c r="C62" s="1"/>
      <c r="D62" s="1"/>
      <c r="E62" s="1"/>
      <c r="F62" s="172"/>
      <c r="G62" s="172"/>
      <c r="H62" s="172"/>
      <c r="I62" s="172"/>
      <c r="J62" s="172"/>
      <c r="K62" s="172"/>
    </row>
    <row r="63" spans="1:17">
      <c r="A63" s="79">
        <v>32</v>
      </c>
      <c r="B63" s="3"/>
      <c r="C63" s="3" t="s">
        <v>41</v>
      </c>
      <c r="D63" s="3"/>
      <c r="E63" s="3"/>
      <c r="F63" s="56">
        <f>'PROPOSED RATES-12.2024'!J63</f>
        <v>38438.699999999997</v>
      </c>
      <c r="G63" s="172">
        <f>H63-F63</f>
        <v>1506</v>
      </c>
      <c r="H63" s="172">
        <f>'ADJ DETAIL INPUT'!BI62</f>
        <v>39944.699999999997</v>
      </c>
      <c r="I63" s="172"/>
      <c r="J63" s="172"/>
      <c r="K63" s="56">
        <f t="shared" ref="K63:K64" si="16">H63+I63+J63</f>
        <v>39944.699999999997</v>
      </c>
    </row>
    <row r="64" spans="1:17">
      <c r="A64" s="79">
        <v>33</v>
      </c>
      <c r="B64" s="3"/>
      <c r="C64" s="3" t="s">
        <v>60</v>
      </c>
      <c r="D64" s="3"/>
      <c r="E64" s="3"/>
      <c r="F64" s="56">
        <f>'PROPOSED RATES-12.2024'!J64</f>
        <v>744315.7</v>
      </c>
      <c r="G64" s="172">
        <f>H64-F64</f>
        <v>32043</v>
      </c>
      <c r="H64" s="172">
        <f>'ADJ DETAIL INPUT'!BI63</f>
        <v>776358.7</v>
      </c>
      <c r="I64" s="172"/>
      <c r="J64" s="172"/>
      <c r="K64" s="56">
        <f t="shared" si="16"/>
        <v>776358.7</v>
      </c>
    </row>
    <row r="65" spans="1:11">
      <c r="A65" s="79">
        <v>34</v>
      </c>
      <c r="B65" s="3"/>
      <c r="C65" s="3" t="s">
        <v>61</v>
      </c>
      <c r="D65" s="3"/>
      <c r="E65" s="3"/>
      <c r="F65" s="439">
        <f>'PROPOSED RATES-12.2024'!J65</f>
        <v>169420</v>
      </c>
      <c r="G65" s="174">
        <f>H65-F65</f>
        <v>2293</v>
      </c>
      <c r="H65" s="174">
        <f>'ADJ DETAIL INPUT'!BI64</f>
        <v>171713</v>
      </c>
      <c r="I65" s="174"/>
      <c r="J65" s="174"/>
      <c r="K65" s="439">
        <f>H65+I65+J65</f>
        <v>171713</v>
      </c>
    </row>
    <row r="66" spans="1:11">
      <c r="A66" s="79">
        <v>35</v>
      </c>
      <c r="B66" s="3"/>
      <c r="C66" s="3"/>
      <c r="D66" s="3"/>
      <c r="E66" s="3" t="s">
        <v>62</v>
      </c>
      <c r="F66" s="180">
        <f>SUM(F63:F65)</f>
        <v>952174.39999999991</v>
      </c>
      <c r="G66" s="180">
        <f t="shared" ref="G66:K66" si="17">SUM(G63:G65)</f>
        <v>35842</v>
      </c>
      <c r="H66" s="180">
        <f t="shared" si="17"/>
        <v>988016.39999999991</v>
      </c>
      <c r="I66" s="180">
        <f t="shared" ref="I66" si="18">SUM(I63:I65)</f>
        <v>0</v>
      </c>
      <c r="J66" s="180">
        <f t="shared" si="17"/>
        <v>0</v>
      </c>
      <c r="K66" s="180">
        <f t="shared" si="17"/>
        <v>988016.39999999991</v>
      </c>
    </row>
    <row r="67" spans="1:11" ht="5.25" customHeight="1">
      <c r="A67" s="79"/>
      <c r="B67" s="3"/>
      <c r="C67" s="3"/>
      <c r="D67" s="3"/>
      <c r="E67" s="3"/>
      <c r="F67" s="180"/>
      <c r="G67" s="180"/>
      <c r="H67" s="180"/>
      <c r="I67" s="180"/>
      <c r="J67" s="180"/>
      <c r="K67" s="180"/>
    </row>
    <row r="68" spans="1:11">
      <c r="A68" s="79"/>
      <c r="B68" s="3" t="s">
        <v>375</v>
      </c>
      <c r="C68" s="3"/>
      <c r="D68" s="3"/>
      <c r="E68" s="3"/>
      <c r="F68" s="172"/>
      <c r="G68" s="172"/>
      <c r="H68" s="172"/>
      <c r="I68" s="172"/>
      <c r="J68" s="172"/>
      <c r="K68" s="172"/>
    </row>
    <row r="69" spans="1:11">
      <c r="A69" s="79">
        <v>36</v>
      </c>
      <c r="B69" s="3"/>
      <c r="C69" s="3" t="s">
        <v>41</v>
      </c>
      <c r="D69" s="3"/>
      <c r="E69" s="3"/>
      <c r="F69" s="56">
        <f>'PROPOSED RATES-12.2024'!J69</f>
        <v>-14492.5</v>
      </c>
      <c r="G69" s="172">
        <f>H69-F69</f>
        <v>-574</v>
      </c>
      <c r="H69" s="172">
        <f>'ADJ DETAIL INPUT'!BI68</f>
        <v>-15066.5</v>
      </c>
      <c r="I69" s="172"/>
      <c r="J69" s="172"/>
      <c r="K69" s="56">
        <f t="shared" ref="K69:K70" si="19">H69+I69+J69</f>
        <v>-15066.5</v>
      </c>
    </row>
    <row r="70" spans="1:11">
      <c r="A70" s="79">
        <v>37</v>
      </c>
      <c r="B70" s="3"/>
      <c r="C70" s="3" t="s">
        <v>60</v>
      </c>
      <c r="D70" s="3"/>
      <c r="E70" s="3"/>
      <c r="F70" s="56">
        <f>'PROPOSED RATES-12.2024'!J70</f>
        <v>-226473.4</v>
      </c>
      <c r="G70" s="172">
        <f>H70-F70</f>
        <v>-16739</v>
      </c>
      <c r="H70" s="172">
        <f>'ADJ DETAIL INPUT'!BI69</f>
        <v>-243212.4</v>
      </c>
      <c r="I70" s="172"/>
      <c r="J70" s="172"/>
      <c r="K70" s="56">
        <f t="shared" si="19"/>
        <v>-243212.4</v>
      </c>
    </row>
    <row r="71" spans="1:11">
      <c r="A71" s="79">
        <v>38</v>
      </c>
      <c r="B71" s="3"/>
      <c r="C71" s="3" t="s">
        <v>61</v>
      </c>
      <c r="D71" s="3"/>
      <c r="E71" s="3"/>
      <c r="F71" s="439">
        <f>'PROPOSED RATES-12.2024'!J71</f>
        <v>-71916.3</v>
      </c>
      <c r="G71" s="174">
        <f>H71-F71</f>
        <v>-1513.1000000000058</v>
      </c>
      <c r="H71" s="172">
        <f>'ADJ DETAIL INPUT'!BI70</f>
        <v>-73429.400000000009</v>
      </c>
      <c r="I71" s="174"/>
      <c r="J71" s="174"/>
      <c r="K71" s="439">
        <f>H71+I71+J71</f>
        <v>-73429.400000000009</v>
      </c>
    </row>
    <row r="72" spans="1:11">
      <c r="A72" s="79">
        <v>39</v>
      </c>
      <c r="B72" s="3" t="s">
        <v>376</v>
      </c>
      <c r="C72" s="3"/>
      <c r="D72" s="3"/>
      <c r="E72" s="247"/>
      <c r="F72" s="177">
        <f>SUM(F69:F71)</f>
        <v>-312882.2</v>
      </c>
      <c r="G72" s="177">
        <f t="shared" ref="G72:K72" si="20">SUM(G69:G71)</f>
        <v>-18826.100000000006</v>
      </c>
      <c r="H72" s="177">
        <f t="shared" si="20"/>
        <v>-331708.3</v>
      </c>
      <c r="I72" s="177">
        <f t="shared" ref="I72" si="21">SUM(I69:I71)</f>
        <v>0</v>
      </c>
      <c r="J72" s="177">
        <f t="shared" si="20"/>
        <v>0</v>
      </c>
      <c r="K72" s="177">
        <f t="shared" si="20"/>
        <v>-331708.3</v>
      </c>
    </row>
    <row r="73" spans="1:11">
      <c r="A73" s="79">
        <v>40</v>
      </c>
      <c r="B73" s="118" t="s">
        <v>164</v>
      </c>
      <c r="C73" s="3"/>
      <c r="D73" s="3"/>
      <c r="E73" s="3"/>
      <c r="F73" s="180">
        <f>F66+F72</f>
        <v>639292.19999999995</v>
      </c>
      <c r="G73" s="180">
        <f t="shared" ref="G73:K73" si="22">G66+G72</f>
        <v>17015.899999999994</v>
      </c>
      <c r="H73" s="180">
        <f t="shared" si="22"/>
        <v>656308.09999999986</v>
      </c>
      <c r="I73" s="180">
        <f t="shared" ref="I73" si="23">I66+I72</f>
        <v>0</v>
      </c>
      <c r="J73" s="180">
        <f t="shared" si="22"/>
        <v>0</v>
      </c>
      <c r="K73" s="180">
        <f t="shared" si="22"/>
        <v>656308.09999999986</v>
      </c>
    </row>
    <row r="74" spans="1:11">
      <c r="A74" s="4">
        <v>41</v>
      </c>
      <c r="B74" s="5" t="s">
        <v>64</v>
      </c>
      <c r="C74" s="5"/>
      <c r="D74" s="5"/>
      <c r="E74" s="5"/>
      <c r="F74" s="439">
        <f>'PROPOSED RATES-12.2024'!J74</f>
        <v>-85961</v>
      </c>
      <c r="G74" s="174">
        <f>H74-F74</f>
        <v>73</v>
      </c>
      <c r="H74" s="174">
        <f>'ADJ DETAIL INPUT'!BI73</f>
        <v>-85888</v>
      </c>
      <c r="I74" s="174"/>
      <c r="J74" s="174"/>
      <c r="K74" s="439">
        <f>H74+I74+J74</f>
        <v>-85888</v>
      </c>
    </row>
    <row r="75" spans="1:11">
      <c r="A75" s="4">
        <v>42</v>
      </c>
      <c r="B75" s="5"/>
      <c r="C75" s="120" t="s">
        <v>191</v>
      </c>
      <c r="D75" s="5"/>
      <c r="E75" s="5"/>
      <c r="F75" s="172">
        <f>F73+F74</f>
        <v>553331.19999999995</v>
      </c>
      <c r="G75" s="172">
        <f t="shared" ref="G75" si="24">G73+G74</f>
        <v>17088.899999999994</v>
      </c>
      <c r="H75" s="172">
        <f>H73+H74</f>
        <v>570420.09999999986</v>
      </c>
      <c r="I75" s="172">
        <f t="shared" ref="I75" si="25">I73+I74</f>
        <v>0</v>
      </c>
      <c r="J75" s="172">
        <f t="shared" ref="J75:K75" si="26">J73+J74</f>
        <v>0</v>
      </c>
      <c r="K75" s="172">
        <f t="shared" si="26"/>
        <v>570420.09999999986</v>
      </c>
    </row>
    <row r="76" spans="1:11" ht="12" customHeight="1">
      <c r="A76" s="79">
        <v>43</v>
      </c>
      <c r="B76" s="212" t="s">
        <v>65</v>
      </c>
      <c r="C76" s="212"/>
      <c r="D76" s="212"/>
      <c r="E76" s="212"/>
      <c r="F76" s="56">
        <f>'PROPOSED RATES-12.2024'!J76</f>
        <v>19552</v>
      </c>
      <c r="G76" s="213">
        <f>H76-F76</f>
        <v>0</v>
      </c>
      <c r="H76" s="172">
        <f>'ADJ DETAIL INPUT'!BI75</f>
        <v>19552</v>
      </c>
      <c r="I76" s="213"/>
      <c r="J76" s="213"/>
      <c r="K76" s="56">
        <f t="shared" ref="K76:K78" si="27">H76+I76+J76</f>
        <v>19552</v>
      </c>
    </row>
    <row r="77" spans="1:11">
      <c r="A77" s="79">
        <v>44</v>
      </c>
      <c r="B77" s="212" t="s">
        <v>66</v>
      </c>
      <c r="C77" s="212"/>
      <c r="D77" s="212"/>
      <c r="E77" s="212"/>
      <c r="F77" s="56">
        <f>'PROPOSED RATES-12.2024'!J77</f>
        <v>0</v>
      </c>
      <c r="G77" s="213">
        <f>H77-F77</f>
        <v>0</v>
      </c>
      <c r="H77" s="172">
        <f>'ADJ DETAIL INPUT'!BI76</f>
        <v>0</v>
      </c>
      <c r="I77" s="213"/>
      <c r="J77" s="213"/>
      <c r="K77" s="56">
        <f t="shared" si="27"/>
        <v>0</v>
      </c>
    </row>
    <row r="78" spans="1:11">
      <c r="A78" s="79">
        <v>45</v>
      </c>
      <c r="B78" s="212" t="s">
        <v>377</v>
      </c>
      <c r="C78" s="212"/>
      <c r="D78" s="212"/>
      <c r="E78" s="212"/>
      <c r="F78" s="56">
        <f>'PROPOSED RATES-12.2024'!J78</f>
        <v>-1198</v>
      </c>
      <c r="G78" s="213">
        <f>H78-F78</f>
        <v>-848</v>
      </c>
      <c r="H78" s="172">
        <f>'ADJ DETAIL INPUT'!BI77</f>
        <v>-2046</v>
      </c>
      <c r="I78" s="213"/>
      <c r="J78" s="213"/>
      <c r="K78" s="56">
        <f t="shared" si="27"/>
        <v>-2046</v>
      </c>
    </row>
    <row r="79" spans="1:11">
      <c r="A79" s="79">
        <v>46</v>
      </c>
      <c r="B79" s="212" t="s">
        <v>166</v>
      </c>
      <c r="C79" s="212"/>
      <c r="D79" s="212"/>
      <c r="E79" s="212"/>
      <c r="F79" s="439">
        <f>'PROPOSED RATES-12.2024'!J79</f>
        <v>14399</v>
      </c>
      <c r="G79" s="175">
        <f>H79-F79</f>
        <v>0</v>
      </c>
      <c r="H79" s="174">
        <f>'ADJ DETAIL INPUT'!BI78</f>
        <v>14399</v>
      </c>
      <c r="I79" s="175"/>
      <c r="J79" s="175"/>
      <c r="K79" s="439">
        <f>H79+I79+J79</f>
        <v>14399</v>
      </c>
    </row>
    <row r="80" spans="1:11" ht="3" customHeight="1">
      <c r="A80" s="79"/>
      <c r="B80" s="1"/>
      <c r="C80" s="1"/>
      <c r="D80" s="1"/>
      <c r="E80" s="1"/>
      <c r="F80" s="28"/>
      <c r="G80" s="28"/>
      <c r="H80" s="56"/>
      <c r="I80" s="28"/>
      <c r="J80" s="28"/>
      <c r="K80" s="28"/>
    </row>
    <row r="81" spans="1:11" ht="13.5" thickBot="1">
      <c r="A81" s="79">
        <v>47</v>
      </c>
      <c r="B81" s="2" t="s">
        <v>67</v>
      </c>
      <c r="C81" s="2"/>
      <c r="D81" s="2"/>
      <c r="E81" s="2"/>
      <c r="F81" s="55">
        <f>F79+F77+F76+F75+F78</f>
        <v>586084.19999999995</v>
      </c>
      <c r="G81" s="55">
        <f>G79+G77+G76+G75+G78</f>
        <v>16240.899999999994</v>
      </c>
      <c r="H81" s="55">
        <f>H79+H77+H76+H75+H78</f>
        <v>602325.09999999986</v>
      </c>
      <c r="I81" s="55">
        <f>I79+I77+I76+I75</f>
        <v>0</v>
      </c>
      <c r="J81" s="55">
        <f>J79+J77+J76+J75</f>
        <v>0</v>
      </c>
      <c r="K81" s="55">
        <f>K79+K77+K76+K75+K78</f>
        <v>602325.09999999986</v>
      </c>
    </row>
    <row r="82" spans="1:11" ht="13.5" thickTop="1">
      <c r="A82" s="79">
        <v>48</v>
      </c>
      <c r="B82" s="1" t="s">
        <v>413</v>
      </c>
      <c r="C82" s="1"/>
      <c r="D82" s="1"/>
      <c r="E82" s="1"/>
      <c r="F82" s="219">
        <f>ROUND(F59/F81,4)</f>
        <v>5.3900000000000003E-2</v>
      </c>
      <c r="G82" s="52"/>
      <c r="H82" s="219">
        <f>ROUND(H59/H81,4)</f>
        <v>4.8800000000000003E-2</v>
      </c>
      <c r="I82" s="219"/>
      <c r="J82" s="6"/>
      <c r="K82" s="219">
        <f>ROUND(K59/K81,4)</f>
        <v>7.6100000000000001E-2</v>
      </c>
    </row>
    <row r="83" spans="1:11" ht="7.5" customHeight="1">
      <c r="A83" s="263"/>
      <c r="B83" s="263"/>
      <c r="C83" s="263"/>
      <c r="D83" s="263"/>
      <c r="E83" s="263"/>
      <c r="F83" s="263"/>
      <c r="G83" s="263"/>
      <c r="H83" s="263"/>
      <c r="I83" s="263"/>
      <c r="J83" s="263"/>
      <c r="K83" s="263"/>
    </row>
    <row r="84" spans="1:11">
      <c r="A84" s="53"/>
      <c r="B84" s="54"/>
      <c r="C84" s="54"/>
      <c r="D84" s="54"/>
      <c r="E84" s="30"/>
      <c r="F84" s="30"/>
      <c r="G84" s="30"/>
      <c r="H84" s="30"/>
      <c r="I84" s="30"/>
      <c r="J84" s="30"/>
      <c r="K84" s="30"/>
    </row>
    <row r="1048576" spans="8:8">
      <c r="H1048576" s="78">
        <f>SUM(H83:H1048575)</f>
        <v>0</v>
      </c>
    </row>
  </sheetData>
  <mergeCells count="1">
    <mergeCell ref="F6:K6"/>
  </mergeCells>
  <pageMargins left="1" right="1" top="1" bottom="1" header="0.5" footer="0.5"/>
  <pageSetup scale="71" orientation="portrait" r:id="rId1"/>
  <headerFooter scaleWithDoc="0" alignWithMargins="0">
    <oddHeader>&amp;RExh. KJS-3</oddHeader>
    <oddFooter>&amp;RPage &amp;P of &amp;N</oddFooter>
  </headerFooter>
  <ignoredErrors>
    <ignoredError sqref="F8:H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5">
    <pageSetUpPr fitToPage="1"/>
  </sheetPr>
  <dimension ref="A1:Y48"/>
  <sheetViews>
    <sheetView zoomScaleNormal="100" workbookViewId="0">
      <selection sqref="A1:H1"/>
    </sheetView>
  </sheetViews>
  <sheetFormatPr defaultColWidth="9.28515625" defaultRowHeight="15.75"/>
  <cols>
    <col min="1" max="1" width="7.42578125" style="273" customWidth="1"/>
    <col min="2" max="2" width="1.42578125" style="273" customWidth="1"/>
    <col min="3" max="3" width="44.85546875" style="273" customWidth="1"/>
    <col min="4" max="4" width="1.28515625" style="273" customWidth="1"/>
    <col min="5" max="5" width="0.5703125" style="273" hidden="1" customWidth="1"/>
    <col min="6" max="6" width="20.28515625" style="273" customWidth="1"/>
    <col min="7" max="7" width="16.5703125" style="73" customWidth="1"/>
    <col min="8" max="9" width="14.5703125" style="73" customWidth="1"/>
    <col min="10" max="10" width="4.7109375" style="273" customWidth="1"/>
    <col min="11" max="11" width="6.7109375" style="273" customWidth="1"/>
    <col min="12" max="12" width="14.28515625" style="273" customWidth="1"/>
    <col min="13" max="13" width="12.7109375" style="273" customWidth="1"/>
    <col min="14" max="14" width="15.28515625" style="324" customWidth="1"/>
    <col min="15" max="15" width="14.28515625" style="273" customWidth="1"/>
    <col min="16" max="16" width="6.28515625" style="273" customWidth="1"/>
    <col min="17" max="17" width="14.5703125" style="273" customWidth="1"/>
    <col min="18" max="16384" width="9.28515625" style="274"/>
  </cols>
  <sheetData>
    <row r="1" spans="1:25" ht="19.149999999999999" customHeight="1" thickBot="1">
      <c r="A1" s="3738" t="s">
        <v>111</v>
      </c>
      <c r="B1" s="3738"/>
      <c r="C1" s="3738"/>
      <c r="D1" s="3738"/>
      <c r="E1" s="3738"/>
      <c r="F1" s="3738"/>
      <c r="G1" s="3738"/>
      <c r="H1" s="3738"/>
      <c r="I1" s="415"/>
      <c r="J1" s="272"/>
    </row>
    <row r="2" spans="1:25">
      <c r="A2" s="3738" t="s">
        <v>440</v>
      </c>
      <c r="B2" s="3738"/>
      <c r="C2" s="3738"/>
      <c r="D2" s="3738"/>
      <c r="E2" s="3738"/>
      <c r="F2" s="3738"/>
      <c r="G2" s="3738"/>
      <c r="H2" s="3738"/>
      <c r="I2" s="415"/>
      <c r="J2" s="272"/>
      <c r="K2" s="3732" t="s">
        <v>111</v>
      </c>
      <c r="L2" s="3733"/>
      <c r="M2" s="3733"/>
      <c r="N2" s="3733"/>
      <c r="O2" s="3734"/>
      <c r="P2" s="275"/>
      <c r="Q2" s="272"/>
    </row>
    <row r="3" spans="1:25">
      <c r="A3" s="3738" t="s">
        <v>400</v>
      </c>
      <c r="B3" s="3738"/>
      <c r="C3" s="3738"/>
      <c r="D3" s="3738"/>
      <c r="E3" s="3738"/>
      <c r="F3" s="3738"/>
      <c r="G3" s="3738"/>
      <c r="H3" s="3738"/>
      <c r="I3" s="278"/>
      <c r="J3" s="276"/>
      <c r="K3" s="3735" t="s">
        <v>401</v>
      </c>
      <c r="L3" s="3736"/>
      <c r="M3" s="3736"/>
      <c r="N3" s="3736"/>
      <c r="O3" s="3737"/>
      <c r="P3" s="276"/>
      <c r="Q3" s="275"/>
    </row>
    <row r="4" spans="1:25">
      <c r="A4" s="3750" t="str">
        <f>'PROPOSED RATES-12.2024'!A3</f>
        <v>TWELVE MONTHS ENDED JUNE 30, 2023</v>
      </c>
      <c r="B4" s="3750"/>
      <c r="C4" s="3750"/>
      <c r="D4" s="3750"/>
      <c r="E4" s="3750"/>
      <c r="F4" s="3750"/>
      <c r="G4" s="3750"/>
      <c r="H4" s="3750"/>
      <c r="I4" s="416"/>
      <c r="J4" s="277"/>
      <c r="K4" s="3735" t="s">
        <v>400</v>
      </c>
      <c r="L4" s="3736"/>
      <c r="M4" s="3736"/>
      <c r="N4" s="3736"/>
      <c r="O4" s="3737"/>
      <c r="P4" s="276"/>
      <c r="Q4" s="272"/>
    </row>
    <row r="5" spans="1:25" ht="16.5" thickBot="1">
      <c r="A5" s="576"/>
      <c r="B5" s="576"/>
      <c r="C5" s="576"/>
      <c r="D5" s="576"/>
      <c r="E5" s="576"/>
      <c r="F5" s="576"/>
      <c r="G5" s="576"/>
      <c r="H5" s="576"/>
      <c r="I5" s="416"/>
      <c r="J5" s="576"/>
      <c r="K5" s="3741"/>
      <c r="L5" s="3742"/>
      <c r="M5" s="3742"/>
      <c r="N5" s="3742"/>
      <c r="O5" s="3743"/>
      <c r="P5" s="282"/>
      <c r="Q5" s="333"/>
    </row>
    <row r="6" spans="1:25">
      <c r="A6" s="275"/>
      <c r="B6" s="275"/>
      <c r="C6" s="275"/>
      <c r="D6" s="275"/>
      <c r="E6" s="275"/>
      <c r="F6" s="611" t="s">
        <v>437</v>
      </c>
      <c r="G6" s="618" t="s">
        <v>437</v>
      </c>
      <c r="H6" s="3748" t="s">
        <v>527</v>
      </c>
      <c r="I6" s="278"/>
      <c r="J6" s="278"/>
      <c r="K6" s="257" t="s">
        <v>442</v>
      </c>
      <c r="L6" s="301"/>
      <c r="M6" s="301"/>
      <c r="N6" s="301"/>
      <c r="O6" s="302"/>
      <c r="P6" s="282"/>
      <c r="Q6" s="333"/>
      <c r="S6" s="279"/>
      <c r="T6" s="279"/>
      <c r="U6" s="279"/>
      <c r="V6" s="279"/>
      <c r="W6" s="279"/>
      <c r="X6" s="279"/>
      <c r="Y6" s="279"/>
    </row>
    <row r="7" spans="1:25">
      <c r="C7" s="280"/>
      <c r="D7" s="280"/>
      <c r="F7" s="612" t="s">
        <v>525</v>
      </c>
      <c r="G7" s="619" t="s">
        <v>526</v>
      </c>
      <c r="H7" s="3749"/>
      <c r="I7" s="278"/>
      <c r="J7" s="278"/>
      <c r="K7" s="303"/>
      <c r="L7" s="304"/>
      <c r="M7" s="305"/>
      <c r="N7" s="306"/>
      <c r="O7" s="307"/>
      <c r="P7" s="282"/>
      <c r="Q7" s="73"/>
      <c r="R7" s="279"/>
    </row>
    <row r="8" spans="1:25" ht="15.75" customHeight="1">
      <c r="F8" s="613" t="s">
        <v>549</v>
      </c>
      <c r="G8" s="620" t="s">
        <v>551</v>
      </c>
      <c r="H8" s="614" t="s">
        <v>551</v>
      </c>
      <c r="I8" s="283"/>
      <c r="J8" s="300"/>
      <c r="K8" s="303"/>
      <c r="L8" s="308"/>
      <c r="M8" s="305" t="s">
        <v>128</v>
      </c>
      <c r="N8" s="305"/>
      <c r="O8" s="307" t="s">
        <v>129</v>
      </c>
      <c r="P8" s="74"/>
      <c r="Q8" s="129"/>
    </row>
    <row r="9" spans="1:25" ht="15.75" customHeight="1">
      <c r="A9" s="281" t="s">
        <v>127</v>
      </c>
      <c r="B9" s="276"/>
      <c r="C9" s="3744" t="s">
        <v>70</v>
      </c>
      <c r="D9" s="3745"/>
      <c r="E9" s="282"/>
      <c r="F9" s="612" t="s">
        <v>438</v>
      </c>
      <c r="G9" s="619" t="s">
        <v>438</v>
      </c>
      <c r="H9" s="615" t="s">
        <v>438</v>
      </c>
      <c r="I9" s="283"/>
      <c r="J9" s="283"/>
      <c r="K9" s="303"/>
      <c r="L9" s="309" t="s">
        <v>130</v>
      </c>
      <c r="M9" s="309" t="s">
        <v>131</v>
      </c>
      <c r="N9" s="309" t="s">
        <v>132</v>
      </c>
      <c r="O9" s="310" t="s">
        <v>132</v>
      </c>
      <c r="P9" s="74"/>
      <c r="Q9" s="130"/>
    </row>
    <row r="10" spans="1:25">
      <c r="A10" s="284" t="s">
        <v>15</v>
      </c>
      <c r="B10" s="276"/>
      <c r="C10" s="3746"/>
      <c r="D10" s="3747"/>
      <c r="E10" s="282"/>
      <c r="F10" s="616" t="s">
        <v>439</v>
      </c>
      <c r="G10" s="621" t="s">
        <v>439</v>
      </c>
      <c r="H10" s="617" t="s">
        <v>439</v>
      </c>
      <c r="I10" s="283"/>
      <c r="J10" s="283"/>
      <c r="K10" s="303"/>
      <c r="L10" s="304"/>
      <c r="M10" s="304"/>
      <c r="N10" s="306"/>
      <c r="O10" s="312"/>
      <c r="P10" s="74"/>
      <c r="Q10" s="130"/>
    </row>
    <row r="11" spans="1:25" ht="16.5" thickBot="1">
      <c r="E11" s="285"/>
      <c r="J11" s="73"/>
      <c r="K11" s="303"/>
      <c r="L11" s="308" t="s">
        <v>12</v>
      </c>
      <c r="M11" s="313">
        <f>100%-M13</f>
        <v>0.51500000000000001</v>
      </c>
      <c r="N11" s="426">
        <v>4.99E-2</v>
      </c>
      <c r="O11" s="314">
        <f>ROUND(M11*N11,4)</f>
        <v>2.5700000000000001E-2</v>
      </c>
      <c r="P11" s="311"/>
      <c r="Q11" s="130"/>
    </row>
    <row r="12" spans="1:25">
      <c r="A12" s="286">
        <v>1</v>
      </c>
      <c r="C12" s="273" t="s">
        <v>143</v>
      </c>
      <c r="F12" s="287">
        <f>'ADJ DETAIL INPUT'!AW81</f>
        <v>586084.19999999995</v>
      </c>
      <c r="G12" s="287">
        <f>'ADJ DETAIL INPUT'!BI81</f>
        <v>602325.09999999986</v>
      </c>
      <c r="H12" s="419"/>
      <c r="I12" s="419"/>
      <c r="J12" s="287"/>
      <c r="K12" s="303"/>
      <c r="L12" s="308"/>
      <c r="M12" s="313"/>
      <c r="N12" s="315"/>
      <c r="O12" s="314"/>
      <c r="Q12" s="3739" t="s">
        <v>449</v>
      </c>
      <c r="S12" s="445"/>
    </row>
    <row r="13" spans="1:25">
      <c r="A13" s="286"/>
      <c r="F13" s="288"/>
      <c r="G13" s="288"/>
      <c r="H13" s="420"/>
      <c r="I13" s="420"/>
      <c r="J13" s="288"/>
      <c r="K13" s="303"/>
      <c r="L13" s="308" t="s">
        <v>441</v>
      </c>
      <c r="M13" s="313">
        <v>0.48499999999999999</v>
      </c>
      <c r="N13" s="426">
        <v>0.104</v>
      </c>
      <c r="O13" s="314">
        <f>ROUND(M13*N13,4)</f>
        <v>5.04E-2</v>
      </c>
      <c r="Q13" s="3740"/>
    </row>
    <row r="14" spans="1:25" ht="16.5" thickBot="1">
      <c r="A14" s="286">
        <v>2</v>
      </c>
      <c r="C14" s="273" t="s">
        <v>133</v>
      </c>
      <c r="F14" s="444">
        <f>O15</f>
        <v>7.6100000000000001E-2</v>
      </c>
      <c r="G14" s="444">
        <f>F14</f>
        <v>7.6100000000000001E-2</v>
      </c>
      <c r="H14" s="128"/>
      <c r="I14" s="128"/>
      <c r="J14" s="289"/>
      <c r="K14" s="303"/>
      <c r="L14" s="308"/>
      <c r="M14" s="315"/>
      <c r="N14" s="316"/>
      <c r="O14" s="314"/>
      <c r="Q14" s="337">
        <f>O11+O12</f>
        <v>2.5700000000000001E-2</v>
      </c>
    </row>
    <row r="15" spans="1:25" ht="16.5" thickBot="1">
      <c r="A15" s="286"/>
      <c r="F15" s="290"/>
      <c r="G15" s="290"/>
      <c r="H15" s="421"/>
      <c r="I15" s="421"/>
      <c r="J15" s="290"/>
      <c r="K15" s="303"/>
      <c r="L15" s="308" t="s">
        <v>24</v>
      </c>
      <c r="M15" s="317">
        <f>SUM(M11:M13)</f>
        <v>1</v>
      </c>
      <c r="N15" s="316"/>
      <c r="O15" s="318">
        <f>SUM(O11:O13)</f>
        <v>7.6100000000000001E-2</v>
      </c>
    </row>
    <row r="16" spans="1:25" ht="17.25" thickTop="1" thickBot="1">
      <c r="A16" s="286">
        <v>3</v>
      </c>
      <c r="C16" s="273" t="s">
        <v>134</v>
      </c>
      <c r="F16" s="288">
        <f>ROUND(F12*F14,0)</f>
        <v>44601</v>
      </c>
      <c r="G16" s="288">
        <f>ROUND(G12*G14,0)</f>
        <v>45837</v>
      </c>
      <c r="H16" s="420"/>
      <c r="I16" s="420"/>
      <c r="J16" s="288"/>
      <c r="K16" s="319"/>
      <c r="L16" s="320"/>
      <c r="M16" s="321"/>
      <c r="N16" s="322"/>
      <c r="O16" s="323"/>
      <c r="Q16" s="130"/>
    </row>
    <row r="17" spans="1:20">
      <c r="A17" s="286"/>
      <c r="F17" s="288"/>
      <c r="G17" s="288"/>
      <c r="H17" s="420"/>
      <c r="I17" s="420"/>
      <c r="J17" s="288"/>
      <c r="K17" s="293"/>
      <c r="L17" s="73"/>
      <c r="M17" s="73"/>
      <c r="N17" s="372"/>
      <c r="O17" s="73"/>
      <c r="P17" s="129"/>
      <c r="Q17" s="130"/>
    </row>
    <row r="18" spans="1:20">
      <c r="A18" s="286">
        <v>4</v>
      </c>
      <c r="C18" s="273" t="s">
        <v>135</v>
      </c>
      <c r="F18" s="291">
        <f>'ADJ DETAIL INPUT'!AW58</f>
        <v>31585.79887560002</v>
      </c>
      <c r="G18" s="291">
        <f>'ADJ DETAIL INPUT'!BI58</f>
        <v>29386.17428290001</v>
      </c>
      <c r="H18" s="298"/>
      <c r="I18" s="298"/>
      <c r="J18" s="292"/>
      <c r="L18" s="73"/>
      <c r="M18" s="373"/>
      <c r="N18" s="75"/>
      <c r="O18" s="374"/>
      <c r="P18" s="311"/>
      <c r="Q18" s="130"/>
    </row>
    <row r="19" spans="1:20">
      <c r="A19" s="286"/>
      <c r="G19" s="273"/>
      <c r="L19" s="557" t="s">
        <v>640</v>
      </c>
      <c r="M19" s="558"/>
      <c r="N19" s="559"/>
      <c r="O19" s="556"/>
      <c r="P19" s="311"/>
      <c r="Q19" s="274"/>
    </row>
    <row r="20" spans="1:20">
      <c r="A20" s="286">
        <v>5</v>
      </c>
      <c r="C20" s="273" t="s">
        <v>136</v>
      </c>
      <c r="F20" s="288">
        <f>F16-F18</f>
        <v>13015.20112439998</v>
      </c>
      <c r="G20" s="288">
        <f>G16-G18</f>
        <v>16450.82571709999</v>
      </c>
      <c r="H20" s="288">
        <f>G20-F20</f>
        <v>3435.6245927000091</v>
      </c>
      <c r="I20" s="420"/>
      <c r="J20" s="288"/>
      <c r="L20" s="73"/>
      <c r="M20" s="418" t="s">
        <v>535</v>
      </c>
      <c r="N20" s="418" t="s">
        <v>536</v>
      </c>
      <c r="O20" s="418" t="s">
        <v>537</v>
      </c>
      <c r="P20" s="311"/>
      <c r="S20" s="279"/>
      <c r="T20" s="279"/>
    </row>
    <row r="21" spans="1:20">
      <c r="A21" s="286"/>
      <c r="G21" s="294"/>
      <c r="H21" s="273"/>
      <c r="L21" s="550" t="s">
        <v>538</v>
      </c>
      <c r="M21" s="554">
        <v>920.88161811609461</v>
      </c>
      <c r="N21" s="554">
        <v>35.978630661251401</v>
      </c>
      <c r="O21" s="420">
        <f>M21+N21</f>
        <v>956.86024877734599</v>
      </c>
      <c r="P21" s="311"/>
      <c r="Q21" s="279"/>
      <c r="R21" s="279"/>
    </row>
    <row r="22" spans="1:20">
      <c r="A22" s="286">
        <v>6</v>
      </c>
      <c r="C22" s="273" t="s">
        <v>137</v>
      </c>
      <c r="F22" s="294">
        <f>CF!E27</f>
        <v>0.75264900000000001</v>
      </c>
      <c r="G22" s="294">
        <f>F22</f>
        <v>0.75264900000000001</v>
      </c>
      <c r="H22" s="430">
        <f>G22</f>
        <v>0.75264900000000001</v>
      </c>
      <c r="I22" s="422"/>
      <c r="J22" s="294"/>
      <c r="K22" s="129"/>
      <c r="L22" s="550" t="s">
        <v>539</v>
      </c>
      <c r="M22" s="555">
        <v>234</v>
      </c>
      <c r="N22" s="555">
        <v>6.6432028741155591</v>
      </c>
      <c r="O22" s="551">
        <f>M22+N22</f>
        <v>240.64320287411556</v>
      </c>
      <c r="P22" s="129"/>
      <c r="Q22" s="274"/>
    </row>
    <row r="23" spans="1:20" ht="16.5" thickBot="1">
      <c r="A23" s="286"/>
      <c r="G23" s="294"/>
      <c r="H23" s="273"/>
      <c r="K23" s="75"/>
      <c r="L23" s="552" t="s">
        <v>540</v>
      </c>
      <c r="M23" s="553">
        <f>M22+M21</f>
        <v>1154.8816181160946</v>
      </c>
      <c r="N23" s="553">
        <f>N22+N21</f>
        <v>42.62183353536696</v>
      </c>
      <c r="O23" s="553">
        <f>O22+O21</f>
        <v>1197.5034516514615</v>
      </c>
      <c r="P23" s="129"/>
      <c r="Q23" s="274"/>
    </row>
    <row r="24" spans="1:20" ht="17.25" thickTop="1" thickBot="1">
      <c r="A24" s="286">
        <v>7</v>
      </c>
      <c r="C24" s="273" t="s">
        <v>470</v>
      </c>
      <c r="E24" s="295"/>
      <c r="F24" s="394">
        <f>ROUND(F20/F22,0)</f>
        <v>17293</v>
      </c>
      <c r="G24" s="429">
        <f>ROUND(G20/G22,0)-1</f>
        <v>21856</v>
      </c>
      <c r="H24" s="431">
        <f>H20/H22-1</f>
        <v>4563.7102337211754</v>
      </c>
      <c r="I24" s="427"/>
      <c r="K24" s="75"/>
      <c r="L24" s="75"/>
      <c r="M24" s="443"/>
      <c r="N24" s="75"/>
      <c r="O24" s="129"/>
      <c r="P24" s="129"/>
      <c r="Q24" s="274"/>
    </row>
    <row r="25" spans="1:20">
      <c r="E25" s="295"/>
      <c r="G25" s="294"/>
      <c r="H25" s="273"/>
      <c r="I25" s="423"/>
      <c r="K25" s="76"/>
      <c r="L25"/>
      <c r="M25"/>
      <c r="N25"/>
      <c r="O25" s="285"/>
      <c r="P25" s="129"/>
      <c r="Q25" s="549"/>
      <c r="S25" s="549"/>
      <c r="T25" s="549"/>
    </row>
    <row r="26" spans="1:20">
      <c r="A26" s="286">
        <v>8</v>
      </c>
      <c r="C26" s="273" t="s">
        <v>417</v>
      </c>
      <c r="F26" s="292">
        <f>'PROPOSED RATES-12.2024'!J15+'PROPOSED RATES-12.2024'!J16</f>
        <v>126976</v>
      </c>
      <c r="G26" s="298"/>
      <c r="H26" s="287">
        <f>F26+F24</f>
        <v>144269</v>
      </c>
      <c r="I26" s="424"/>
      <c r="J26" s="292"/>
      <c r="K26" s="129"/>
      <c r="L26"/>
      <c r="M26"/>
      <c r="N26"/>
      <c r="O26" s="75"/>
      <c r="P26" s="375"/>
      <c r="Q26" s="549"/>
      <c r="R26" s="549"/>
    </row>
    <row r="27" spans="1:20">
      <c r="G27" s="75"/>
      <c r="H27" s="273"/>
      <c r="I27" s="423"/>
      <c r="K27" s="328"/>
      <c r="L27"/>
      <c r="M27"/>
      <c r="N27"/>
      <c r="O27" s="338"/>
      <c r="P27" s="327"/>
      <c r="Q27" s="274"/>
    </row>
    <row r="28" spans="1:20" ht="16.5" thickBot="1">
      <c r="A28" s="286">
        <v>9</v>
      </c>
      <c r="C28" s="273" t="s">
        <v>420</v>
      </c>
      <c r="F28" s="2408">
        <f>ROUND(F24/F26,4)</f>
        <v>0.13619999999999999</v>
      </c>
      <c r="G28" s="128"/>
      <c r="H28" s="2408">
        <f>H24/H26</f>
        <v>3.1633339343318218E-2</v>
      </c>
      <c r="I28" s="428"/>
      <c r="J28" s="296"/>
      <c r="K28" s="311"/>
      <c r="L28" s="311"/>
      <c r="M28" s="338"/>
      <c r="N28" s="329"/>
      <c r="O28" s="338"/>
      <c r="P28" s="327"/>
    </row>
    <row r="29" spans="1:20" ht="9.75" customHeight="1" thickTop="1">
      <c r="C29" s="297"/>
      <c r="D29" s="297"/>
      <c r="E29" s="297"/>
      <c r="F29" s="297"/>
      <c r="G29" s="433"/>
      <c r="H29" s="432"/>
      <c r="I29" s="425"/>
      <c r="J29" s="297"/>
      <c r="K29" s="298"/>
      <c r="L29" s="129"/>
      <c r="M29" s="330"/>
      <c r="N29" s="338"/>
      <c r="O29" s="330"/>
      <c r="P29" s="338"/>
    </row>
    <row r="30" spans="1:20">
      <c r="A30" s="286">
        <v>10</v>
      </c>
      <c r="C30" s="273" t="s">
        <v>418</v>
      </c>
      <c r="F30" s="298">
        <v>275288</v>
      </c>
      <c r="G30" s="298"/>
      <c r="H30" s="287">
        <f>F30+F24</f>
        <v>292581</v>
      </c>
      <c r="I30" s="423"/>
      <c r="J30" s="298"/>
      <c r="K30" s="311"/>
      <c r="L30" s="338"/>
      <c r="M30" s="311"/>
      <c r="N30" s="329"/>
      <c r="O30" s="311"/>
      <c r="P30" s="329"/>
      <c r="Q30" s="274"/>
    </row>
    <row r="31" spans="1:20" ht="13.5" customHeight="1">
      <c r="G31" s="298"/>
      <c r="H31" s="432"/>
      <c r="I31" s="423"/>
      <c r="K31" s="311"/>
      <c r="L31" s="311"/>
      <c r="M31" s="331"/>
      <c r="N31" s="327"/>
      <c r="O31" s="331"/>
      <c r="P31" s="338"/>
      <c r="Q31" s="279"/>
    </row>
    <row r="32" spans="1:20" ht="15.75" customHeight="1" thickBot="1">
      <c r="A32" s="286">
        <v>11</v>
      </c>
      <c r="C32" s="273" t="s">
        <v>419</v>
      </c>
      <c r="F32" s="2408">
        <f>ROUND(F24/F30,4)</f>
        <v>6.2799999999999995E-2</v>
      </c>
      <c r="G32" s="298"/>
      <c r="H32" s="2408">
        <f>H24/H30</f>
        <v>1.5598108673226134E-2</v>
      </c>
      <c r="I32" s="428"/>
      <c r="J32" s="296"/>
      <c r="K32" s="311"/>
      <c r="L32" s="129"/>
      <c r="M32" s="285"/>
      <c r="N32" s="325"/>
      <c r="O32" s="285"/>
      <c r="P32" s="329"/>
    </row>
    <row r="33" spans="1:17" ht="15.75" customHeight="1" thickTop="1">
      <c r="F33" s="296"/>
      <c r="G33" s="298"/>
      <c r="H33" s="426"/>
      <c r="I33" s="426"/>
      <c r="J33" s="296"/>
      <c r="K33" s="311"/>
      <c r="L33" s="129"/>
      <c r="M33" s="128"/>
      <c r="N33" s="325"/>
      <c r="O33" s="128"/>
      <c r="P33" s="327"/>
      <c r="Q33" s="274"/>
    </row>
    <row r="34" spans="1:17">
      <c r="A34" s="299" t="s">
        <v>398</v>
      </c>
      <c r="G34" s="298"/>
      <c r="K34" s="129"/>
      <c r="L34" s="129"/>
      <c r="M34" s="129"/>
      <c r="N34" s="326"/>
      <c r="O34" s="129"/>
      <c r="P34" s="285"/>
      <c r="Q34" s="378"/>
    </row>
    <row r="35" spans="1:17">
      <c r="A35" s="73"/>
      <c r="B35" s="73"/>
      <c r="C35" s="73"/>
      <c r="D35" s="73"/>
      <c r="E35" s="73"/>
      <c r="F35" s="73"/>
      <c r="G35" s="298"/>
      <c r="J35" s="73"/>
      <c r="K35" s="129"/>
      <c r="L35" s="129"/>
      <c r="M35" s="129"/>
      <c r="N35" s="326"/>
      <c r="O35" s="129"/>
      <c r="P35" s="129"/>
      <c r="Q35" s="377"/>
    </row>
    <row r="36" spans="1:17">
      <c r="A36" s="73"/>
      <c r="B36" s="73"/>
      <c r="C36" s="73"/>
      <c r="D36" s="73"/>
      <c r="E36" s="73"/>
      <c r="F36" s="73"/>
      <c r="G36" s="298"/>
      <c r="J36" s="73"/>
      <c r="K36" s="129"/>
      <c r="L36" s="129"/>
      <c r="M36" s="129"/>
      <c r="N36" s="326"/>
      <c r="O36" s="129"/>
      <c r="P36" s="129"/>
      <c r="Q36" s="377"/>
    </row>
    <row r="37" spans="1:17">
      <c r="G37" s="298"/>
      <c r="K37" s="129"/>
      <c r="L37" s="129"/>
      <c r="M37" s="129"/>
      <c r="N37" s="326"/>
      <c r="O37" s="129"/>
      <c r="P37" s="129"/>
      <c r="Q37" s="377"/>
    </row>
    <row r="38" spans="1:17">
      <c r="G38" s="298"/>
      <c r="K38" s="129"/>
      <c r="L38" s="129"/>
      <c r="M38" s="129"/>
      <c r="N38" s="326"/>
      <c r="O38" s="129"/>
      <c r="P38" s="129"/>
      <c r="Q38" s="377"/>
    </row>
    <row r="39" spans="1:17">
      <c r="K39" s="129"/>
      <c r="L39" s="129"/>
      <c r="M39" s="129"/>
      <c r="N39" s="326"/>
      <c r="O39" s="129"/>
      <c r="P39" s="129"/>
      <c r="Q39" s="377"/>
    </row>
    <row r="40" spans="1:17">
      <c r="K40" s="129"/>
      <c r="L40" s="129"/>
      <c r="M40" s="129"/>
      <c r="N40" s="326"/>
      <c r="O40" s="129"/>
      <c r="P40" s="129"/>
      <c r="Q40" s="377"/>
    </row>
    <row r="41" spans="1:17">
      <c r="K41" s="129"/>
      <c r="L41" s="129"/>
      <c r="M41" s="129"/>
      <c r="N41" s="326"/>
      <c r="O41" s="129"/>
      <c r="P41" s="129"/>
    </row>
    <row r="42" spans="1:17">
      <c r="K42" s="129"/>
      <c r="L42" s="129"/>
      <c r="M42" s="129"/>
      <c r="N42" s="326"/>
      <c r="O42" s="129"/>
      <c r="P42" s="129"/>
      <c r="Q42" s="274"/>
    </row>
    <row r="43" spans="1:17">
      <c r="K43" s="129"/>
      <c r="L43" s="129"/>
      <c r="M43" s="129"/>
      <c r="N43" s="326"/>
      <c r="O43" s="129"/>
      <c r="P43" s="129"/>
    </row>
    <row r="44" spans="1:17">
      <c r="K44" s="129"/>
      <c r="L44" s="129"/>
      <c r="M44" s="129"/>
      <c r="N44" s="326"/>
      <c r="O44" s="129"/>
      <c r="P44" s="129"/>
    </row>
    <row r="45" spans="1:17">
      <c r="P45" s="129"/>
    </row>
    <row r="46" spans="1:17">
      <c r="P46" s="129"/>
    </row>
    <row r="47" spans="1:17">
      <c r="P47" s="129"/>
    </row>
    <row r="48" spans="1:17">
      <c r="P48" s="129"/>
    </row>
  </sheetData>
  <mergeCells count="11">
    <mergeCell ref="Q12:Q13"/>
    <mergeCell ref="K5:O5"/>
    <mergeCell ref="C9:D10"/>
    <mergeCell ref="H6:H7"/>
    <mergeCell ref="A3:H3"/>
    <mergeCell ref="A4:H4"/>
    <mergeCell ref="K2:O2"/>
    <mergeCell ref="K3:O3"/>
    <mergeCell ref="K4:O4"/>
    <mergeCell ref="A1:H1"/>
    <mergeCell ref="A2:H2"/>
  </mergeCells>
  <phoneticPr fontId="0" type="noConversion"/>
  <printOptions horizontalCentered="1"/>
  <pageMargins left="1" right="1" top="1" bottom="1" header="0.5" footer="0.5"/>
  <pageSetup scale="79" orientation="portrait" r:id="rId1"/>
  <headerFooter scaleWithDoc="0" alignWithMargins="0">
    <oddHeader>&amp;RExh. KJS-3</oddHeader>
    <oddFooter>&amp;RPage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4"/>
  <dimension ref="A1:X32"/>
  <sheetViews>
    <sheetView zoomScaleNormal="100" workbookViewId="0"/>
  </sheetViews>
  <sheetFormatPr defaultColWidth="9.28515625" defaultRowHeight="15.75"/>
  <cols>
    <col min="1" max="1" width="9.28515625" style="273"/>
    <col min="2" max="2" width="6.5703125" style="273" customWidth="1"/>
    <col min="3" max="3" width="42" style="273" customWidth="1"/>
    <col min="4" max="4" width="2.7109375" style="273" customWidth="1"/>
    <col min="5" max="5" width="20.28515625" style="589" customWidth="1"/>
    <col min="6" max="6" width="2.5703125" style="273" customWidth="1"/>
    <col min="7" max="8" width="9.28515625" style="273"/>
    <col min="9" max="9" width="19.7109375" style="273" bestFit="1" customWidth="1"/>
    <col min="10" max="10" width="15.5703125" style="273" customWidth="1"/>
    <col min="11" max="16384" width="9.28515625" style="273"/>
  </cols>
  <sheetData>
    <row r="1" spans="1:24" s="586" customFormat="1">
      <c r="A1" s="273"/>
      <c r="B1" s="273"/>
      <c r="C1" s="583" t="s">
        <v>111</v>
      </c>
      <c r="D1" s="584"/>
      <c r="E1" s="585"/>
      <c r="G1" s="423"/>
      <c r="H1" s="423"/>
      <c r="I1" s="273"/>
    </row>
    <row r="2" spans="1:24" s="586" customFormat="1">
      <c r="B2" s="273"/>
      <c r="C2" s="583" t="s">
        <v>152</v>
      </c>
      <c r="D2" s="584"/>
      <c r="E2" s="587"/>
      <c r="I2" s="273"/>
    </row>
    <row r="3" spans="1:24" s="586" customFormat="1">
      <c r="B3" s="273"/>
      <c r="C3" s="272" t="s">
        <v>400</v>
      </c>
      <c r="D3" s="584"/>
      <c r="E3" s="587"/>
      <c r="I3" s="273"/>
    </row>
    <row r="4" spans="1:24">
      <c r="B4" s="588"/>
      <c r="C4" s="583" t="str">
        <f>'PROPOSED RATES-12.2024'!A3</f>
        <v>TWELVE MONTHS ENDED JUNE 30, 2023</v>
      </c>
      <c r="D4" s="588"/>
      <c r="E4" s="588"/>
      <c r="F4" s="588"/>
      <c r="G4" s="588"/>
      <c r="H4" s="588"/>
      <c r="K4" s="588"/>
      <c r="L4" s="588"/>
      <c r="M4" s="583"/>
      <c r="N4" s="583"/>
      <c r="O4" s="583"/>
    </row>
    <row r="5" spans="1:24">
      <c r="C5" s="282"/>
      <c r="D5" s="294"/>
      <c r="P5" s="73"/>
      <c r="Q5" s="73"/>
      <c r="R5" s="73"/>
      <c r="S5" s="73"/>
      <c r="T5" s="73"/>
      <c r="U5" s="73"/>
      <c r="V5" s="73"/>
      <c r="W5" s="73"/>
      <c r="X5" s="73"/>
    </row>
    <row r="6" spans="1:24" hidden="1">
      <c r="A6" s="282"/>
      <c r="C6" s="590"/>
      <c r="D6" s="294"/>
      <c r="E6" s="584"/>
      <c r="I6" s="575"/>
      <c r="J6" s="575"/>
      <c r="O6" s="73"/>
      <c r="P6" s="73"/>
      <c r="Q6" s="73"/>
      <c r="R6" s="73"/>
      <c r="S6" s="73"/>
      <c r="T6" s="73"/>
      <c r="U6" s="73"/>
      <c r="V6" s="73"/>
      <c r="W6" s="73"/>
      <c r="X6" s="73"/>
    </row>
    <row r="7" spans="1:24" hidden="1">
      <c r="A7" s="282"/>
      <c r="C7" s="590"/>
      <c r="D7" s="294"/>
      <c r="E7" s="584"/>
    </row>
    <row r="8" spans="1:24">
      <c r="A8" s="282"/>
      <c r="C8" s="294"/>
      <c r="D8" s="294"/>
      <c r="E8" s="591"/>
      <c r="F8" s="417"/>
      <c r="G8" s="417"/>
      <c r="I8" s="417">
        <v>12.202400000000001</v>
      </c>
      <c r="J8" s="417">
        <v>12.202500000000001</v>
      </c>
    </row>
    <row r="9" spans="1:24">
      <c r="A9" s="282" t="s">
        <v>127</v>
      </c>
      <c r="C9" s="282"/>
      <c r="D9" s="294"/>
      <c r="E9" s="282"/>
      <c r="I9" s="574" t="s">
        <v>528</v>
      </c>
      <c r="J9" s="574" t="s">
        <v>528</v>
      </c>
      <c r="L9" s="285"/>
      <c r="M9" s="285"/>
      <c r="N9" s="285"/>
      <c r="O9" s="285"/>
    </row>
    <row r="10" spans="1:24">
      <c r="A10" s="592" t="s">
        <v>15</v>
      </c>
      <c r="C10" s="592" t="s">
        <v>70</v>
      </c>
      <c r="D10" s="294"/>
      <c r="E10" s="592" t="s">
        <v>144</v>
      </c>
      <c r="F10" s="589"/>
      <c r="I10" s="575" t="s">
        <v>141</v>
      </c>
      <c r="J10" s="575" t="s">
        <v>141</v>
      </c>
      <c r="L10" s="285"/>
      <c r="M10" s="285"/>
      <c r="N10" s="285"/>
      <c r="O10" s="285"/>
    </row>
    <row r="11" spans="1:24" ht="9" customHeight="1">
      <c r="A11" s="282"/>
      <c r="C11" s="294"/>
      <c r="D11" s="294"/>
      <c r="E11" s="294"/>
      <c r="L11" s="285"/>
      <c r="M11" s="285"/>
      <c r="N11" s="285"/>
      <c r="O11" s="285"/>
    </row>
    <row r="12" spans="1:24">
      <c r="A12" s="286">
        <v>1</v>
      </c>
      <c r="C12" s="593" t="s">
        <v>145</v>
      </c>
      <c r="D12" s="422"/>
      <c r="E12" s="422">
        <f>'CF WA Gas'!E5</f>
        <v>1</v>
      </c>
      <c r="I12" s="594">
        <f>'RR SUMMARY'!F24</f>
        <v>17293</v>
      </c>
      <c r="J12" s="594">
        <f>'RR SUMMARY'!H24</f>
        <v>4563.7102337211754</v>
      </c>
      <c r="L12" s="285"/>
      <c r="M12" s="595"/>
      <c r="N12" s="285"/>
      <c r="O12" s="285"/>
    </row>
    <row r="13" spans="1:24" ht="9" customHeight="1">
      <c r="A13" s="286"/>
      <c r="C13" s="593"/>
      <c r="D13" s="422"/>
      <c r="E13" s="422"/>
      <c r="L13" s="285"/>
      <c r="M13" s="285"/>
      <c r="N13" s="285"/>
      <c r="O13" s="285"/>
    </row>
    <row r="14" spans="1:24">
      <c r="A14" s="286"/>
      <c r="C14" s="593" t="s">
        <v>146</v>
      </c>
      <c r="D14" s="422"/>
      <c r="E14" s="422"/>
      <c r="L14" s="285"/>
      <c r="M14" s="285"/>
      <c r="N14" s="285"/>
      <c r="O14" s="285"/>
    </row>
    <row r="15" spans="1:24">
      <c r="A15" s="286">
        <v>2</v>
      </c>
      <c r="B15" s="577"/>
      <c r="C15" s="422" t="s">
        <v>147</v>
      </c>
      <c r="D15" s="422"/>
      <c r="E15" s="596">
        <f>'CF WA Gas'!E9</f>
        <v>4.9508674374747468E-3</v>
      </c>
      <c r="F15" s="597"/>
      <c r="I15" s="598">
        <f>ROUND($I$12*E15,0)</f>
        <v>86</v>
      </c>
      <c r="J15" s="598">
        <f>ROUND($J$12*E15,0)</f>
        <v>23</v>
      </c>
      <c r="L15" s="285"/>
      <c r="M15" s="599"/>
      <c r="N15" s="285"/>
      <c r="O15" s="285"/>
    </row>
    <row r="16" spans="1:24" ht="9" customHeight="1">
      <c r="A16" s="286"/>
      <c r="C16" s="422"/>
      <c r="D16" s="422"/>
      <c r="E16" s="596"/>
      <c r="L16" s="285"/>
      <c r="M16" s="285"/>
      <c r="N16" s="285"/>
      <c r="O16" s="285"/>
    </row>
    <row r="17" spans="1:15">
      <c r="A17" s="286">
        <v>3</v>
      </c>
      <c r="C17" s="422" t="s">
        <v>148</v>
      </c>
      <c r="D17" s="422"/>
      <c r="E17" s="596">
        <f>'CF WA Gas'!E11</f>
        <v>4.0000000000000001E-3</v>
      </c>
      <c r="I17" s="598">
        <f>ROUND($I$12*E17,0)</f>
        <v>69</v>
      </c>
      <c r="J17" s="598">
        <f>ROUND($J$12*E17,0)</f>
        <v>18</v>
      </c>
      <c r="L17" s="285"/>
      <c r="M17" s="599"/>
      <c r="N17" s="285"/>
      <c r="O17" s="285"/>
    </row>
    <row r="18" spans="1:15" ht="9" customHeight="1">
      <c r="A18" s="286"/>
      <c r="C18" s="422"/>
      <c r="D18" s="422"/>
      <c r="E18" s="596"/>
      <c r="L18" s="285"/>
      <c r="M18" s="285"/>
      <c r="N18" s="285"/>
      <c r="O18" s="285"/>
    </row>
    <row r="19" spans="1:15">
      <c r="A19" s="286">
        <v>4</v>
      </c>
      <c r="C19" s="422" t="s">
        <v>149</v>
      </c>
      <c r="D19" s="422"/>
      <c r="E19" s="596">
        <f>'CF WA Gas'!E13</f>
        <v>3.8329292586308468E-2</v>
      </c>
      <c r="F19" s="597"/>
      <c r="I19" s="598">
        <f>ROUND($I$12*E19,0)</f>
        <v>663</v>
      </c>
      <c r="J19" s="598">
        <f>ROUND($J$12*E19,0)</f>
        <v>175</v>
      </c>
      <c r="L19" s="285"/>
      <c r="M19" s="599"/>
      <c r="N19" s="285"/>
      <c r="O19" s="285"/>
    </row>
    <row r="20" spans="1:15" ht="9" customHeight="1">
      <c r="A20" s="286"/>
      <c r="C20" s="422"/>
      <c r="D20" s="422"/>
      <c r="E20" s="600"/>
      <c r="L20" s="285"/>
      <c r="M20" s="285"/>
      <c r="N20" s="285"/>
      <c r="O20" s="285"/>
    </row>
    <row r="21" spans="1:15">
      <c r="A21" s="286">
        <v>6</v>
      </c>
      <c r="C21" s="422" t="s">
        <v>150</v>
      </c>
      <c r="D21" s="422"/>
      <c r="E21" s="601">
        <f>SUM(E15:E19)</f>
        <v>4.7280160023783213E-2</v>
      </c>
      <c r="I21" s="602">
        <f>SUM(I15:I20)</f>
        <v>818</v>
      </c>
      <c r="J21" s="602">
        <f>SUM(J15:J20)</f>
        <v>216</v>
      </c>
      <c r="L21" s="285"/>
      <c r="M21" s="599"/>
      <c r="N21" s="285"/>
      <c r="O21" s="285"/>
    </row>
    <row r="22" spans="1:15" ht="9.75" customHeight="1">
      <c r="A22" s="286"/>
      <c r="C22" s="422"/>
      <c r="D22" s="422"/>
      <c r="E22" s="422"/>
      <c r="I22" s="599"/>
      <c r="J22" s="599"/>
      <c r="L22" s="285"/>
      <c r="M22" s="599"/>
      <c r="N22" s="285"/>
      <c r="O22" s="285"/>
    </row>
    <row r="23" spans="1:15">
      <c r="A23" s="286">
        <v>7</v>
      </c>
      <c r="C23" s="422" t="s">
        <v>151</v>
      </c>
      <c r="D23" s="422"/>
      <c r="E23" s="422">
        <f>E12-E21</f>
        <v>0.95271983997621679</v>
      </c>
      <c r="I23" s="599">
        <f>I12-I21</f>
        <v>16475</v>
      </c>
      <c r="J23" s="599">
        <f>J12-J21</f>
        <v>4347.7102337211754</v>
      </c>
      <c r="L23" s="285"/>
      <c r="M23" s="599"/>
      <c r="N23" s="285"/>
      <c r="O23" s="285"/>
    </row>
    <row r="24" spans="1:15" ht="9.75" customHeight="1">
      <c r="A24" s="286"/>
      <c r="C24" s="422"/>
      <c r="D24" s="422"/>
      <c r="E24" s="422"/>
      <c r="L24" s="285"/>
      <c r="M24" s="285"/>
      <c r="N24" s="285"/>
      <c r="O24" s="285"/>
    </row>
    <row r="25" spans="1:15">
      <c r="A25" s="286">
        <v>8</v>
      </c>
      <c r="C25" s="422" t="s">
        <v>436</v>
      </c>
      <c r="D25" s="603"/>
      <c r="E25" s="604">
        <f>'CF WA Gas'!E20</f>
        <v>0.20007116639500552</v>
      </c>
      <c r="I25" s="605">
        <f>ROUND(I23*0.21,0)</f>
        <v>3460</v>
      </c>
      <c r="J25" s="605">
        <f>ROUND(J23*0.21,0)</f>
        <v>913</v>
      </c>
      <c r="L25" s="285"/>
      <c r="M25" s="599"/>
      <c r="N25" s="285"/>
      <c r="O25" s="285"/>
    </row>
    <row r="26" spans="1:15" ht="9" customHeight="1">
      <c r="C26" s="422"/>
      <c r="D26" s="422"/>
      <c r="E26" s="422"/>
      <c r="L26" s="285"/>
      <c r="M26" s="285"/>
      <c r="N26" s="285"/>
      <c r="O26" s="285"/>
    </row>
    <row r="27" spans="1:15" ht="16.5" thickBot="1">
      <c r="A27" s="286">
        <v>9</v>
      </c>
      <c r="C27" s="422" t="s">
        <v>152</v>
      </c>
      <c r="D27" s="422"/>
      <c r="E27" s="606">
        <f>ROUND(E23-E25,6)</f>
        <v>0.75264900000000001</v>
      </c>
      <c r="I27" s="607">
        <f>I23-I25</f>
        <v>13015</v>
      </c>
      <c r="J27" s="607">
        <f>J23-J25</f>
        <v>3434.7102337211754</v>
      </c>
      <c r="L27" s="285"/>
      <c r="M27" s="608"/>
      <c r="N27" s="285"/>
      <c r="O27" s="285"/>
    </row>
    <row r="28" spans="1:15" ht="13.5" customHeight="1" thickTop="1">
      <c r="C28" s="294"/>
      <c r="D28" s="294"/>
      <c r="F28" s="609"/>
      <c r="G28" s="609"/>
      <c r="H28" s="609"/>
      <c r="L28" s="285"/>
      <c r="M28" s="285"/>
      <c r="N28" s="285"/>
      <c r="O28" s="285"/>
    </row>
    <row r="29" spans="1:15">
      <c r="A29" s="609"/>
      <c r="B29" s="609"/>
      <c r="C29" s="609"/>
      <c r="D29" s="609"/>
      <c r="E29" s="609"/>
      <c r="F29" s="609"/>
      <c r="G29" s="609"/>
      <c r="H29" s="609"/>
      <c r="I29" s="598">
        <f>I27/E27</f>
        <v>17292.257081322103</v>
      </c>
      <c r="J29" s="598">
        <f>J27/E27</f>
        <v>4563.4953792819433</v>
      </c>
      <c r="K29" s="273" t="s">
        <v>388</v>
      </c>
      <c r="L29" s="285"/>
      <c r="M29" s="285"/>
      <c r="N29" s="285"/>
      <c r="O29" s="285"/>
    </row>
    <row r="30" spans="1:15" ht="15.75" customHeight="1">
      <c r="A30" s="609"/>
      <c r="B30" s="609"/>
      <c r="C30" s="609"/>
      <c r="D30" s="609"/>
      <c r="E30" s="609"/>
      <c r="F30" s="609"/>
      <c r="G30" s="609"/>
      <c r="H30" s="609"/>
      <c r="I30" s="610">
        <f>I29-'RR SUMMARY'!F24</f>
        <v>-0.74291867789725075</v>
      </c>
      <c r="J30" s="610">
        <f>J29-'RR SUMMARY'!H24</f>
        <v>-0.21485443923211278</v>
      </c>
      <c r="K30" s="273" t="s">
        <v>82</v>
      </c>
      <c r="L30" s="285"/>
      <c r="M30" s="285"/>
      <c r="N30" s="285"/>
      <c r="O30" s="285"/>
    </row>
    <row r="31" spans="1:15" ht="4.5" customHeight="1">
      <c r="C31" s="294"/>
      <c r="D31" s="294"/>
      <c r="L31" s="285"/>
      <c r="M31" s="285"/>
      <c r="N31" s="285"/>
      <c r="O31" s="285"/>
    </row>
    <row r="32" spans="1:15">
      <c r="C32" s="294"/>
      <c r="D32" s="294"/>
      <c r="L32" s="285"/>
      <c r="M32" s="285"/>
      <c r="N32" s="285"/>
      <c r="O32" s="285"/>
    </row>
  </sheetData>
  <phoneticPr fontId="0" type="noConversion"/>
  <pageMargins left="1" right="1" top="1" bottom="1" header="0.5" footer="0.5"/>
  <pageSetup scale="98" orientation="portrait" r:id="rId1"/>
  <headerFooter alignWithMargins="0">
    <oddHeader>&amp;RExh. KJS-3</oddHeader>
    <oddFooter>&amp;RPage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S92"/>
  <sheetViews>
    <sheetView zoomScaleNormal="100" zoomScaleSheetLayoutView="85" workbookViewId="0"/>
  </sheetViews>
  <sheetFormatPr defaultColWidth="10.5703125" defaultRowHeight="12.75"/>
  <cols>
    <col min="1" max="1" width="4.5703125" style="622" customWidth="1"/>
    <col min="2" max="3" width="1.5703125" style="623" customWidth="1"/>
    <col min="4" max="4" width="33.28515625" style="623" customWidth="1"/>
    <col min="5" max="5" width="13.140625" style="624" customWidth="1"/>
    <col min="6" max="6" width="11.42578125" style="626" customWidth="1"/>
    <col min="7" max="7" width="11.85546875" style="626" customWidth="1"/>
    <col min="8" max="8" width="10.7109375" style="626" customWidth="1"/>
    <col min="9" max="9" width="12" style="626" customWidth="1"/>
    <col min="10" max="10" width="10.28515625" style="626" customWidth="1"/>
    <col min="11" max="11" width="12" style="626" customWidth="1"/>
    <col min="12" max="12" width="12.85546875" style="626" customWidth="1"/>
    <col min="13" max="13" width="13" style="626" customWidth="1"/>
    <col min="14" max="14" width="11.7109375" style="626" customWidth="1"/>
    <col min="15" max="15" width="14.85546875" style="626" customWidth="1"/>
    <col min="16" max="16" width="11" style="626" customWidth="1"/>
    <col min="17" max="17" width="12.5703125" style="626" customWidth="1"/>
    <col min="18" max="18" width="17.28515625" style="626" customWidth="1"/>
    <col min="19" max="19" width="15.5703125" style="626" customWidth="1"/>
    <col min="20" max="20" width="21.28515625" style="627" customWidth="1"/>
    <col min="21" max="21" width="14.5703125" style="628" customWidth="1"/>
    <col min="22" max="22" width="16.5703125" style="626" customWidth="1"/>
    <col min="23" max="23" width="15.85546875" style="626" customWidth="1"/>
    <col min="24" max="24" width="3.7109375" style="628" hidden="1" customWidth="1"/>
    <col min="25" max="25" width="19.28515625" style="629" customWidth="1"/>
    <col min="26" max="26" width="15.140625" style="626" customWidth="1"/>
    <col min="27" max="27" width="20.7109375" style="626" customWidth="1"/>
    <col min="28" max="28" width="12.140625" style="626" customWidth="1"/>
    <col min="29" max="29" width="13.140625" style="626" customWidth="1"/>
    <col min="30" max="30" width="11.42578125" style="630" customWidth="1"/>
    <col min="31" max="31" width="11.140625" style="629" customWidth="1"/>
    <col min="32" max="33" width="12" style="629" customWidth="1"/>
    <col min="34" max="34" width="12.140625" style="629" customWidth="1"/>
    <col min="35" max="35" width="12.28515625" style="626" customWidth="1"/>
    <col min="36" max="36" width="13.85546875" style="626" customWidth="1"/>
    <col min="37" max="37" width="13.28515625" style="626" customWidth="1"/>
    <col min="38" max="38" width="11.85546875" style="626" customWidth="1"/>
    <col min="39" max="39" width="14.7109375" style="626" customWidth="1"/>
    <col min="40" max="40" width="17" style="626" bestFit="1" customWidth="1"/>
    <col min="41" max="41" width="14.85546875" style="626" customWidth="1"/>
    <col min="42" max="42" width="19.7109375" style="626" customWidth="1"/>
    <col min="43" max="43" width="17.140625" style="626" customWidth="1"/>
    <col min="44" max="44" width="16.28515625" style="626" customWidth="1"/>
    <col min="45" max="45" width="11.85546875" style="626" customWidth="1"/>
    <col min="46" max="46" width="18" style="626" customWidth="1"/>
    <col min="47" max="47" width="19.85546875" style="626" customWidth="1"/>
    <col min="48" max="48" width="8.5703125" style="626" hidden="1" customWidth="1"/>
    <col min="49" max="49" width="17.5703125" style="631" customWidth="1"/>
    <col min="50" max="50" width="1.5703125" style="632" hidden="1" customWidth="1"/>
    <col min="51" max="51" width="13.28515625" style="626" hidden="1" customWidth="1"/>
    <col min="52" max="52" width="18.42578125" style="626" customWidth="1"/>
    <col min="53" max="53" width="15.5703125" style="630" customWidth="1"/>
    <col min="54" max="54" width="14.85546875" style="629" customWidth="1"/>
    <col min="55" max="55" width="13.28515625" style="626" customWidth="1"/>
    <col min="56" max="56" width="18.140625" style="626" customWidth="1"/>
    <col min="57" max="57" width="15.140625" style="626" customWidth="1"/>
    <col min="58" max="58" width="18.42578125" style="626" customWidth="1"/>
    <col min="59" max="59" width="20.85546875" style="626" customWidth="1"/>
    <col min="60" max="60" width="17" style="626" hidden="1" customWidth="1"/>
    <col min="61" max="61" width="17.140625" style="629" customWidth="1"/>
    <col min="62" max="62" width="19.28515625" style="626" customWidth="1"/>
    <col min="63" max="63" width="10.5703125" style="633"/>
    <col min="64" max="71" width="10.5703125" style="634"/>
    <col min="72" max="16384" width="10.5703125" style="623"/>
  </cols>
  <sheetData>
    <row r="1" spans="1:71" ht="18" customHeight="1">
      <c r="F1" s="625"/>
      <c r="G1" s="625"/>
      <c r="H1" s="625"/>
      <c r="I1" s="625"/>
      <c r="J1" s="625"/>
      <c r="K1" s="625"/>
      <c r="L1" s="625"/>
      <c r="M1" s="625"/>
      <c r="N1" s="625"/>
      <c r="O1" s="625"/>
      <c r="P1" s="625"/>
      <c r="Q1" s="625"/>
      <c r="R1" s="625"/>
    </row>
    <row r="2" spans="1:71" s="860" customFormat="1" ht="18" customHeight="1">
      <c r="A2" s="859" t="str">
        <f>'ROO INPUT 1.00'!A3:C3</f>
        <v>AVISTA UTILITIES</v>
      </c>
      <c r="E2" s="631"/>
      <c r="F2" s="635" t="s">
        <v>414</v>
      </c>
      <c r="G2" s="861"/>
      <c r="H2" s="861"/>
      <c r="I2" s="861"/>
      <c r="J2" s="861"/>
      <c r="K2" s="861"/>
      <c r="L2" s="861"/>
      <c r="M2" s="861"/>
      <c r="N2" s="861"/>
      <c r="O2" s="861"/>
      <c r="P2" s="861"/>
      <c r="Q2" s="861"/>
      <c r="R2" s="861"/>
      <c r="S2" s="861"/>
      <c r="T2" s="862"/>
      <c r="U2" s="862"/>
      <c r="V2" s="214"/>
      <c r="W2" s="214"/>
      <c r="X2" s="862"/>
      <c r="Y2" s="629"/>
      <c r="Z2" s="629" t="s">
        <v>646</v>
      </c>
      <c r="AA2" s="629"/>
      <c r="AB2" s="863"/>
      <c r="AC2" s="578"/>
      <c r="AD2" s="630"/>
      <c r="AE2" s="863"/>
      <c r="AF2" s="629"/>
      <c r="AG2" s="629"/>
      <c r="AH2" s="863"/>
      <c r="AI2" s="214"/>
      <c r="AJ2" s="214"/>
      <c r="AK2" s="636"/>
      <c r="AL2" s="214"/>
      <c r="AM2" s="637"/>
      <c r="AN2" s="214"/>
      <c r="AO2" s="637"/>
      <c r="AP2" s="637"/>
      <c r="AQ2" s="637"/>
      <c r="AR2" s="637"/>
      <c r="AS2" s="637"/>
      <c r="AT2" s="531"/>
      <c r="AU2" s="629"/>
      <c r="AV2" s="629"/>
      <c r="AW2" s="631"/>
      <c r="AX2" s="632"/>
      <c r="AY2" s="863"/>
      <c r="AZ2" s="629" t="s">
        <v>645</v>
      </c>
      <c r="BA2" s="864"/>
      <c r="BB2" s="863"/>
      <c r="BC2" s="531"/>
      <c r="BD2" s="636"/>
      <c r="BE2" s="214"/>
      <c r="BF2" s="531"/>
      <c r="BG2" s="638"/>
      <c r="BH2" s="638"/>
      <c r="BI2" s="639"/>
      <c r="BJ2" s="639"/>
      <c r="BK2" s="865"/>
      <c r="BL2" s="531"/>
      <c r="BM2" s="531"/>
      <c r="BN2" s="531"/>
      <c r="BO2" s="531"/>
      <c r="BP2" s="531"/>
      <c r="BQ2" s="531"/>
      <c r="BR2" s="531"/>
      <c r="BS2" s="531"/>
    </row>
    <row r="3" spans="1:71" s="860" customFormat="1" ht="15" customHeight="1">
      <c r="A3" s="859" t="s">
        <v>400</v>
      </c>
      <c r="E3" s="631"/>
      <c r="F3" s="629"/>
      <c r="G3" s="629"/>
      <c r="H3" s="629"/>
      <c r="I3" s="629"/>
      <c r="J3" s="636"/>
      <c r="K3" s="629"/>
      <c r="L3" s="646"/>
      <c r="M3" s="629"/>
      <c r="N3" s="629"/>
      <c r="O3" s="629"/>
      <c r="P3" s="629"/>
      <c r="Q3" s="636"/>
      <c r="R3" s="638"/>
      <c r="S3" s="646"/>
      <c r="T3" s="862"/>
      <c r="U3" s="862"/>
      <c r="V3" s="640"/>
      <c r="W3" s="646"/>
      <c r="X3" s="862"/>
      <c r="Y3" s="629"/>
      <c r="Z3" s="629"/>
      <c r="AA3" s="641"/>
      <c r="AB3" s="646"/>
      <c r="AC3" s="639"/>
      <c r="AD3" s="642"/>
      <c r="AE3" s="214"/>
      <c r="AF3" s="646"/>
      <c r="AG3" s="646"/>
      <c r="AH3" s="646"/>
      <c r="AI3" s="646"/>
      <c r="AJ3" s="646"/>
      <c r="AK3" s="646"/>
      <c r="AL3" s="214"/>
      <c r="AM3" s="637"/>
      <c r="AN3" s="646"/>
      <c r="AO3" s="637"/>
      <c r="AP3" s="637"/>
      <c r="AQ3" s="637"/>
      <c r="AR3" s="637"/>
      <c r="AS3" s="637"/>
      <c r="AT3" s="531"/>
      <c r="AU3" s="646"/>
      <c r="AV3" s="646"/>
      <c r="AW3" s="631"/>
      <c r="AX3" s="632"/>
      <c r="AY3" s="646"/>
      <c r="AZ3" s="639"/>
      <c r="BA3" s="642"/>
      <c r="BB3" s="646"/>
      <c r="BC3" s="531"/>
      <c r="BD3" s="637"/>
      <c r="BE3" s="646"/>
      <c r="BF3" s="531"/>
      <c r="BG3" s="638"/>
      <c r="BH3" s="638"/>
      <c r="BI3" s="639"/>
      <c r="BJ3" s="639"/>
      <c r="BK3" s="865"/>
      <c r="BL3" s="531"/>
      <c r="BM3" s="531"/>
      <c r="BN3" s="531"/>
      <c r="BO3" s="531"/>
      <c r="BP3" s="531"/>
      <c r="BQ3" s="531"/>
      <c r="BR3" s="531"/>
      <c r="BS3" s="531"/>
    </row>
    <row r="4" spans="1:71" s="860" customFormat="1" ht="15" customHeight="1">
      <c r="A4" s="859" t="str">
        <f>'ROO INPUT 1.00'!A5:C5</f>
        <v>TWELVE MONTHS ENDED JUNE 30, 2023</v>
      </c>
      <c r="E4" s="643" t="s">
        <v>433</v>
      </c>
      <c r="F4" s="866"/>
      <c r="G4" s="867"/>
      <c r="H4" s="867"/>
      <c r="I4" s="867"/>
      <c r="J4" s="867"/>
      <c r="K4" s="644"/>
      <c r="L4" s="645"/>
      <c r="M4" s="629"/>
      <c r="N4" s="629"/>
      <c r="O4" s="629"/>
      <c r="P4" s="629"/>
      <c r="Q4" s="646"/>
      <c r="R4" s="629"/>
      <c r="S4" s="214"/>
      <c r="T4" s="868"/>
      <c r="U4" s="647"/>
      <c r="V4" s="640"/>
      <c r="W4" s="648"/>
      <c r="X4" s="647"/>
      <c r="Y4" s="629"/>
      <c r="Z4" s="629"/>
      <c r="AA4" s="649"/>
      <c r="AB4" s="648"/>
      <c r="AC4" s="578"/>
      <c r="AD4" s="642"/>
      <c r="AE4" s="214"/>
      <c r="AF4" s="650"/>
      <c r="AG4" s="650"/>
      <c r="AH4" s="648"/>
      <c r="AI4" s="648"/>
      <c r="AJ4" s="648"/>
      <c r="AK4" s="648"/>
      <c r="AL4" s="214"/>
      <c r="AM4" s="651"/>
      <c r="AN4" s="648"/>
      <c r="AO4" s="651"/>
      <c r="AP4" s="651"/>
      <c r="AQ4" s="651"/>
      <c r="AR4" s="651"/>
      <c r="AS4" s="651"/>
      <c r="AT4" s="531"/>
      <c r="AU4" s="648"/>
      <c r="AV4" s="648"/>
      <c r="AW4" s="3751" t="s">
        <v>642</v>
      </c>
      <c r="AX4" s="632"/>
      <c r="AY4" s="648"/>
      <c r="AZ4" s="578"/>
      <c r="BA4" s="642"/>
      <c r="BB4" s="648"/>
      <c r="BC4" s="531"/>
      <c r="BD4" s="637"/>
      <c r="BE4" s="651"/>
      <c r="BF4" s="531"/>
      <c r="BG4" s="638"/>
      <c r="BH4" s="638"/>
      <c r="BI4" s="3751" t="s">
        <v>643</v>
      </c>
      <c r="BJ4" s="652"/>
      <c r="BK4" s="865"/>
      <c r="BL4" s="531"/>
      <c r="BM4" s="531"/>
      <c r="BN4" s="531"/>
      <c r="BO4" s="531"/>
      <c r="BP4" s="531"/>
      <c r="BQ4" s="531"/>
      <c r="BR4" s="531"/>
      <c r="BS4" s="531"/>
    </row>
    <row r="5" spans="1:71" s="872" customFormat="1" ht="14.25" customHeight="1">
      <c r="A5" s="859" t="str">
        <f>'ROO INPUT 1.00'!A6:C6</f>
        <v xml:space="preserve">(000'S OF DOLLARS)   </v>
      </c>
      <c r="B5" s="821"/>
      <c r="C5" s="821"/>
      <c r="D5" s="821"/>
      <c r="E5" s="653" t="s">
        <v>435</v>
      </c>
      <c r="F5" s="866"/>
      <c r="G5" s="867"/>
      <c r="H5" s="867"/>
      <c r="I5" s="867"/>
      <c r="J5" s="867"/>
      <c r="K5" s="644"/>
      <c r="L5" s="645"/>
      <c r="M5" s="869"/>
      <c r="N5" s="869"/>
      <c r="O5" s="869"/>
      <c r="P5" s="869"/>
      <c r="Q5" s="646"/>
      <c r="R5" s="869"/>
      <c r="S5" s="639"/>
      <c r="T5" s="654"/>
      <c r="U5" s="655"/>
      <c r="V5" s="656"/>
      <c r="W5" s="657"/>
      <c r="X5" s="655"/>
      <c r="Y5" s="869"/>
      <c r="Z5" s="658"/>
      <c r="AA5" s="649"/>
      <c r="AB5" s="648"/>
      <c r="AC5" s="639"/>
      <c r="AD5" s="870"/>
      <c r="AE5" s="658"/>
      <c r="AF5" s="657"/>
      <c r="AG5" s="657"/>
      <c r="AH5" s="648"/>
      <c r="AI5" s="648"/>
      <c r="AJ5" s="648"/>
      <c r="AK5" s="648"/>
      <c r="AL5" s="656"/>
      <c r="AM5" s="645"/>
      <c r="AN5" s="648"/>
      <c r="AO5" s="637"/>
      <c r="AP5" s="637"/>
      <c r="AQ5" s="637"/>
      <c r="AR5" s="637"/>
      <c r="AS5" s="637"/>
      <c r="AT5" s="531"/>
      <c r="AU5" s="657"/>
      <c r="AV5" s="657"/>
      <c r="AW5" s="3751"/>
      <c r="AX5" s="871"/>
      <c r="AY5" s="648"/>
      <c r="AZ5" s="639"/>
      <c r="BA5" s="659"/>
      <c r="BB5" s="657"/>
      <c r="BC5" s="531"/>
      <c r="BD5" s="637"/>
      <c r="BE5" s="645"/>
      <c r="BF5" s="531"/>
      <c r="BG5" s="657"/>
      <c r="BH5" s="657"/>
      <c r="BI5" s="3751"/>
      <c r="BJ5" s="660" t="s">
        <v>519</v>
      </c>
      <c r="BK5" s="690"/>
      <c r="BL5" s="531"/>
      <c r="BM5" s="531"/>
      <c r="BN5" s="531"/>
      <c r="BO5" s="531"/>
      <c r="BP5" s="531"/>
      <c r="BQ5" s="531"/>
      <c r="BR5" s="531"/>
      <c r="BS5" s="531"/>
    </row>
    <row r="6" spans="1:71" s="663" customFormat="1">
      <c r="A6" s="662"/>
      <c r="D6" s="873"/>
      <c r="E6" s="571"/>
      <c r="F6" s="664"/>
      <c r="G6" s="664"/>
      <c r="H6" s="664"/>
      <c r="I6" s="664"/>
      <c r="J6" s="664"/>
      <c r="K6" s="664"/>
      <c r="L6" s="664"/>
      <c r="M6" s="664"/>
      <c r="N6" s="664"/>
      <c r="O6" s="664"/>
      <c r="P6" s="664"/>
      <c r="Q6" s="664"/>
      <c r="R6" s="664"/>
      <c r="S6" s="664"/>
      <c r="T6" s="665"/>
      <c r="U6" s="664"/>
      <c r="V6" s="664"/>
      <c r="W6" s="664"/>
      <c r="X6" s="666"/>
      <c r="Y6" s="664"/>
      <c r="Z6" s="664"/>
      <c r="AA6" s="664"/>
      <c r="AB6" s="664"/>
      <c r="AC6" s="664"/>
      <c r="AD6" s="667"/>
      <c r="AE6" s="664"/>
      <c r="AF6" s="664"/>
      <c r="AG6" s="664"/>
      <c r="AH6" s="668"/>
      <c r="AI6" s="664"/>
      <c r="AJ6" s="664"/>
      <c r="AK6" s="664"/>
      <c r="AL6" s="664"/>
      <c r="AM6" s="669"/>
      <c r="AN6" s="664"/>
      <c r="AO6" s="664"/>
      <c r="AP6" s="664"/>
      <c r="AQ6" s="664"/>
      <c r="AR6" s="664"/>
      <c r="AS6" s="664"/>
      <c r="AT6" s="664"/>
      <c r="AU6" s="664"/>
      <c r="AV6" s="664"/>
      <c r="AW6" s="670" t="s">
        <v>517</v>
      </c>
      <c r="AX6" s="671"/>
      <c r="AY6" s="664"/>
      <c r="AZ6" s="664"/>
      <c r="BA6" s="667"/>
      <c r="BB6" s="664"/>
      <c r="BC6" s="664"/>
      <c r="BD6" s="664"/>
      <c r="BE6" s="669"/>
      <c r="BF6" s="664"/>
      <c r="BG6" s="664"/>
      <c r="BH6" s="874"/>
      <c r="BI6" s="670" t="s">
        <v>519</v>
      </c>
      <c r="BJ6" s="672" t="s">
        <v>521</v>
      </c>
      <c r="BK6" s="661"/>
      <c r="BL6" s="634"/>
      <c r="BM6" s="634"/>
      <c r="BN6" s="634"/>
      <c r="BO6" s="634"/>
      <c r="BP6" s="634"/>
      <c r="BQ6" s="634"/>
      <c r="BR6" s="634"/>
      <c r="BS6" s="634"/>
    </row>
    <row r="7" spans="1:71" s="691" customFormat="1">
      <c r="A7" s="673"/>
      <c r="B7" s="674"/>
      <c r="C7" s="675"/>
      <c r="D7" s="857"/>
      <c r="E7" s="676"/>
      <c r="F7" s="676" t="s">
        <v>0</v>
      </c>
      <c r="G7" s="676" t="s">
        <v>424</v>
      </c>
      <c r="H7" s="676" t="s">
        <v>391</v>
      </c>
      <c r="I7" s="676" t="s">
        <v>1</v>
      </c>
      <c r="J7" s="676" t="s">
        <v>4</v>
      </c>
      <c r="K7" s="676" t="s">
        <v>112</v>
      </c>
      <c r="L7" s="676" t="s">
        <v>2</v>
      </c>
      <c r="M7" s="676" t="s">
        <v>3</v>
      </c>
      <c r="N7" s="676" t="s">
        <v>386</v>
      </c>
      <c r="O7" s="676" t="s">
        <v>5</v>
      </c>
      <c r="P7" s="676" t="s">
        <v>4</v>
      </c>
      <c r="Q7" s="676" t="s">
        <v>125</v>
      </c>
      <c r="R7" s="676" t="s">
        <v>403</v>
      </c>
      <c r="S7" s="677" t="s">
        <v>405</v>
      </c>
      <c r="T7" s="678" t="s">
        <v>429</v>
      </c>
      <c r="U7" s="679" t="s">
        <v>155</v>
      </c>
      <c r="V7" s="677" t="s">
        <v>4</v>
      </c>
      <c r="W7" s="680" t="s">
        <v>4</v>
      </c>
      <c r="X7" s="680"/>
      <c r="Y7" s="681" t="s">
        <v>395</v>
      </c>
      <c r="Z7" s="682" t="s">
        <v>14</v>
      </c>
      <c r="AA7" s="680" t="s">
        <v>394</v>
      </c>
      <c r="AB7" s="676" t="s">
        <v>14</v>
      </c>
      <c r="AC7" s="676" t="s">
        <v>14</v>
      </c>
      <c r="AD7" s="683" t="s">
        <v>394</v>
      </c>
      <c r="AE7" s="676" t="s">
        <v>14</v>
      </c>
      <c r="AF7" s="676" t="s">
        <v>14</v>
      </c>
      <c r="AG7" s="676" t="s">
        <v>14</v>
      </c>
      <c r="AH7" s="676" t="s">
        <v>14</v>
      </c>
      <c r="AI7" s="676" t="s">
        <v>14</v>
      </c>
      <c r="AJ7" s="676" t="s">
        <v>14</v>
      </c>
      <c r="AK7" s="676" t="s">
        <v>14</v>
      </c>
      <c r="AL7" s="676" t="s">
        <v>14</v>
      </c>
      <c r="AM7" s="676" t="s">
        <v>14</v>
      </c>
      <c r="AN7" s="684" t="s">
        <v>14</v>
      </c>
      <c r="AO7" s="684" t="s">
        <v>14</v>
      </c>
      <c r="AP7" s="684" t="s">
        <v>14</v>
      </c>
      <c r="AQ7" s="684" t="s">
        <v>14</v>
      </c>
      <c r="AR7" s="684" t="s">
        <v>14</v>
      </c>
      <c r="AS7" s="684" t="s">
        <v>14</v>
      </c>
      <c r="AT7" s="685" t="s">
        <v>609</v>
      </c>
      <c r="AU7" s="685" t="s">
        <v>559</v>
      </c>
      <c r="AV7" s="685"/>
      <c r="AW7" s="686" t="s">
        <v>549</v>
      </c>
      <c r="AX7" s="687"/>
      <c r="AY7" s="676"/>
      <c r="AZ7" s="676" t="s">
        <v>14</v>
      </c>
      <c r="BA7" s="683" t="s">
        <v>394</v>
      </c>
      <c r="BB7" s="676" t="s">
        <v>14</v>
      </c>
      <c r="BC7" s="676" t="s">
        <v>14</v>
      </c>
      <c r="BD7" s="684" t="s">
        <v>14</v>
      </c>
      <c r="BE7" s="676" t="s">
        <v>14</v>
      </c>
      <c r="BF7" s="685" t="s">
        <v>609</v>
      </c>
      <c r="BG7" s="688">
        <v>2026</v>
      </c>
      <c r="BH7" s="676"/>
      <c r="BI7" s="689" t="s">
        <v>551</v>
      </c>
      <c r="BJ7" s="876" t="s">
        <v>639</v>
      </c>
      <c r="BK7" s="690"/>
      <c r="BL7" s="531"/>
      <c r="BM7" s="531"/>
      <c r="BN7" s="531"/>
      <c r="BO7" s="531"/>
      <c r="BP7" s="531"/>
      <c r="BQ7" s="531"/>
      <c r="BR7" s="531"/>
      <c r="BS7" s="531"/>
    </row>
    <row r="8" spans="1:71" s="691" customFormat="1">
      <c r="A8" s="692" t="s">
        <v>6</v>
      </c>
      <c r="B8" s="693"/>
      <c r="C8" s="690"/>
      <c r="D8" s="858"/>
      <c r="E8" s="694" t="s">
        <v>567</v>
      </c>
      <c r="F8" s="694" t="s">
        <v>8</v>
      </c>
      <c r="G8" s="694" t="s">
        <v>425</v>
      </c>
      <c r="H8" s="694" t="s">
        <v>128</v>
      </c>
      <c r="I8" s="694" t="s">
        <v>9</v>
      </c>
      <c r="J8" s="694" t="s">
        <v>10</v>
      </c>
      <c r="K8" s="694" t="s">
        <v>11</v>
      </c>
      <c r="L8" s="694" t="s">
        <v>11</v>
      </c>
      <c r="M8" s="694" t="s">
        <v>428</v>
      </c>
      <c r="N8" s="694" t="s">
        <v>387</v>
      </c>
      <c r="O8" s="694" t="s">
        <v>13</v>
      </c>
      <c r="P8" s="694" t="s">
        <v>126</v>
      </c>
      <c r="Q8" s="694" t="s">
        <v>426</v>
      </c>
      <c r="R8" s="694" t="s">
        <v>404</v>
      </c>
      <c r="S8" s="695" t="s">
        <v>406</v>
      </c>
      <c r="T8" s="696" t="s">
        <v>430</v>
      </c>
      <c r="U8" s="697" t="s">
        <v>423</v>
      </c>
      <c r="V8" s="695" t="s">
        <v>12</v>
      </c>
      <c r="W8" s="698" t="s">
        <v>128</v>
      </c>
      <c r="X8" s="695"/>
      <c r="Y8" s="699" t="s">
        <v>198</v>
      </c>
      <c r="Z8" s="700" t="s">
        <v>402</v>
      </c>
      <c r="AA8" s="701" t="s">
        <v>467</v>
      </c>
      <c r="AB8" s="702" t="s">
        <v>569</v>
      </c>
      <c r="AC8" s="702" t="s">
        <v>443</v>
      </c>
      <c r="AD8" s="703" t="s">
        <v>123</v>
      </c>
      <c r="AE8" s="702" t="s">
        <v>123</v>
      </c>
      <c r="AF8" s="702" t="s">
        <v>432</v>
      </c>
      <c r="AG8" s="702" t="s">
        <v>423</v>
      </c>
      <c r="AH8" s="702" t="s">
        <v>531</v>
      </c>
      <c r="AI8" s="694" t="s">
        <v>612</v>
      </c>
      <c r="AJ8" s="694" t="s">
        <v>10</v>
      </c>
      <c r="AK8" s="694" t="s">
        <v>446</v>
      </c>
      <c r="AL8" s="702" t="s">
        <v>431</v>
      </c>
      <c r="AM8" s="702" t="s">
        <v>515</v>
      </c>
      <c r="AN8" s="704" t="s">
        <v>604</v>
      </c>
      <c r="AO8" s="704" t="s">
        <v>43</v>
      </c>
      <c r="AP8" s="704" t="s">
        <v>604</v>
      </c>
      <c r="AQ8" s="705" t="s">
        <v>605</v>
      </c>
      <c r="AR8" s="705" t="s">
        <v>623</v>
      </c>
      <c r="AS8" s="705" t="s">
        <v>636</v>
      </c>
      <c r="AT8" s="704" t="s">
        <v>604</v>
      </c>
      <c r="AU8" s="704" t="s">
        <v>570</v>
      </c>
      <c r="AV8" s="704"/>
      <c r="AW8" s="706" t="s">
        <v>518</v>
      </c>
      <c r="AX8" s="641"/>
      <c r="AY8" s="702"/>
      <c r="AZ8" s="702" t="s">
        <v>443</v>
      </c>
      <c r="BA8" s="703" t="s">
        <v>123</v>
      </c>
      <c r="BB8" s="702" t="s">
        <v>432</v>
      </c>
      <c r="BC8" s="694" t="s">
        <v>10</v>
      </c>
      <c r="BD8" s="705" t="s">
        <v>623</v>
      </c>
      <c r="BE8" s="702" t="s">
        <v>515</v>
      </c>
      <c r="BF8" s="704" t="s">
        <v>614</v>
      </c>
      <c r="BG8" s="704" t="s">
        <v>570</v>
      </c>
      <c r="BH8" s="694"/>
      <c r="BI8" s="699" t="s">
        <v>518</v>
      </c>
      <c r="BJ8" s="707" t="s">
        <v>518</v>
      </c>
      <c r="BK8" s="690"/>
      <c r="BL8" s="531"/>
      <c r="BM8" s="531"/>
      <c r="BN8" s="531"/>
      <c r="BO8" s="531"/>
      <c r="BP8" s="531"/>
      <c r="BQ8" s="531"/>
      <c r="BR8" s="531"/>
      <c r="BS8" s="531"/>
    </row>
    <row r="9" spans="1:71" s="691" customFormat="1">
      <c r="A9" s="708" t="s">
        <v>15</v>
      </c>
      <c r="B9" s="709"/>
      <c r="C9" s="710"/>
      <c r="D9" s="711" t="s">
        <v>16</v>
      </c>
      <c r="E9" s="712" t="s">
        <v>568</v>
      </c>
      <c r="F9" s="712" t="s">
        <v>18</v>
      </c>
      <c r="G9" s="712" t="s">
        <v>202</v>
      </c>
      <c r="H9" s="712"/>
      <c r="I9" s="712" t="s">
        <v>20</v>
      </c>
      <c r="J9" s="712" t="s">
        <v>21</v>
      </c>
      <c r="K9" s="712"/>
      <c r="L9" s="712"/>
      <c r="M9" s="712" t="s">
        <v>22</v>
      </c>
      <c r="N9" s="712" t="s">
        <v>11</v>
      </c>
      <c r="O9" s="712" t="s">
        <v>444</v>
      </c>
      <c r="P9" s="712" t="s">
        <v>20</v>
      </c>
      <c r="Q9" s="712" t="s">
        <v>427</v>
      </c>
      <c r="R9" s="712" t="s">
        <v>113</v>
      </c>
      <c r="S9" s="713" t="s">
        <v>407</v>
      </c>
      <c r="T9" s="714" t="s">
        <v>445</v>
      </c>
      <c r="U9" s="715" t="s">
        <v>11</v>
      </c>
      <c r="V9" s="713" t="s">
        <v>23</v>
      </c>
      <c r="W9" s="716" t="s">
        <v>617</v>
      </c>
      <c r="X9" s="713"/>
      <c r="Y9" s="717"/>
      <c r="Z9" s="718" t="s">
        <v>397</v>
      </c>
      <c r="AA9" s="716" t="s">
        <v>468</v>
      </c>
      <c r="AB9" s="712" t="s">
        <v>556</v>
      </c>
      <c r="AC9" s="719" t="s">
        <v>411</v>
      </c>
      <c r="AD9" s="720" t="s">
        <v>558</v>
      </c>
      <c r="AE9" s="721" t="s">
        <v>124</v>
      </c>
      <c r="AF9" s="721" t="s">
        <v>154</v>
      </c>
      <c r="AG9" s="721"/>
      <c r="AH9" s="721" t="s">
        <v>123</v>
      </c>
      <c r="AI9" s="712" t="s">
        <v>123</v>
      </c>
      <c r="AJ9" s="712" t="s">
        <v>21</v>
      </c>
      <c r="AK9" s="712" t="s">
        <v>11</v>
      </c>
      <c r="AL9" s="712" t="s">
        <v>11</v>
      </c>
      <c r="AM9" s="712" t="s">
        <v>516</v>
      </c>
      <c r="AN9" s="719" t="s">
        <v>629</v>
      </c>
      <c r="AO9" s="719" t="s">
        <v>11</v>
      </c>
      <c r="AP9" s="719" t="s">
        <v>631</v>
      </c>
      <c r="AQ9" s="719" t="s">
        <v>606</v>
      </c>
      <c r="AR9" s="719" t="s">
        <v>11</v>
      </c>
      <c r="AS9" s="719" t="s">
        <v>11</v>
      </c>
      <c r="AT9" s="722" t="s">
        <v>610</v>
      </c>
      <c r="AU9" s="722" t="s">
        <v>571</v>
      </c>
      <c r="AV9" s="722"/>
      <c r="AW9" s="723" t="s">
        <v>198</v>
      </c>
      <c r="AX9" s="724"/>
      <c r="AY9" s="712"/>
      <c r="AZ9" s="719" t="s">
        <v>411</v>
      </c>
      <c r="BA9" s="720" t="s">
        <v>558</v>
      </c>
      <c r="BB9" s="721" t="s">
        <v>154</v>
      </c>
      <c r="BC9" s="712" t="s">
        <v>21</v>
      </c>
      <c r="BD9" s="719" t="s">
        <v>11</v>
      </c>
      <c r="BE9" s="712" t="s">
        <v>516</v>
      </c>
      <c r="BF9" s="722" t="s">
        <v>615</v>
      </c>
      <c r="BG9" s="722" t="s">
        <v>571</v>
      </c>
      <c r="BH9" s="712"/>
      <c r="BI9" s="725" t="s">
        <v>198</v>
      </c>
      <c r="BJ9" s="672" t="s">
        <v>198</v>
      </c>
      <c r="BK9" s="690"/>
      <c r="BL9" s="531"/>
      <c r="BM9" s="531"/>
      <c r="BN9" s="531"/>
      <c r="BO9" s="531"/>
      <c r="BP9" s="531"/>
      <c r="BQ9" s="531"/>
      <c r="BR9" s="531"/>
      <c r="BS9" s="531"/>
    </row>
    <row r="10" spans="1:71" s="691" customFormat="1">
      <c r="A10" s="658"/>
      <c r="B10" s="875" t="s">
        <v>171</v>
      </c>
      <c r="E10" s="726">
        <v>1</v>
      </c>
      <c r="F10" s="726">
        <f>E10+0.01</f>
        <v>1.01</v>
      </c>
      <c r="G10" s="726">
        <f t="shared" ref="G10" si="0">F10+0.01</f>
        <v>1.02</v>
      </c>
      <c r="H10" s="726">
        <f>G10+0.01</f>
        <v>1.03</v>
      </c>
      <c r="I10" s="726">
        <v>2.0099999999999998</v>
      </c>
      <c r="J10" s="726">
        <f>I10+0.01</f>
        <v>2.0199999999999996</v>
      </c>
      <c r="K10" s="726">
        <f t="shared" ref="K10:R10" si="1">J10+0.01</f>
        <v>2.0299999999999994</v>
      </c>
      <c r="L10" s="726">
        <f t="shared" si="1"/>
        <v>2.0399999999999991</v>
      </c>
      <c r="M10" s="726">
        <f t="shared" si="1"/>
        <v>2.0499999999999989</v>
      </c>
      <c r="N10" s="726">
        <f t="shared" si="1"/>
        <v>2.0599999999999987</v>
      </c>
      <c r="O10" s="726">
        <f t="shared" si="1"/>
        <v>2.0699999999999985</v>
      </c>
      <c r="P10" s="726">
        <f t="shared" si="1"/>
        <v>2.0799999999999983</v>
      </c>
      <c r="Q10" s="726">
        <f t="shared" si="1"/>
        <v>2.0899999999999981</v>
      </c>
      <c r="R10" s="726">
        <f t="shared" si="1"/>
        <v>2.0999999999999979</v>
      </c>
      <c r="S10" s="727">
        <f t="shared" ref="S10" si="2">R10+0.01</f>
        <v>2.1099999999999977</v>
      </c>
      <c r="T10" s="728">
        <f t="shared" ref="T10" si="3">S10+0.01</f>
        <v>2.1199999999999974</v>
      </c>
      <c r="U10" s="728">
        <f t="shared" ref="U10" si="4">T10+0.01</f>
        <v>2.1299999999999972</v>
      </c>
      <c r="V10" s="727">
        <f t="shared" ref="V10" si="5">U10+0.01</f>
        <v>2.139999999999997</v>
      </c>
      <c r="W10" s="727">
        <f>V10+0.01</f>
        <v>2.1499999999999968</v>
      </c>
      <c r="X10" s="728"/>
      <c r="Y10" s="729"/>
      <c r="Z10" s="727">
        <v>3.01</v>
      </c>
      <c r="AA10" s="727">
        <f>Z10+0.01</f>
        <v>3.0199999999999996</v>
      </c>
      <c r="AB10" s="727">
        <f t="shared" ref="AB10" si="6">AA10+0.01</f>
        <v>3.0299999999999994</v>
      </c>
      <c r="AC10" s="727">
        <f t="shared" ref="AC10" si="7">AB10+0.01</f>
        <v>3.0399999999999991</v>
      </c>
      <c r="AD10" s="730">
        <f t="shared" ref="AD10" si="8">AC10+0.01</f>
        <v>3.0499999999999989</v>
      </c>
      <c r="AE10" s="727">
        <f t="shared" ref="AE10" si="9">AD10+0.01</f>
        <v>3.0599999999999987</v>
      </c>
      <c r="AF10" s="727">
        <f t="shared" ref="AF10" si="10">AE10+0.01</f>
        <v>3.0699999999999985</v>
      </c>
      <c r="AG10" s="727">
        <f t="shared" ref="AG10" si="11">AF10+0.01</f>
        <v>3.0799999999999983</v>
      </c>
      <c r="AH10" s="727">
        <f t="shared" ref="AH10" si="12">AG10+0.01</f>
        <v>3.0899999999999981</v>
      </c>
      <c r="AI10" s="727">
        <f t="shared" ref="AI10" si="13">AH10+0.01</f>
        <v>3.0999999999999979</v>
      </c>
      <c r="AJ10" s="727">
        <f>AI10+0.01</f>
        <v>3.1099999999999977</v>
      </c>
      <c r="AK10" s="727">
        <f t="shared" ref="AK10" si="14">AJ10+0.01</f>
        <v>3.1199999999999974</v>
      </c>
      <c r="AL10" s="727">
        <f t="shared" ref="AL10" si="15">AK10+0.01</f>
        <v>3.1299999999999972</v>
      </c>
      <c r="AM10" s="727">
        <f t="shared" ref="AM10" si="16">AL10+0.01</f>
        <v>3.139999999999997</v>
      </c>
      <c r="AN10" s="727">
        <f t="shared" ref="AN10" si="17">AM10+0.01</f>
        <v>3.1499999999999968</v>
      </c>
      <c r="AO10" s="727">
        <f t="shared" ref="AO10" si="18">AN10+0.01</f>
        <v>3.1599999999999966</v>
      </c>
      <c r="AP10" s="727">
        <f t="shared" ref="AP10" si="19">AO10+0.01</f>
        <v>3.1699999999999964</v>
      </c>
      <c r="AQ10" s="727">
        <f t="shared" ref="AQ10:AS10" si="20">AP10+0.01</f>
        <v>3.1799999999999962</v>
      </c>
      <c r="AR10" s="727">
        <f t="shared" si="20"/>
        <v>3.1899999999999959</v>
      </c>
      <c r="AS10" s="731">
        <f t="shared" si="20"/>
        <v>3.1999999999999957</v>
      </c>
      <c r="AT10" s="732">
        <f>4.01</f>
        <v>4.01</v>
      </c>
      <c r="AU10" s="733">
        <f t="shared" ref="AU10" si="21">AT10+0.01</f>
        <v>4.0199999999999996</v>
      </c>
      <c r="AV10" s="733"/>
      <c r="AW10" s="734"/>
      <c r="AX10" s="724"/>
      <c r="AY10" s="727"/>
      <c r="AZ10" s="727">
        <f>5.01</f>
        <v>5.01</v>
      </c>
      <c r="BA10" s="730">
        <f>AZ10+0.01</f>
        <v>5.0199999999999996</v>
      </c>
      <c r="BB10" s="727">
        <f t="shared" ref="BB10" si="22">BA10+0.01</f>
        <v>5.0299999999999994</v>
      </c>
      <c r="BC10" s="727">
        <f t="shared" ref="BC10" si="23">BB10+0.01</f>
        <v>5.0399999999999991</v>
      </c>
      <c r="BD10" s="727">
        <f t="shared" ref="BD10" si="24">BC10+0.01</f>
        <v>5.0499999999999989</v>
      </c>
      <c r="BE10" s="727">
        <f>BD10+0.01</f>
        <v>5.0599999999999987</v>
      </c>
      <c r="BF10" s="727">
        <f t="shared" ref="BF10" si="25">BE10+0.01</f>
        <v>5.0699999999999985</v>
      </c>
      <c r="BG10" s="727">
        <f t="shared" ref="BG10" si="26">BF10+0.01</f>
        <v>5.0799999999999983</v>
      </c>
      <c r="BH10" s="727"/>
      <c r="BI10" s="735" t="s">
        <v>520</v>
      </c>
      <c r="BJ10" s="736" t="s">
        <v>522</v>
      </c>
      <c r="BK10" s="690"/>
      <c r="BL10" s="531"/>
      <c r="BM10" s="531"/>
      <c r="BN10" s="531"/>
      <c r="BO10" s="531"/>
      <c r="BP10" s="531"/>
      <c r="BQ10" s="531"/>
      <c r="BR10" s="531"/>
      <c r="BS10" s="531"/>
    </row>
    <row r="11" spans="1:71" s="691" customFormat="1">
      <c r="A11" s="658"/>
      <c r="B11" s="875" t="s">
        <v>172</v>
      </c>
      <c r="E11" s="636" t="s">
        <v>173</v>
      </c>
      <c r="F11" s="636" t="s">
        <v>174</v>
      </c>
      <c r="G11" s="636" t="s">
        <v>175</v>
      </c>
      <c r="H11" s="636" t="s">
        <v>392</v>
      </c>
      <c r="I11" s="636" t="s">
        <v>176</v>
      </c>
      <c r="J11" s="636" t="s">
        <v>389</v>
      </c>
      <c r="K11" s="636" t="s">
        <v>177</v>
      </c>
      <c r="L11" s="636" t="s">
        <v>178</v>
      </c>
      <c r="M11" s="636" t="s">
        <v>179</v>
      </c>
      <c r="N11" s="636" t="s">
        <v>180</v>
      </c>
      <c r="O11" s="636" t="s">
        <v>182</v>
      </c>
      <c r="P11" s="636" t="s">
        <v>383</v>
      </c>
      <c r="Q11" s="636" t="s">
        <v>181</v>
      </c>
      <c r="R11" s="636" t="s">
        <v>416</v>
      </c>
      <c r="S11" s="636" t="s">
        <v>408</v>
      </c>
      <c r="T11" s="737" t="s">
        <v>183</v>
      </c>
      <c r="U11" s="737" t="s">
        <v>184</v>
      </c>
      <c r="V11" s="636" t="s">
        <v>625</v>
      </c>
      <c r="W11" s="733" t="s">
        <v>628</v>
      </c>
      <c r="X11" s="737"/>
      <c r="Y11" s="729" t="s">
        <v>384</v>
      </c>
      <c r="Z11" s="636" t="s">
        <v>410</v>
      </c>
      <c r="AA11" s="636" t="s">
        <v>469</v>
      </c>
      <c r="AB11" s="636" t="s">
        <v>557</v>
      </c>
      <c r="AC11" s="636" t="s">
        <v>466</v>
      </c>
      <c r="AD11" s="738" t="s">
        <v>185</v>
      </c>
      <c r="AE11" s="636" t="s">
        <v>186</v>
      </c>
      <c r="AF11" s="636" t="s">
        <v>187</v>
      </c>
      <c r="AG11" s="636" t="s">
        <v>638</v>
      </c>
      <c r="AH11" s="636" t="s">
        <v>532</v>
      </c>
      <c r="AI11" s="636" t="s">
        <v>613</v>
      </c>
      <c r="AJ11" s="636" t="s">
        <v>390</v>
      </c>
      <c r="AK11" s="636" t="s">
        <v>448</v>
      </c>
      <c r="AL11" s="636" t="s">
        <v>447</v>
      </c>
      <c r="AM11" s="636" t="s">
        <v>530</v>
      </c>
      <c r="AN11" s="733" t="s">
        <v>630</v>
      </c>
      <c r="AO11" s="733" t="s">
        <v>607</v>
      </c>
      <c r="AP11" s="733" t="s">
        <v>632</v>
      </c>
      <c r="AQ11" s="731" t="s">
        <v>608</v>
      </c>
      <c r="AR11" s="636" t="s">
        <v>622</v>
      </c>
      <c r="AS11" s="731" t="s">
        <v>637</v>
      </c>
      <c r="AT11" s="733" t="s">
        <v>611</v>
      </c>
      <c r="AU11" s="733" t="s">
        <v>560</v>
      </c>
      <c r="AV11" s="733"/>
      <c r="AW11" s="734" t="s">
        <v>385</v>
      </c>
      <c r="AX11" s="724"/>
      <c r="AY11" s="636"/>
      <c r="AZ11" s="636" t="s">
        <v>561</v>
      </c>
      <c r="BA11" s="738" t="s">
        <v>562</v>
      </c>
      <c r="BB11" s="636" t="s">
        <v>563</v>
      </c>
      <c r="BC11" s="636" t="s">
        <v>564</v>
      </c>
      <c r="BD11" s="636" t="s">
        <v>624</v>
      </c>
      <c r="BE11" s="733" t="s">
        <v>565</v>
      </c>
      <c r="BF11" s="733" t="s">
        <v>616</v>
      </c>
      <c r="BG11" s="733" t="s">
        <v>566</v>
      </c>
      <c r="BH11" s="636"/>
      <c r="BI11" s="739"/>
      <c r="BJ11" s="877"/>
      <c r="BK11" s="690"/>
      <c r="BL11" s="531"/>
      <c r="BM11" s="531"/>
      <c r="BN11" s="531"/>
      <c r="BO11" s="531"/>
      <c r="BP11" s="531"/>
      <c r="BQ11" s="531"/>
      <c r="BR11" s="531"/>
      <c r="BS11" s="531"/>
    </row>
    <row r="12" spans="1:71" s="740" customFormat="1" ht="6" customHeight="1">
      <c r="A12" s="662"/>
      <c r="E12" s="626"/>
      <c r="F12" s="626"/>
      <c r="G12" s="626"/>
      <c r="H12" s="626"/>
      <c r="I12" s="626"/>
      <c r="J12" s="626"/>
      <c r="K12" s="626"/>
      <c r="L12" s="626"/>
      <c r="M12" s="626"/>
      <c r="N12" s="626"/>
      <c r="O12" s="626"/>
      <c r="P12" s="626"/>
      <c r="Q12" s="626"/>
      <c r="R12" s="626"/>
      <c r="S12" s="626"/>
      <c r="T12" s="627"/>
      <c r="U12" s="627"/>
      <c r="V12" s="626"/>
      <c r="W12" s="626"/>
      <c r="X12" s="627"/>
      <c r="Y12" s="741"/>
      <c r="Z12" s="626"/>
      <c r="AA12" s="626"/>
      <c r="AB12" s="626"/>
      <c r="AC12" s="626"/>
      <c r="AD12" s="742"/>
      <c r="AE12" s="626"/>
      <c r="AF12" s="626"/>
      <c r="AG12" s="626"/>
      <c r="AH12" s="626"/>
      <c r="AI12" s="626"/>
      <c r="AJ12" s="626"/>
      <c r="AK12" s="626"/>
      <c r="AL12" s="626"/>
      <c r="AM12" s="626"/>
      <c r="AN12" s="626"/>
      <c r="AO12" s="626"/>
      <c r="AP12" s="626"/>
      <c r="AQ12" s="626"/>
      <c r="AR12" s="626"/>
      <c r="AS12" s="626"/>
      <c r="AT12" s="743"/>
      <c r="AU12" s="743"/>
      <c r="AV12" s="743"/>
      <c r="AW12" s="744"/>
      <c r="AX12" s="632"/>
      <c r="AY12" s="626"/>
      <c r="AZ12" s="626"/>
      <c r="BA12" s="742"/>
      <c r="BB12" s="626"/>
      <c r="BC12" s="626"/>
      <c r="BD12" s="626"/>
      <c r="BE12" s="626"/>
      <c r="BF12" s="743"/>
      <c r="BG12" s="743"/>
      <c r="BH12" s="743"/>
      <c r="BI12" s="745"/>
      <c r="BJ12" s="626"/>
      <c r="BK12" s="633"/>
      <c r="BL12" s="634"/>
      <c r="BM12" s="634"/>
      <c r="BN12" s="634"/>
      <c r="BO12" s="634"/>
      <c r="BP12" s="634"/>
      <c r="BQ12" s="634"/>
      <c r="BR12" s="634"/>
      <c r="BS12" s="634"/>
    </row>
    <row r="13" spans="1:71">
      <c r="B13" s="623" t="s">
        <v>31</v>
      </c>
      <c r="U13" s="627"/>
      <c r="X13" s="627"/>
      <c r="Y13" s="741"/>
      <c r="AD13" s="742"/>
      <c r="AE13" s="626"/>
      <c r="AF13" s="626"/>
      <c r="AG13" s="626"/>
      <c r="AH13" s="626"/>
      <c r="AT13" s="743"/>
      <c r="AU13" s="743"/>
      <c r="AV13" s="743"/>
      <c r="AW13" s="744"/>
      <c r="BA13" s="742"/>
      <c r="BB13" s="626"/>
      <c r="BF13" s="743"/>
      <c r="BG13" s="743"/>
      <c r="BH13" s="743"/>
      <c r="BI13" s="745"/>
    </row>
    <row r="14" spans="1:71" s="746" customFormat="1">
      <c r="A14" s="622">
        <v>1</v>
      </c>
      <c r="B14" s="746" t="s">
        <v>32</v>
      </c>
      <c r="E14" s="747">
        <f>'ROO INPUT 1.00'!$F15</f>
        <v>246541</v>
      </c>
      <c r="F14" s="748">
        <v>0</v>
      </c>
      <c r="G14" s="748">
        <v>0</v>
      </c>
      <c r="H14" s="748">
        <v>0</v>
      </c>
      <c r="I14" s="749">
        <f>-ROUND(('G-2.01 Elim B&amp;O'!E11/1000),)</f>
        <v>-8526</v>
      </c>
      <c r="J14" s="748">
        <v>0</v>
      </c>
      <c r="K14" s="748">
        <v>0</v>
      </c>
      <c r="L14" s="748">
        <v>0</v>
      </c>
      <c r="M14" s="748">
        <v>0</v>
      </c>
      <c r="N14" s="748">
        <v>0</v>
      </c>
      <c r="O14" s="748">
        <v>0</v>
      </c>
      <c r="P14" s="748">
        <v>0</v>
      </c>
      <c r="Q14" s="748">
        <v>0</v>
      </c>
      <c r="R14" s="748">
        <f>ROUND(('G-2.10 WN'!D14/1000),)</f>
        <v>28</v>
      </c>
      <c r="S14" s="748">
        <f>'G-2.11 EAS'!Q10</f>
        <v>-26674</v>
      </c>
      <c r="T14" s="750">
        <v>0</v>
      </c>
      <c r="U14" s="750">
        <v>0</v>
      </c>
      <c r="V14" s="748">
        <v>0</v>
      </c>
      <c r="W14" s="748">
        <v>0</v>
      </c>
      <c r="X14" s="750">
        <v>0</v>
      </c>
      <c r="Y14" s="751">
        <f>SUM(E14:X14)</f>
        <v>211369</v>
      </c>
      <c r="Z14" s="748">
        <f>ROUND('G-3.01 PF Rev Norm'!H10,)</f>
        <v>-89786</v>
      </c>
      <c r="AA14" s="748">
        <v>0</v>
      </c>
      <c r="AB14" s="748">
        <v>0</v>
      </c>
      <c r="AC14" s="748">
        <v>0</v>
      </c>
      <c r="AD14" s="752">
        <v>0</v>
      </c>
      <c r="AE14" s="748">
        <v>0</v>
      </c>
      <c r="AF14" s="748">
        <v>0</v>
      </c>
      <c r="AG14" s="748">
        <v>0</v>
      </c>
      <c r="AH14" s="748">
        <v>0</v>
      </c>
      <c r="AI14" s="748">
        <v>0</v>
      </c>
      <c r="AJ14" s="748">
        <v>0</v>
      </c>
      <c r="AK14" s="748">
        <v>0</v>
      </c>
      <c r="AL14" s="748">
        <v>0</v>
      </c>
      <c r="AM14" s="748">
        <v>0</v>
      </c>
      <c r="AN14" s="748">
        <v>0</v>
      </c>
      <c r="AO14" s="748">
        <v>0</v>
      </c>
      <c r="AP14" s="748">
        <v>0</v>
      </c>
      <c r="AQ14" s="748">
        <v>0</v>
      </c>
      <c r="AR14" s="748">
        <v>0</v>
      </c>
      <c r="AS14" s="748">
        <v>0</v>
      </c>
      <c r="AT14" s="753">
        <v>0</v>
      </c>
      <c r="AU14" s="753">
        <v>0</v>
      </c>
      <c r="AV14" s="753">
        <v>0</v>
      </c>
      <c r="AW14" s="754">
        <f>SUM(Y14:AV14)</f>
        <v>121583</v>
      </c>
      <c r="AX14" s="755"/>
      <c r="AY14" s="748">
        <v>0</v>
      </c>
      <c r="AZ14" s="748">
        <v>0</v>
      </c>
      <c r="BA14" s="752">
        <v>0</v>
      </c>
      <c r="BB14" s="748">
        <v>0</v>
      </c>
      <c r="BC14" s="748">
        <v>0</v>
      </c>
      <c r="BD14" s="748">
        <v>0</v>
      </c>
      <c r="BE14" s="748">
        <v>0</v>
      </c>
      <c r="BF14" s="753">
        <v>0</v>
      </c>
      <c r="BG14" s="753">
        <v>0</v>
      </c>
      <c r="BH14" s="753">
        <v>0</v>
      </c>
      <c r="BI14" s="756">
        <f>SUM(AW14:BH14)</f>
        <v>121583</v>
      </c>
      <c r="BJ14" s="748">
        <f>BI14-AW14</f>
        <v>0</v>
      </c>
      <c r="BK14" s="757"/>
      <c r="BL14" s="634"/>
      <c r="BM14" s="634"/>
      <c r="BN14" s="634"/>
      <c r="BO14" s="634"/>
      <c r="BP14" s="634"/>
      <c r="BQ14" s="634"/>
      <c r="BR14" s="634"/>
      <c r="BS14" s="634"/>
    </row>
    <row r="15" spans="1:71">
      <c r="A15" s="622">
        <v>2</v>
      </c>
      <c r="B15" s="758" t="s">
        <v>33</v>
      </c>
      <c r="D15" s="758"/>
      <c r="E15" s="759">
        <f>'ROO INPUT 1.00'!$F16</f>
        <v>5180</v>
      </c>
      <c r="F15" s="749">
        <v>0</v>
      </c>
      <c r="G15" s="749">
        <v>0</v>
      </c>
      <c r="H15" s="749">
        <v>0</v>
      </c>
      <c r="I15" s="749">
        <f>-ROUND(('G-2.01 Elim B&amp;O'!E16/1000),)</f>
        <v>-120</v>
      </c>
      <c r="J15" s="749">
        <v>0</v>
      </c>
      <c r="K15" s="749">
        <v>0</v>
      </c>
      <c r="L15" s="749">
        <v>0</v>
      </c>
      <c r="M15" s="749">
        <v>0</v>
      </c>
      <c r="N15" s="749">
        <v>0</v>
      </c>
      <c r="O15" s="749">
        <v>0</v>
      </c>
      <c r="P15" s="749">
        <v>0</v>
      </c>
      <c r="Q15" s="749">
        <v>0</v>
      </c>
      <c r="R15" s="749">
        <v>0</v>
      </c>
      <c r="S15" s="749">
        <v>0</v>
      </c>
      <c r="T15" s="760">
        <v>0</v>
      </c>
      <c r="U15" s="760">
        <v>0</v>
      </c>
      <c r="V15" s="749">
        <v>0</v>
      </c>
      <c r="W15" s="749">
        <v>0</v>
      </c>
      <c r="X15" s="760">
        <v>0</v>
      </c>
      <c r="Y15" s="761">
        <f>SUM(E15:X15)</f>
        <v>5060</v>
      </c>
      <c r="Z15" s="749">
        <f>ROUND('G-3.01 PF Rev Norm'!H15,)</f>
        <v>333</v>
      </c>
      <c r="AA15" s="749">
        <v>0</v>
      </c>
      <c r="AB15" s="749">
        <v>0</v>
      </c>
      <c r="AC15" s="749">
        <v>0</v>
      </c>
      <c r="AD15" s="762">
        <v>0</v>
      </c>
      <c r="AE15" s="749">
        <v>0</v>
      </c>
      <c r="AF15" s="749">
        <v>0</v>
      </c>
      <c r="AG15" s="749">
        <v>0</v>
      </c>
      <c r="AH15" s="749">
        <v>0</v>
      </c>
      <c r="AI15" s="749">
        <v>0</v>
      </c>
      <c r="AJ15" s="749">
        <v>0</v>
      </c>
      <c r="AK15" s="749">
        <v>0</v>
      </c>
      <c r="AL15" s="749">
        <v>0</v>
      </c>
      <c r="AM15" s="749">
        <v>0</v>
      </c>
      <c r="AN15" s="749">
        <v>0</v>
      </c>
      <c r="AO15" s="749">
        <v>0</v>
      </c>
      <c r="AP15" s="749">
        <v>0</v>
      </c>
      <c r="AQ15" s="749">
        <v>0</v>
      </c>
      <c r="AR15" s="749">
        <v>0</v>
      </c>
      <c r="AS15" s="749">
        <v>0</v>
      </c>
      <c r="AT15" s="763">
        <v>0</v>
      </c>
      <c r="AU15" s="763">
        <v>0</v>
      </c>
      <c r="AV15" s="763">
        <v>0</v>
      </c>
      <c r="AW15" s="764">
        <f>SUM(Y15:AV15)</f>
        <v>5393</v>
      </c>
      <c r="AX15" s="765"/>
      <c r="AY15" s="749">
        <v>0</v>
      </c>
      <c r="AZ15" s="749">
        <v>0</v>
      </c>
      <c r="BA15" s="762">
        <v>0</v>
      </c>
      <c r="BB15" s="749">
        <v>0</v>
      </c>
      <c r="BC15" s="749">
        <v>0</v>
      </c>
      <c r="BD15" s="749">
        <v>0</v>
      </c>
      <c r="BE15" s="749">
        <v>0</v>
      </c>
      <c r="BF15" s="763">
        <v>0</v>
      </c>
      <c r="BG15" s="763">
        <v>0</v>
      </c>
      <c r="BH15" s="763">
        <v>0</v>
      </c>
      <c r="BI15" s="766">
        <f>SUM(AW15:BH15)</f>
        <v>5393</v>
      </c>
      <c r="BJ15" s="763">
        <f>BI15-AW15</f>
        <v>0</v>
      </c>
    </row>
    <row r="16" spans="1:71">
      <c r="A16" s="622">
        <v>3</v>
      </c>
      <c r="B16" s="758" t="s">
        <v>34</v>
      </c>
      <c r="D16" s="758"/>
      <c r="E16" s="767">
        <f>'ROO INPUT 1.00'!$F17</f>
        <v>37118</v>
      </c>
      <c r="F16" s="768">
        <v>0</v>
      </c>
      <c r="G16" s="768">
        <v>0</v>
      </c>
      <c r="H16" s="768">
        <v>0</v>
      </c>
      <c r="I16" s="768">
        <v>0</v>
      </c>
      <c r="J16" s="768">
        <v>0</v>
      </c>
      <c r="K16" s="768">
        <v>0</v>
      </c>
      <c r="L16" s="768">
        <v>0</v>
      </c>
      <c r="M16" s="768">
        <v>0</v>
      </c>
      <c r="N16" s="768">
        <v>0</v>
      </c>
      <c r="O16" s="768">
        <v>0</v>
      </c>
      <c r="P16" s="768">
        <v>0</v>
      </c>
      <c r="Q16" s="768">
        <v>0</v>
      </c>
      <c r="R16" s="768">
        <f>ROUND(('G-2.10 WN'!D21/1000),)</f>
        <v>-127</v>
      </c>
      <c r="S16" s="768">
        <f>'G-2.11 EAS'!Q12</f>
        <v>-33904</v>
      </c>
      <c r="T16" s="769">
        <v>0</v>
      </c>
      <c r="U16" s="769">
        <v>0</v>
      </c>
      <c r="V16" s="768">
        <v>0</v>
      </c>
      <c r="W16" s="768">
        <v>0</v>
      </c>
      <c r="X16" s="769">
        <v>0</v>
      </c>
      <c r="Y16" s="770">
        <f>SUM(E16:X16)</f>
        <v>3087</v>
      </c>
      <c r="Z16" s="768">
        <f>ROUND('G-3.01 PF Rev Norm'!H20,)</f>
        <v>-2714</v>
      </c>
      <c r="AA16" s="768">
        <v>0</v>
      </c>
      <c r="AB16" s="768">
        <v>0</v>
      </c>
      <c r="AC16" s="768">
        <v>0</v>
      </c>
      <c r="AD16" s="771">
        <v>0</v>
      </c>
      <c r="AE16" s="768">
        <v>0</v>
      </c>
      <c r="AF16" s="768">
        <v>0</v>
      </c>
      <c r="AG16" s="768">
        <v>0</v>
      </c>
      <c r="AH16" s="768">
        <v>0</v>
      </c>
      <c r="AI16" s="768">
        <v>0</v>
      </c>
      <c r="AJ16" s="768">
        <v>0</v>
      </c>
      <c r="AK16" s="768">
        <v>0</v>
      </c>
      <c r="AL16" s="768">
        <v>0</v>
      </c>
      <c r="AM16" s="768">
        <v>0</v>
      </c>
      <c r="AN16" s="768">
        <v>0</v>
      </c>
      <c r="AO16" s="768">
        <v>0</v>
      </c>
      <c r="AP16" s="768">
        <v>0</v>
      </c>
      <c r="AQ16" s="768">
        <v>0</v>
      </c>
      <c r="AR16" s="768">
        <v>0</v>
      </c>
      <c r="AS16" s="768">
        <v>0</v>
      </c>
      <c r="AT16" s="768">
        <v>0</v>
      </c>
      <c r="AU16" s="768">
        <f>ROUND('G-4.02,5.08 PV Offsets'!BE143/1000,)</f>
        <v>344</v>
      </c>
      <c r="AV16" s="768">
        <v>0</v>
      </c>
      <c r="AW16" s="772">
        <f>SUM(Y16:AV16)</f>
        <v>717</v>
      </c>
      <c r="AX16" s="765"/>
      <c r="AY16" s="768">
        <v>0</v>
      </c>
      <c r="AZ16" s="768">
        <v>0</v>
      </c>
      <c r="BA16" s="771">
        <v>0</v>
      </c>
      <c r="BB16" s="768">
        <v>0</v>
      </c>
      <c r="BC16" s="768">
        <v>0</v>
      </c>
      <c r="BD16" s="768">
        <v>0</v>
      </c>
      <c r="BE16" s="768">
        <v>0</v>
      </c>
      <c r="BF16" s="768">
        <v>0</v>
      </c>
      <c r="BG16" s="768">
        <f>ROUND('G-4.02,5.08 PV Offsets'!BF144/1000,)</f>
        <v>39</v>
      </c>
      <c r="BH16" s="768">
        <v>0</v>
      </c>
      <c r="BI16" s="773">
        <f>SUM(AW16:BH16)</f>
        <v>756</v>
      </c>
      <c r="BJ16" s="774">
        <f>BI16-AW16</f>
        <v>39</v>
      </c>
    </row>
    <row r="17" spans="1:71">
      <c r="A17" s="622">
        <v>4</v>
      </c>
      <c r="B17" s="623" t="s">
        <v>35</v>
      </c>
      <c r="C17" s="758"/>
      <c r="D17" s="758"/>
      <c r="E17" s="759">
        <f>SUM(E14:E16)</f>
        <v>288839</v>
      </c>
      <c r="F17" s="775">
        <f t="shared" ref="F17:N17" si="27">SUM(F14:F16)</f>
        <v>0</v>
      </c>
      <c r="G17" s="775">
        <f t="shared" si="27"/>
        <v>0</v>
      </c>
      <c r="H17" s="775">
        <f t="shared" si="27"/>
        <v>0</v>
      </c>
      <c r="I17" s="775">
        <f t="shared" si="27"/>
        <v>-8646</v>
      </c>
      <c r="J17" s="775">
        <f>SUM(J14:J16)</f>
        <v>0</v>
      </c>
      <c r="K17" s="775">
        <f t="shared" si="27"/>
        <v>0</v>
      </c>
      <c r="L17" s="775">
        <f t="shared" si="27"/>
        <v>0</v>
      </c>
      <c r="M17" s="775">
        <f t="shared" si="27"/>
        <v>0</v>
      </c>
      <c r="N17" s="775">
        <f t="shared" si="27"/>
        <v>0</v>
      </c>
      <c r="O17" s="775">
        <f t="shared" ref="O17:P17" si="28">SUM(O14:O16)</f>
        <v>0</v>
      </c>
      <c r="P17" s="775">
        <f t="shared" si="28"/>
        <v>0</v>
      </c>
      <c r="Q17" s="775">
        <f t="shared" ref="Q17" si="29">SUM(Q14:Q16)</f>
        <v>0</v>
      </c>
      <c r="R17" s="775">
        <f>SUM(R14:R16)</f>
        <v>-99</v>
      </c>
      <c r="S17" s="775">
        <f>SUM(S14:S16)</f>
        <v>-60578</v>
      </c>
      <c r="T17" s="776">
        <f t="shared" ref="T17" si="30">SUM(T14:T16)</f>
        <v>0</v>
      </c>
      <c r="U17" s="776">
        <f>SUM(U14:U16)</f>
        <v>0</v>
      </c>
      <c r="V17" s="775">
        <f t="shared" ref="V17" si="31">SUM(V14:V16)</f>
        <v>0</v>
      </c>
      <c r="W17" s="775">
        <f t="shared" ref="W17:AB17" si="32">SUM(W14:W16)</f>
        <v>0</v>
      </c>
      <c r="X17" s="776">
        <f t="shared" si="32"/>
        <v>0</v>
      </c>
      <c r="Y17" s="761">
        <f t="shared" si="32"/>
        <v>219516</v>
      </c>
      <c r="Z17" s="775">
        <f t="shared" si="32"/>
        <v>-92167</v>
      </c>
      <c r="AA17" s="775">
        <f t="shared" si="32"/>
        <v>0</v>
      </c>
      <c r="AB17" s="775">
        <f t="shared" si="32"/>
        <v>0</v>
      </c>
      <c r="AC17" s="775">
        <f t="shared" ref="AC17" si="33">SUM(AC14:AC16)</f>
        <v>0</v>
      </c>
      <c r="AD17" s="777">
        <f>SUM(AD14:AD16)</f>
        <v>0</v>
      </c>
      <c r="AE17" s="775">
        <f t="shared" ref="AE17:AI17" si="34">SUM(AE14:AE16)</f>
        <v>0</v>
      </c>
      <c r="AF17" s="775">
        <f t="shared" si="34"/>
        <v>0</v>
      </c>
      <c r="AG17" s="775">
        <f t="shared" ref="AG17" si="35">SUM(AG14:AG16)</f>
        <v>0</v>
      </c>
      <c r="AH17" s="775">
        <f t="shared" si="34"/>
        <v>0</v>
      </c>
      <c r="AI17" s="775">
        <f t="shared" si="34"/>
        <v>0</v>
      </c>
      <c r="AJ17" s="775">
        <f t="shared" ref="AJ17:AK17" si="36">SUM(AJ14:AJ16)</f>
        <v>0</v>
      </c>
      <c r="AK17" s="775">
        <f t="shared" si="36"/>
        <v>0</v>
      </c>
      <c r="AL17" s="775">
        <f>SUM(AL14:AL16)</f>
        <v>0</v>
      </c>
      <c r="AM17" s="775">
        <f t="shared" ref="AM17" si="37">SUM(AM14:AM16)</f>
        <v>0</v>
      </c>
      <c r="AN17" s="775">
        <f>SUM(AN14:AN16)</f>
        <v>0</v>
      </c>
      <c r="AO17" s="775">
        <f t="shared" ref="AO17" si="38">SUM(AO14:AO16)</f>
        <v>0</v>
      </c>
      <c r="AP17" s="775">
        <f t="shared" ref="AP17:AQ17" si="39">SUM(AP14:AP16)</f>
        <v>0</v>
      </c>
      <c r="AQ17" s="775">
        <f t="shared" si="39"/>
        <v>0</v>
      </c>
      <c r="AR17" s="775">
        <f>SUM(AR14:AR16)</f>
        <v>0</v>
      </c>
      <c r="AS17" s="775">
        <f>SUM(AS14:AS16)</f>
        <v>0</v>
      </c>
      <c r="AT17" s="778">
        <f>SUM(AT14:AT16)</f>
        <v>0</v>
      </c>
      <c r="AU17" s="778">
        <f>SUM(AU14:AU16)</f>
        <v>344</v>
      </c>
      <c r="AV17" s="778">
        <f t="shared" ref="AV17" si="40">SUM(AV14:AV16)</f>
        <v>0</v>
      </c>
      <c r="AW17" s="764">
        <f t="shared" ref="AW17" si="41">SUM(AW14:AW16)</f>
        <v>127693</v>
      </c>
      <c r="AX17" s="765"/>
      <c r="AY17" s="775">
        <f>SUM(AY14:AY16)</f>
        <v>0</v>
      </c>
      <c r="AZ17" s="775">
        <f t="shared" ref="AZ17" si="42">SUM(AZ14:AZ16)</f>
        <v>0</v>
      </c>
      <c r="BA17" s="777">
        <f>SUM(BA14:BA16)</f>
        <v>0</v>
      </c>
      <c r="BB17" s="775">
        <f t="shared" ref="BB17" si="43">SUM(BB14:BB16)</f>
        <v>0</v>
      </c>
      <c r="BC17" s="775">
        <f>SUM(BC14:BC16)</f>
        <v>0</v>
      </c>
      <c r="BD17" s="775">
        <f>SUM(BD14:BD16)</f>
        <v>0</v>
      </c>
      <c r="BE17" s="775">
        <f t="shared" ref="BE17" si="44">SUM(BE14:BE16)</f>
        <v>0</v>
      </c>
      <c r="BF17" s="778">
        <f>SUM(BF14:BF16)</f>
        <v>0</v>
      </c>
      <c r="BG17" s="778">
        <f>SUM(BG14:BG16)</f>
        <v>39</v>
      </c>
      <c r="BH17" s="778">
        <f>SUM(BH14:BH16)</f>
        <v>0</v>
      </c>
      <c r="BI17" s="779">
        <f>SUM(BI14:BI16)</f>
        <v>127732</v>
      </c>
      <c r="BJ17" s="775">
        <f>SUM(BJ14:BJ16)</f>
        <v>39</v>
      </c>
    </row>
    <row r="18" spans="1:71" ht="7.5" customHeight="1">
      <c r="C18" s="758"/>
      <c r="D18" s="758"/>
      <c r="E18" s="759"/>
      <c r="F18" s="749"/>
      <c r="G18" s="749"/>
      <c r="H18" s="749"/>
      <c r="I18" s="749"/>
      <c r="J18" s="749"/>
      <c r="K18" s="749"/>
      <c r="L18" s="749"/>
      <c r="M18" s="749"/>
      <c r="N18" s="749"/>
      <c r="O18" s="749"/>
      <c r="P18" s="749"/>
      <c r="Q18" s="749"/>
      <c r="R18" s="749"/>
      <c r="S18" s="749"/>
      <c r="T18" s="760"/>
      <c r="U18" s="760"/>
      <c r="V18" s="749"/>
      <c r="W18" s="749"/>
      <c r="X18" s="760"/>
      <c r="Y18" s="761"/>
      <c r="Z18" s="749"/>
      <c r="AA18" s="749"/>
      <c r="AB18" s="749"/>
      <c r="AC18" s="749"/>
      <c r="AD18" s="762"/>
      <c r="AE18" s="749"/>
      <c r="AF18" s="749"/>
      <c r="AG18" s="749"/>
      <c r="AH18" s="749"/>
      <c r="AI18" s="749"/>
      <c r="AJ18" s="749"/>
      <c r="AK18" s="749"/>
      <c r="AL18" s="749"/>
      <c r="AM18" s="749"/>
      <c r="AN18" s="749"/>
      <c r="AO18" s="749"/>
      <c r="AP18" s="749"/>
      <c r="AQ18" s="749"/>
      <c r="AR18" s="749"/>
      <c r="AS18" s="749"/>
      <c r="AT18" s="763"/>
      <c r="AU18" s="763"/>
      <c r="AV18" s="763"/>
      <c r="AW18" s="764"/>
      <c r="AX18" s="765"/>
      <c r="AY18" s="749"/>
      <c r="AZ18" s="749"/>
      <c r="BA18" s="762"/>
      <c r="BB18" s="749"/>
      <c r="BC18" s="749"/>
      <c r="BD18" s="749"/>
      <c r="BE18" s="749"/>
      <c r="BF18" s="763"/>
      <c r="BG18" s="763"/>
      <c r="BH18" s="763"/>
      <c r="BI18" s="780"/>
      <c r="BJ18" s="749"/>
    </row>
    <row r="19" spans="1:71" s="740" customFormat="1">
      <c r="A19" s="662"/>
      <c r="B19" s="740" t="s">
        <v>36</v>
      </c>
      <c r="C19" s="781"/>
      <c r="D19" s="781"/>
      <c r="E19" s="775"/>
      <c r="F19" s="749"/>
      <c r="G19" s="749"/>
      <c r="H19" s="749"/>
      <c r="I19" s="749"/>
      <c r="J19" s="749"/>
      <c r="K19" s="749"/>
      <c r="L19" s="749"/>
      <c r="M19" s="749"/>
      <c r="N19" s="749"/>
      <c r="O19" s="749"/>
      <c r="P19" s="749"/>
      <c r="Q19" s="749"/>
      <c r="R19" s="749"/>
      <c r="S19" s="749"/>
      <c r="T19" s="760"/>
      <c r="U19" s="760"/>
      <c r="V19" s="749"/>
      <c r="W19" s="749"/>
      <c r="X19" s="760"/>
      <c r="Y19" s="761"/>
      <c r="Z19" s="749"/>
      <c r="AA19" s="749"/>
      <c r="AB19" s="749"/>
      <c r="AC19" s="749"/>
      <c r="AD19" s="762"/>
      <c r="AE19" s="749"/>
      <c r="AF19" s="749"/>
      <c r="AG19" s="749"/>
      <c r="AH19" s="749"/>
      <c r="AI19" s="749"/>
      <c r="AJ19" s="749"/>
      <c r="AK19" s="749"/>
      <c r="AL19" s="749"/>
      <c r="AM19" s="749"/>
      <c r="AN19" s="749"/>
      <c r="AO19" s="749"/>
      <c r="AP19" s="749"/>
      <c r="AQ19" s="749"/>
      <c r="AR19" s="749"/>
      <c r="AS19" s="749"/>
      <c r="AT19" s="763"/>
      <c r="AU19" s="763"/>
      <c r="AV19" s="763"/>
      <c r="AW19" s="764"/>
      <c r="AX19" s="765"/>
      <c r="AY19" s="749"/>
      <c r="AZ19" s="749"/>
      <c r="BA19" s="762"/>
      <c r="BB19" s="749"/>
      <c r="BC19" s="749"/>
      <c r="BD19" s="749"/>
      <c r="BE19" s="749"/>
      <c r="BF19" s="763"/>
      <c r="BG19" s="763"/>
      <c r="BH19" s="763"/>
      <c r="BI19" s="780"/>
      <c r="BJ19" s="749"/>
      <c r="BK19" s="633"/>
      <c r="BL19" s="634"/>
      <c r="BM19" s="634"/>
      <c r="BN19" s="634"/>
      <c r="BO19" s="634"/>
      <c r="BP19" s="634"/>
      <c r="BQ19" s="634"/>
      <c r="BR19" s="634"/>
      <c r="BS19" s="634"/>
    </row>
    <row r="20" spans="1:71" s="740" customFormat="1">
      <c r="A20" s="662"/>
      <c r="B20" s="781" t="s">
        <v>192</v>
      </c>
      <c r="D20" s="781"/>
      <c r="E20" s="775"/>
      <c r="F20" s="749"/>
      <c r="G20" s="749"/>
      <c r="H20" s="749"/>
      <c r="I20" s="749"/>
      <c r="J20" s="749"/>
      <c r="K20" s="749"/>
      <c r="L20" s="749"/>
      <c r="M20" s="749"/>
      <c r="N20" s="749"/>
      <c r="O20" s="749"/>
      <c r="P20" s="749"/>
      <c r="Q20" s="749"/>
      <c r="R20" s="749"/>
      <c r="S20" s="749"/>
      <c r="T20" s="760"/>
      <c r="U20" s="760"/>
      <c r="V20" s="749"/>
      <c r="W20" s="749"/>
      <c r="X20" s="760"/>
      <c r="Y20" s="761"/>
      <c r="Z20" s="749"/>
      <c r="AA20" s="749"/>
      <c r="AB20" s="749"/>
      <c r="AC20" s="749"/>
      <c r="AD20" s="762"/>
      <c r="AE20" s="749"/>
      <c r="AF20" s="749"/>
      <c r="AG20" s="749"/>
      <c r="AH20" s="749"/>
      <c r="AI20" s="749"/>
      <c r="AJ20" s="749"/>
      <c r="AK20" s="749"/>
      <c r="AL20" s="749"/>
      <c r="AM20" s="749"/>
      <c r="AN20" s="749"/>
      <c r="AO20" s="749"/>
      <c r="AP20" s="749"/>
      <c r="AQ20" s="749"/>
      <c r="AR20" s="749"/>
      <c r="AS20" s="749"/>
      <c r="AT20" s="763"/>
      <c r="AU20" s="763"/>
      <c r="AV20" s="763"/>
      <c r="AW20" s="764"/>
      <c r="AX20" s="765"/>
      <c r="AY20" s="749"/>
      <c r="AZ20" s="749"/>
      <c r="BA20" s="762"/>
      <c r="BB20" s="749"/>
      <c r="BC20" s="749"/>
      <c r="BD20" s="749"/>
      <c r="BE20" s="749"/>
      <c r="BF20" s="763"/>
      <c r="BG20" s="763"/>
      <c r="BH20" s="763"/>
      <c r="BI20" s="780"/>
      <c r="BJ20" s="749"/>
      <c r="BK20" s="633"/>
      <c r="BL20" s="634"/>
      <c r="BM20" s="634"/>
      <c r="BN20" s="634"/>
      <c r="BO20" s="634"/>
      <c r="BP20" s="634"/>
      <c r="BQ20" s="634"/>
      <c r="BR20" s="634"/>
      <c r="BS20" s="634"/>
    </row>
    <row r="21" spans="1:71" s="740" customFormat="1">
      <c r="A21" s="662">
        <v>5</v>
      </c>
      <c r="C21" s="781" t="s">
        <v>37</v>
      </c>
      <c r="D21" s="781"/>
      <c r="E21" s="775">
        <f>'ROO INPUT 1.00'!$F22</f>
        <v>139821</v>
      </c>
      <c r="F21" s="749">
        <v>0</v>
      </c>
      <c r="G21" s="749">
        <v>0</v>
      </c>
      <c r="H21" s="749">
        <v>0</v>
      </c>
      <c r="I21" s="749">
        <v>0</v>
      </c>
      <c r="J21" s="749">
        <v>0</v>
      </c>
      <c r="K21" s="749">
        <v>0</v>
      </c>
      <c r="L21" s="749">
        <v>0</v>
      </c>
      <c r="M21" s="749">
        <v>0</v>
      </c>
      <c r="N21" s="749">
        <v>0</v>
      </c>
      <c r="O21" s="749">
        <v>0</v>
      </c>
      <c r="P21" s="749">
        <v>0</v>
      </c>
      <c r="Q21" s="749">
        <v>0</v>
      </c>
      <c r="R21" s="749">
        <f>ROUND(('G-2.10 WN'!D30/1000),)</f>
        <v>-57</v>
      </c>
      <c r="S21" s="749">
        <f>'G-2.11 EAS'!Q17</f>
        <v>-49394</v>
      </c>
      <c r="T21" s="760">
        <v>0</v>
      </c>
      <c r="U21" s="760">
        <v>0</v>
      </c>
      <c r="V21" s="749">
        <v>0</v>
      </c>
      <c r="W21" s="749">
        <v>0</v>
      </c>
      <c r="X21" s="760">
        <v>0</v>
      </c>
      <c r="Y21" s="761">
        <f>SUM(E21:X21)</f>
        <v>90370</v>
      </c>
      <c r="Z21" s="749">
        <f>ROUND('G-3.01 PF Rev Norm'!H24,)</f>
        <v>-90370</v>
      </c>
      <c r="AA21" s="749">
        <v>0</v>
      </c>
      <c r="AB21" s="749">
        <v>0</v>
      </c>
      <c r="AC21" s="749">
        <v>0</v>
      </c>
      <c r="AD21" s="762">
        <v>0</v>
      </c>
      <c r="AE21" s="749">
        <v>0</v>
      </c>
      <c r="AF21" s="749">
        <v>0</v>
      </c>
      <c r="AG21" s="749">
        <v>0</v>
      </c>
      <c r="AH21" s="749">
        <v>0</v>
      </c>
      <c r="AI21" s="749">
        <v>0</v>
      </c>
      <c r="AJ21" s="749">
        <v>0</v>
      </c>
      <c r="AK21" s="749">
        <v>0</v>
      </c>
      <c r="AL21" s="749">
        <v>0</v>
      </c>
      <c r="AM21" s="749">
        <v>0</v>
      </c>
      <c r="AN21" s="749">
        <v>0</v>
      </c>
      <c r="AO21" s="749">
        <v>0</v>
      </c>
      <c r="AP21" s="749">
        <v>0</v>
      </c>
      <c r="AQ21" s="749">
        <v>0</v>
      </c>
      <c r="AR21" s="749">
        <v>0</v>
      </c>
      <c r="AS21" s="749">
        <v>0</v>
      </c>
      <c r="AT21" s="763">
        <v>0</v>
      </c>
      <c r="AU21" s="763">
        <v>0</v>
      </c>
      <c r="AV21" s="763">
        <v>0</v>
      </c>
      <c r="AW21" s="764">
        <f>SUM(Y21:AV21)</f>
        <v>0</v>
      </c>
      <c r="AX21" s="765"/>
      <c r="AY21" s="749">
        <v>0</v>
      </c>
      <c r="AZ21" s="749">
        <v>0</v>
      </c>
      <c r="BA21" s="762">
        <v>0</v>
      </c>
      <c r="BB21" s="749">
        <v>0</v>
      </c>
      <c r="BC21" s="749">
        <v>0</v>
      </c>
      <c r="BD21" s="749">
        <v>0</v>
      </c>
      <c r="BE21" s="749">
        <v>0</v>
      </c>
      <c r="BF21" s="763">
        <v>0</v>
      </c>
      <c r="BG21" s="763">
        <v>0</v>
      </c>
      <c r="BH21" s="763">
        <v>0</v>
      </c>
      <c r="BI21" s="766">
        <f>SUM(AW21:BH21)</f>
        <v>0</v>
      </c>
      <c r="BJ21" s="540">
        <f>BI21-AW21</f>
        <v>0</v>
      </c>
      <c r="BK21" s="633"/>
      <c r="BL21" s="634"/>
      <c r="BM21" s="634"/>
      <c r="BN21" s="634"/>
      <c r="BO21" s="634"/>
      <c r="BP21" s="634"/>
      <c r="BQ21" s="634"/>
      <c r="BR21" s="634"/>
      <c r="BS21" s="634"/>
    </row>
    <row r="22" spans="1:71" s="740" customFormat="1">
      <c r="A22" s="662">
        <v>6</v>
      </c>
      <c r="C22" s="781" t="s">
        <v>38</v>
      </c>
      <c r="D22" s="781"/>
      <c r="E22" s="775">
        <f>'ROO INPUT 1.00'!$F23</f>
        <v>869</v>
      </c>
      <c r="F22" s="749">
        <v>0</v>
      </c>
      <c r="G22" s="749">
        <v>0</v>
      </c>
      <c r="H22" s="749">
        <v>0</v>
      </c>
      <c r="I22" s="749">
        <v>0</v>
      </c>
      <c r="J22" s="749">
        <v>0</v>
      </c>
      <c r="K22" s="749">
        <v>0</v>
      </c>
      <c r="L22" s="749">
        <v>0</v>
      </c>
      <c r="M22" s="749">
        <v>0</v>
      </c>
      <c r="N22" s="749">
        <v>0</v>
      </c>
      <c r="O22" s="749">
        <v>0</v>
      </c>
      <c r="P22" s="749">
        <v>0</v>
      </c>
      <c r="Q22" s="749">
        <v>0</v>
      </c>
      <c r="R22" s="749">
        <v>0</v>
      </c>
      <c r="S22" s="749">
        <v>0</v>
      </c>
      <c r="T22" s="760">
        <v>0</v>
      </c>
      <c r="U22" s="760">
        <v>0</v>
      </c>
      <c r="V22" s="749">
        <v>0</v>
      </c>
      <c r="W22" s="749">
        <v>0</v>
      </c>
      <c r="X22" s="760">
        <v>0</v>
      </c>
      <c r="Y22" s="761">
        <f>SUM(E22:X22)</f>
        <v>869</v>
      </c>
      <c r="Z22" s="749">
        <v>0</v>
      </c>
      <c r="AA22" s="749">
        <v>0</v>
      </c>
      <c r="AB22" s="749">
        <v>0</v>
      </c>
      <c r="AC22" s="749">
        <v>0</v>
      </c>
      <c r="AD22" s="762">
        <f>ROUND('G-3.05,5.02 PF NE Labor'!AH70/1000,1)</f>
        <v>68.5</v>
      </c>
      <c r="AE22" s="749">
        <v>0</v>
      </c>
      <c r="AF22" s="749">
        <f>ROUND('G-3.07,5.03 Benefits'!O52/1000,1)</f>
        <v>1.7</v>
      </c>
      <c r="AG22" s="749">
        <v>0</v>
      </c>
      <c r="AH22" s="749">
        <v>0</v>
      </c>
      <c r="AI22" s="749">
        <v>0</v>
      </c>
      <c r="AJ22" s="749">
        <v>0</v>
      </c>
      <c r="AK22" s="749">
        <v>0</v>
      </c>
      <c r="AL22" s="749">
        <v>0</v>
      </c>
      <c r="AM22" s="749">
        <f>ROUND('G-3.14,5.06 PF Misc O&amp;M'!K31/1000,3)</f>
        <v>12.583</v>
      </c>
      <c r="AN22" s="749">
        <v>0</v>
      </c>
      <c r="AO22" s="749">
        <v>0</v>
      </c>
      <c r="AP22" s="749">
        <v>0</v>
      </c>
      <c r="AQ22" s="749">
        <v>0</v>
      </c>
      <c r="AR22" s="749">
        <v>0</v>
      </c>
      <c r="AS22" s="749">
        <v>0</v>
      </c>
      <c r="AT22" s="763">
        <v>0</v>
      </c>
      <c r="AU22" s="763">
        <v>0</v>
      </c>
      <c r="AV22" s="763">
        <v>0</v>
      </c>
      <c r="AW22" s="764">
        <f>SUM(Y22:AV22)</f>
        <v>951.78300000000002</v>
      </c>
      <c r="AX22" s="765"/>
      <c r="AY22" s="749">
        <v>0</v>
      </c>
      <c r="AZ22" s="749">
        <v>0</v>
      </c>
      <c r="BA22" s="762">
        <f>ROUND('G-3.05,5.02 PF NE Labor'!AI70/1000,)</f>
        <v>26</v>
      </c>
      <c r="BB22" s="749">
        <f>ROUND('G-3.07,5.03 Benefits'!P52/1000,1)</f>
        <v>5.9</v>
      </c>
      <c r="BC22" s="749">
        <v>0</v>
      </c>
      <c r="BD22" s="749">
        <v>0</v>
      </c>
      <c r="BE22" s="749">
        <f>ROUND('G-3.14,5.06 PF Misc O&amp;M'!M32/1000,3)</f>
        <v>5.0330000000000004</v>
      </c>
      <c r="BF22" s="763">
        <v>0</v>
      </c>
      <c r="BG22" s="763">
        <v>0</v>
      </c>
      <c r="BH22" s="763">
        <v>0</v>
      </c>
      <c r="BI22" s="766">
        <f>SUM(AW22:BH22)</f>
        <v>988.71600000000001</v>
      </c>
      <c r="BJ22" s="540">
        <f>BI22-AW22</f>
        <v>36.932999999999993</v>
      </c>
      <c r="BK22" s="633"/>
      <c r="BL22" s="634"/>
      <c r="BM22" s="634"/>
      <c r="BN22" s="634"/>
      <c r="BO22" s="634"/>
      <c r="BP22" s="634"/>
      <c r="BQ22" s="634"/>
      <c r="BR22" s="634"/>
      <c r="BS22" s="634"/>
    </row>
    <row r="23" spans="1:71" s="740" customFormat="1">
      <c r="A23" s="662">
        <v>7</v>
      </c>
      <c r="C23" s="781" t="s">
        <v>39</v>
      </c>
      <c r="D23" s="781"/>
      <c r="E23" s="782">
        <f>'ROO INPUT 1.00'!$F24</f>
        <v>8789</v>
      </c>
      <c r="F23" s="768">
        <v>0</v>
      </c>
      <c r="G23" s="768">
        <v>0</v>
      </c>
      <c r="H23" s="768">
        <v>0</v>
      </c>
      <c r="I23" s="768">
        <v>0</v>
      </c>
      <c r="J23" s="768">
        <v>0</v>
      </c>
      <c r="K23" s="768">
        <v>0</v>
      </c>
      <c r="L23" s="768">
        <v>0</v>
      </c>
      <c r="M23" s="768">
        <v>0</v>
      </c>
      <c r="N23" s="768">
        <v>0</v>
      </c>
      <c r="O23" s="768">
        <v>0</v>
      </c>
      <c r="P23" s="768">
        <v>0</v>
      </c>
      <c r="Q23" s="768">
        <v>0</v>
      </c>
      <c r="R23" s="768">
        <v>0</v>
      </c>
      <c r="S23" s="768">
        <f>'G-2.11 EAS'!Q19</f>
        <v>-8789</v>
      </c>
      <c r="T23" s="769">
        <v>0</v>
      </c>
      <c r="U23" s="769">
        <v>0</v>
      </c>
      <c r="V23" s="768">
        <v>0</v>
      </c>
      <c r="W23" s="768">
        <v>0</v>
      </c>
      <c r="X23" s="769">
        <v>0</v>
      </c>
      <c r="Y23" s="770">
        <f>SUM(E23:X23)</f>
        <v>0</v>
      </c>
      <c r="Z23" s="768">
        <v>0</v>
      </c>
      <c r="AA23" s="768">
        <v>0</v>
      </c>
      <c r="AB23" s="768">
        <v>0</v>
      </c>
      <c r="AC23" s="768">
        <v>0</v>
      </c>
      <c r="AD23" s="771">
        <v>0</v>
      </c>
      <c r="AE23" s="768">
        <v>0</v>
      </c>
      <c r="AF23" s="768">
        <v>0</v>
      </c>
      <c r="AG23" s="768">
        <v>0</v>
      </c>
      <c r="AH23" s="768">
        <v>0</v>
      </c>
      <c r="AI23" s="768">
        <v>0</v>
      </c>
      <c r="AJ23" s="768">
        <v>0</v>
      </c>
      <c r="AK23" s="768">
        <v>0</v>
      </c>
      <c r="AL23" s="768">
        <v>0</v>
      </c>
      <c r="AM23" s="768">
        <v>0</v>
      </c>
      <c r="AN23" s="768">
        <v>0</v>
      </c>
      <c r="AO23" s="768">
        <v>0</v>
      </c>
      <c r="AP23" s="768">
        <v>0</v>
      </c>
      <c r="AQ23" s="768">
        <v>0</v>
      </c>
      <c r="AR23" s="768">
        <v>0</v>
      </c>
      <c r="AS23" s="768">
        <v>0</v>
      </c>
      <c r="AT23" s="768">
        <v>0</v>
      </c>
      <c r="AU23" s="768">
        <v>0</v>
      </c>
      <c r="AV23" s="768">
        <v>0</v>
      </c>
      <c r="AW23" s="772">
        <f>SUM(Y23:AV23)</f>
        <v>0</v>
      </c>
      <c r="AX23" s="765"/>
      <c r="AY23" s="768">
        <v>0</v>
      </c>
      <c r="AZ23" s="768">
        <v>0</v>
      </c>
      <c r="BA23" s="771">
        <v>0</v>
      </c>
      <c r="BB23" s="768">
        <v>0</v>
      </c>
      <c r="BC23" s="768">
        <v>0</v>
      </c>
      <c r="BD23" s="768">
        <v>0</v>
      </c>
      <c r="BE23" s="768">
        <v>0</v>
      </c>
      <c r="BF23" s="768">
        <v>0</v>
      </c>
      <c r="BG23" s="768">
        <v>0</v>
      </c>
      <c r="BH23" s="768">
        <v>0</v>
      </c>
      <c r="BI23" s="773">
        <f>SUM(AW23:BH23)</f>
        <v>0</v>
      </c>
      <c r="BJ23" s="774">
        <f>BI23-AW23</f>
        <v>0</v>
      </c>
      <c r="BK23" s="633"/>
      <c r="BL23" s="634"/>
      <c r="BM23" s="634"/>
      <c r="BN23" s="634"/>
      <c r="BO23" s="634"/>
      <c r="BP23" s="634"/>
      <c r="BQ23" s="634"/>
      <c r="BR23" s="634"/>
      <c r="BS23" s="634"/>
    </row>
    <row r="24" spans="1:71" s="740" customFormat="1">
      <c r="A24" s="662">
        <v>8</v>
      </c>
      <c r="B24" s="781" t="s">
        <v>40</v>
      </c>
      <c r="C24" s="781"/>
      <c r="E24" s="775">
        <f>SUM(E21:E23)</f>
        <v>149479</v>
      </c>
      <c r="F24" s="775">
        <f t="shared" ref="F24:N24" si="45">SUM(F21:F23)</f>
        <v>0</v>
      </c>
      <c r="G24" s="775">
        <f t="shared" si="45"/>
        <v>0</v>
      </c>
      <c r="H24" s="775">
        <f t="shared" si="45"/>
        <v>0</v>
      </c>
      <c r="I24" s="775">
        <f t="shared" si="45"/>
        <v>0</v>
      </c>
      <c r="J24" s="775">
        <f>SUM(J21:J23)</f>
        <v>0</v>
      </c>
      <c r="K24" s="775">
        <f t="shared" si="45"/>
        <v>0</v>
      </c>
      <c r="L24" s="775">
        <f t="shared" si="45"/>
        <v>0</v>
      </c>
      <c r="M24" s="775">
        <f t="shared" si="45"/>
        <v>0</v>
      </c>
      <c r="N24" s="775">
        <f t="shared" si="45"/>
        <v>0</v>
      </c>
      <c r="O24" s="775">
        <f t="shared" ref="O24:P24" si="46">SUM(O21:O23)</f>
        <v>0</v>
      </c>
      <c r="P24" s="775">
        <f t="shared" si="46"/>
        <v>0</v>
      </c>
      <c r="Q24" s="775">
        <f>SUM(Q21:Q23)</f>
        <v>0</v>
      </c>
      <c r="R24" s="775">
        <f>SUM(R21:R23)</f>
        <v>-57</v>
      </c>
      <c r="S24" s="775">
        <f>SUM(S21:S23)</f>
        <v>-58183</v>
      </c>
      <c r="T24" s="776">
        <f t="shared" ref="T24" si="47">SUM(T21:T23)</f>
        <v>0</v>
      </c>
      <c r="U24" s="776">
        <f t="shared" ref="U24:Z24" si="48">SUM(U21:U23)</f>
        <v>0</v>
      </c>
      <c r="V24" s="775">
        <f t="shared" si="48"/>
        <v>0</v>
      </c>
      <c r="W24" s="775">
        <f>SUM(W21:W23)</f>
        <v>0</v>
      </c>
      <c r="X24" s="776">
        <f t="shared" ref="X24" si="49">SUM(X21:X23)</f>
        <v>0</v>
      </c>
      <c r="Y24" s="761">
        <f t="shared" si="48"/>
        <v>91239</v>
      </c>
      <c r="Z24" s="775">
        <f t="shared" si="48"/>
        <v>-90370</v>
      </c>
      <c r="AA24" s="775">
        <f t="shared" ref="AA24" si="50">SUM(AA21:AA23)</f>
        <v>0</v>
      </c>
      <c r="AB24" s="775">
        <f>SUM(AB21:AB23)</f>
        <v>0</v>
      </c>
      <c r="AC24" s="775">
        <f t="shared" ref="AC24:AE24" si="51">SUM(AC21:AC23)</f>
        <v>0</v>
      </c>
      <c r="AD24" s="777">
        <f t="shared" si="51"/>
        <v>68.5</v>
      </c>
      <c r="AE24" s="775">
        <f t="shared" si="51"/>
        <v>0</v>
      </c>
      <c r="AF24" s="775">
        <f>SUM(AF21:AF23)</f>
        <v>1.7</v>
      </c>
      <c r="AG24" s="775">
        <f>SUM(AG21:AG23)</f>
        <v>0</v>
      </c>
      <c r="AH24" s="775">
        <f>SUM(AH21:AH23)</f>
        <v>0</v>
      </c>
      <c r="AI24" s="775">
        <f t="shared" ref="AI24" si="52">SUM(AI21:AI23)</f>
        <v>0</v>
      </c>
      <c r="AJ24" s="775">
        <f t="shared" ref="AJ24:AK24" si="53">SUM(AJ21:AJ23)</f>
        <v>0</v>
      </c>
      <c r="AK24" s="775">
        <f t="shared" si="53"/>
        <v>0</v>
      </c>
      <c r="AL24" s="775">
        <f>SUM(AL21:AL23)</f>
        <v>0</v>
      </c>
      <c r="AM24" s="775">
        <f t="shared" ref="AM24:AO24" si="54">SUM(AM21:AM23)</f>
        <v>12.583</v>
      </c>
      <c r="AN24" s="775">
        <f t="shared" si="54"/>
        <v>0</v>
      </c>
      <c r="AO24" s="775">
        <f t="shared" si="54"/>
        <v>0</v>
      </c>
      <c r="AP24" s="775">
        <f t="shared" ref="AP24:AQ24" si="55">SUM(AP21:AP23)</f>
        <v>0</v>
      </c>
      <c r="AQ24" s="775">
        <f t="shared" si="55"/>
        <v>0</v>
      </c>
      <c r="AR24" s="775">
        <f t="shared" ref="AR24:AS24" si="56">SUM(AR21:AR23)</f>
        <v>0</v>
      </c>
      <c r="AS24" s="775">
        <f t="shared" si="56"/>
        <v>0</v>
      </c>
      <c r="AT24" s="778">
        <f>SUM(AT21:AT23)</f>
        <v>0</v>
      </c>
      <c r="AU24" s="778">
        <f>SUM(AU21:AU23)</f>
        <v>0</v>
      </c>
      <c r="AV24" s="778">
        <f t="shared" ref="AV24" si="57">SUM(AV21:AV23)</f>
        <v>0</v>
      </c>
      <c r="AW24" s="764">
        <f t="shared" ref="AW24" si="58">SUM(AW21:AW23)</f>
        <v>951.78300000000002</v>
      </c>
      <c r="AX24" s="765"/>
      <c r="AY24" s="775">
        <f>SUM(AY21:AY23)</f>
        <v>0</v>
      </c>
      <c r="AZ24" s="775">
        <f t="shared" ref="AZ24" si="59">SUM(AZ21:AZ23)</f>
        <v>0</v>
      </c>
      <c r="BA24" s="777">
        <f t="shared" ref="BA24" si="60">SUM(BA21:BA23)</f>
        <v>26</v>
      </c>
      <c r="BB24" s="775">
        <f>SUM(BB21:BB23)</f>
        <v>5.9</v>
      </c>
      <c r="BC24" s="775">
        <f>SUM(BC21:BC23)</f>
        <v>0</v>
      </c>
      <c r="BD24" s="775">
        <f>SUM(BD21:BD23)</f>
        <v>0</v>
      </c>
      <c r="BE24" s="775">
        <f t="shared" ref="BE24" si="61">SUM(BE21:BE23)</f>
        <v>5.0330000000000004</v>
      </c>
      <c r="BF24" s="778">
        <f>SUM(BF21:BF23)</f>
        <v>0</v>
      </c>
      <c r="BG24" s="778">
        <f>SUM(BG21:BG23)</f>
        <v>0</v>
      </c>
      <c r="BH24" s="778">
        <f>SUM(BH21:BH23)</f>
        <v>0</v>
      </c>
      <c r="BI24" s="779">
        <f>SUM(BI21:BI23)</f>
        <v>988.71600000000001</v>
      </c>
      <c r="BJ24" s="775">
        <f>SUM(BJ21:BJ23)</f>
        <v>36.932999999999993</v>
      </c>
      <c r="BK24" s="633"/>
      <c r="BL24" s="634"/>
      <c r="BM24" s="634"/>
      <c r="BN24" s="634"/>
      <c r="BO24" s="634"/>
      <c r="BP24" s="634"/>
      <c r="BQ24" s="634"/>
      <c r="BR24" s="634"/>
      <c r="BS24" s="634"/>
    </row>
    <row r="25" spans="1:71" s="740" customFormat="1" ht="9" customHeight="1">
      <c r="A25" s="662"/>
      <c r="B25" s="781"/>
      <c r="C25" s="781"/>
      <c r="E25" s="775"/>
      <c r="F25" s="775"/>
      <c r="G25" s="775"/>
      <c r="H25" s="775"/>
      <c r="I25" s="775"/>
      <c r="J25" s="775"/>
      <c r="K25" s="775"/>
      <c r="L25" s="775"/>
      <c r="M25" s="775"/>
      <c r="N25" s="775"/>
      <c r="O25" s="775"/>
      <c r="P25" s="775"/>
      <c r="Q25" s="775"/>
      <c r="R25" s="775"/>
      <c r="S25" s="775"/>
      <c r="T25" s="776"/>
      <c r="U25" s="776"/>
      <c r="V25" s="775"/>
      <c r="W25" s="775"/>
      <c r="X25" s="776"/>
      <c r="Y25" s="761"/>
      <c r="Z25" s="775"/>
      <c r="AA25" s="775"/>
      <c r="AB25" s="775"/>
      <c r="AC25" s="775"/>
      <c r="AD25" s="777"/>
      <c r="AE25" s="775"/>
      <c r="AF25" s="775"/>
      <c r="AG25" s="775"/>
      <c r="AH25" s="775"/>
      <c r="AI25" s="775"/>
      <c r="AJ25" s="775"/>
      <c r="AK25" s="775"/>
      <c r="AL25" s="775"/>
      <c r="AM25" s="775"/>
      <c r="AN25" s="775"/>
      <c r="AO25" s="775"/>
      <c r="AP25" s="775"/>
      <c r="AQ25" s="775"/>
      <c r="AR25" s="775"/>
      <c r="AS25" s="775"/>
      <c r="AT25" s="778"/>
      <c r="AU25" s="778"/>
      <c r="AV25" s="778"/>
      <c r="AW25" s="764"/>
      <c r="AX25" s="765"/>
      <c r="AY25" s="775"/>
      <c r="AZ25" s="775"/>
      <c r="BA25" s="777"/>
      <c r="BB25" s="775"/>
      <c r="BC25" s="775"/>
      <c r="BD25" s="775"/>
      <c r="BE25" s="775"/>
      <c r="BF25" s="778"/>
      <c r="BG25" s="778"/>
      <c r="BH25" s="778"/>
      <c r="BI25" s="779"/>
      <c r="BJ25" s="775"/>
      <c r="BK25" s="633"/>
      <c r="BL25" s="634"/>
      <c r="BM25" s="634"/>
      <c r="BN25" s="634"/>
      <c r="BO25" s="634"/>
      <c r="BP25" s="634"/>
      <c r="BQ25" s="634"/>
      <c r="BR25" s="634"/>
      <c r="BS25" s="634"/>
    </row>
    <row r="26" spans="1:71" s="740" customFormat="1">
      <c r="A26" s="662"/>
      <c r="B26" s="781" t="s">
        <v>41</v>
      </c>
      <c r="D26" s="781"/>
      <c r="E26" s="775"/>
      <c r="F26" s="749"/>
      <c r="G26" s="749"/>
      <c r="H26" s="749"/>
      <c r="I26" s="749"/>
      <c r="J26" s="749"/>
      <c r="K26" s="749"/>
      <c r="L26" s="749"/>
      <c r="M26" s="749"/>
      <c r="N26" s="749"/>
      <c r="O26" s="749"/>
      <c r="P26" s="749"/>
      <c r="Q26" s="749"/>
      <c r="R26" s="749"/>
      <c r="S26" s="749"/>
      <c r="T26" s="760"/>
      <c r="U26" s="760"/>
      <c r="V26" s="749"/>
      <c r="W26" s="749"/>
      <c r="X26" s="760"/>
      <c r="Y26" s="761"/>
      <c r="Z26" s="749"/>
      <c r="AA26" s="749"/>
      <c r="AB26" s="749"/>
      <c r="AC26" s="749"/>
      <c r="AD26" s="762"/>
      <c r="AE26" s="749"/>
      <c r="AF26" s="749"/>
      <c r="AG26" s="749"/>
      <c r="AH26" s="749"/>
      <c r="AI26" s="749"/>
      <c r="AJ26" s="749"/>
      <c r="AK26" s="749"/>
      <c r="AL26" s="749"/>
      <c r="AM26" s="749"/>
      <c r="AN26" s="749"/>
      <c r="AO26" s="749"/>
      <c r="AP26" s="749"/>
      <c r="AQ26" s="749"/>
      <c r="AR26" s="749"/>
      <c r="AS26" s="749"/>
      <c r="AT26" s="763"/>
      <c r="AU26" s="763"/>
      <c r="AV26" s="763"/>
      <c r="AW26" s="764"/>
      <c r="AX26" s="765"/>
      <c r="AY26" s="749"/>
      <c r="AZ26" s="749"/>
      <c r="BA26" s="762"/>
      <c r="BB26" s="749"/>
      <c r="BC26" s="749"/>
      <c r="BD26" s="749"/>
      <c r="BE26" s="749"/>
      <c r="BF26" s="763"/>
      <c r="BG26" s="763"/>
      <c r="BH26" s="763"/>
      <c r="BI26" s="780"/>
      <c r="BJ26" s="749"/>
      <c r="BK26" s="633"/>
      <c r="BL26" s="634"/>
      <c r="BM26" s="634"/>
      <c r="BN26" s="634"/>
      <c r="BO26" s="634"/>
      <c r="BP26" s="634"/>
      <c r="BQ26" s="634"/>
      <c r="BR26" s="634"/>
      <c r="BS26" s="634"/>
    </row>
    <row r="27" spans="1:71" s="740" customFormat="1">
      <c r="A27" s="662">
        <v>9</v>
      </c>
      <c r="C27" s="781" t="s">
        <v>42</v>
      </c>
      <c r="D27" s="781"/>
      <c r="E27" s="775">
        <f>'ROO INPUT 1.00'!$F28</f>
        <v>2062</v>
      </c>
      <c r="F27" s="749">
        <v>0</v>
      </c>
      <c r="G27" s="749">
        <v>0</v>
      </c>
      <c r="H27" s="749">
        <v>0</v>
      </c>
      <c r="I27" s="749">
        <v>0</v>
      </c>
      <c r="J27" s="749">
        <v>0</v>
      </c>
      <c r="K27" s="749">
        <v>0</v>
      </c>
      <c r="L27" s="749">
        <v>0</v>
      </c>
      <c r="M27" s="749">
        <v>0</v>
      </c>
      <c r="N27" s="749">
        <v>0</v>
      </c>
      <c r="O27" s="749">
        <v>0</v>
      </c>
      <c r="P27" s="749">
        <v>0</v>
      </c>
      <c r="Q27" s="749">
        <v>0</v>
      </c>
      <c r="R27" s="749">
        <v>0</v>
      </c>
      <c r="S27" s="749">
        <v>0</v>
      </c>
      <c r="T27" s="760">
        <v>0</v>
      </c>
      <c r="U27" s="760">
        <v>0</v>
      </c>
      <c r="V27" s="749">
        <v>0</v>
      </c>
      <c r="W27" s="749">
        <v>0</v>
      </c>
      <c r="X27" s="760">
        <v>0</v>
      </c>
      <c r="Y27" s="761">
        <f>SUM(E27:X27)</f>
        <v>2062</v>
      </c>
      <c r="Z27" s="749">
        <v>0</v>
      </c>
      <c r="AA27" s="749">
        <v>0</v>
      </c>
      <c r="AB27" s="749">
        <v>0</v>
      </c>
      <c r="AC27" s="749">
        <v>0</v>
      </c>
      <c r="AD27" s="762">
        <f>ROUND('G-3.05,5.02 PF NE Labor'!AH71/1000,1)+0.3</f>
        <v>0.3</v>
      </c>
      <c r="AE27" s="749">
        <v>0</v>
      </c>
      <c r="AF27" s="749">
        <f>ROUND('G-3.07,5.03 Benefits'!O53/1000,)</f>
        <v>0</v>
      </c>
      <c r="AG27" s="749">
        <v>0</v>
      </c>
      <c r="AH27" s="749">
        <v>0</v>
      </c>
      <c r="AI27" s="749">
        <v>0</v>
      </c>
      <c r="AJ27" s="749">
        <v>0</v>
      </c>
      <c r="AK27" s="749">
        <v>0</v>
      </c>
      <c r="AL27" s="749">
        <v>0</v>
      </c>
      <c r="AM27" s="749">
        <f>ROUND('G-3.14,5.06 PF Misc O&amp;M'!K55/1000,3)</f>
        <v>235.834</v>
      </c>
      <c r="AN27" s="749">
        <v>0</v>
      </c>
      <c r="AO27" s="749">
        <v>0</v>
      </c>
      <c r="AP27" s="749">
        <v>0</v>
      </c>
      <c r="AQ27" s="749">
        <v>0</v>
      </c>
      <c r="AR27" s="749">
        <v>0</v>
      </c>
      <c r="AS27" s="749">
        <v>0</v>
      </c>
      <c r="AT27" s="763">
        <v>0</v>
      </c>
      <c r="AU27" s="763">
        <v>0</v>
      </c>
      <c r="AV27" s="763">
        <v>0</v>
      </c>
      <c r="AW27" s="764">
        <f>SUM(Y27:AV27)</f>
        <v>2298.134</v>
      </c>
      <c r="AX27" s="765"/>
      <c r="AY27" s="749">
        <v>0</v>
      </c>
      <c r="AZ27" s="749">
        <v>0</v>
      </c>
      <c r="BA27" s="762">
        <v>0</v>
      </c>
      <c r="BB27" s="749">
        <f>ROUND('G-3.07,5.03 Benefits'!P53/1000,0)</f>
        <v>0</v>
      </c>
      <c r="BC27" s="749">
        <v>0</v>
      </c>
      <c r="BD27" s="749">
        <v>0</v>
      </c>
      <c r="BE27" s="749">
        <f>ROUND('G-3.14,5.06 PF Misc O&amp;M'!M55/1000,3)</f>
        <v>94.334000000000003</v>
      </c>
      <c r="BF27" s="763">
        <v>0</v>
      </c>
      <c r="BG27" s="763">
        <v>0</v>
      </c>
      <c r="BH27" s="763">
        <v>0</v>
      </c>
      <c r="BI27" s="766">
        <f>SUM(AW27:BH27)</f>
        <v>2392.4679999999998</v>
      </c>
      <c r="BJ27" s="540">
        <f>BI27-AW27</f>
        <v>94.333999999999833</v>
      </c>
      <c r="BK27" s="633"/>
      <c r="BL27" s="634"/>
      <c r="BM27" s="634"/>
      <c r="BN27" s="634"/>
      <c r="BO27" s="634"/>
      <c r="BP27" s="634"/>
      <c r="BQ27" s="634"/>
      <c r="BR27" s="634"/>
      <c r="BS27" s="634"/>
    </row>
    <row r="28" spans="1:71" s="740" customFormat="1">
      <c r="A28" s="662">
        <v>10</v>
      </c>
      <c r="C28" s="781" t="s">
        <v>188</v>
      </c>
      <c r="D28" s="781"/>
      <c r="E28" s="775">
        <f>'ROO INPUT 1.00'!$F29</f>
        <v>512</v>
      </c>
      <c r="F28" s="749">
        <v>0</v>
      </c>
      <c r="G28" s="749">
        <v>0</v>
      </c>
      <c r="H28" s="749">
        <v>0</v>
      </c>
      <c r="I28" s="749">
        <v>0</v>
      </c>
      <c r="J28" s="749">
        <v>0</v>
      </c>
      <c r="K28" s="749">
        <v>0</v>
      </c>
      <c r="L28" s="749">
        <v>0</v>
      </c>
      <c r="M28" s="749">
        <v>0</v>
      </c>
      <c r="N28" s="749">
        <v>0</v>
      </c>
      <c r="O28" s="749">
        <v>0</v>
      </c>
      <c r="P28" s="749">
        <v>0</v>
      </c>
      <c r="Q28" s="749">
        <v>0</v>
      </c>
      <c r="R28" s="749">
        <v>0</v>
      </c>
      <c r="S28" s="749">
        <v>0</v>
      </c>
      <c r="T28" s="760">
        <v>0</v>
      </c>
      <c r="U28" s="760">
        <v>0</v>
      </c>
      <c r="V28" s="749">
        <v>0</v>
      </c>
      <c r="W28" s="749">
        <v>0</v>
      </c>
      <c r="X28" s="760">
        <v>0</v>
      </c>
      <c r="Y28" s="761">
        <f>SUM(E28:X28)</f>
        <v>512</v>
      </c>
      <c r="Z28" s="749">
        <v>0</v>
      </c>
      <c r="AA28" s="749">
        <v>0</v>
      </c>
      <c r="AB28" s="749">
        <v>0</v>
      </c>
      <c r="AC28" s="749">
        <v>0</v>
      </c>
      <c r="AD28" s="762">
        <v>0</v>
      </c>
      <c r="AE28" s="749">
        <v>0</v>
      </c>
      <c r="AF28" s="749">
        <v>0</v>
      </c>
      <c r="AG28" s="749">
        <v>0</v>
      </c>
      <c r="AH28" s="749">
        <v>0</v>
      </c>
      <c r="AI28" s="749">
        <v>0</v>
      </c>
      <c r="AJ28" s="749">
        <v>0</v>
      </c>
      <c r="AK28" s="749">
        <v>0</v>
      </c>
      <c r="AL28" s="749">
        <v>0</v>
      </c>
      <c r="AM28" s="749">
        <v>0</v>
      </c>
      <c r="AN28" s="749">
        <f>ROUND('G-2.15,3.15-3.17,4.01,5.07 CAP'!J12,)</f>
        <v>12</v>
      </c>
      <c r="AO28" s="749">
        <f>ROUND('G-2.15,3.15-3.17,4.01,5.07 CAP'!Q12,1)</f>
        <v>-6.8</v>
      </c>
      <c r="AP28" s="749">
        <f>ROUND('G-2.15,3.15-3.17,4.01,5.07 CAP'!V12,)</f>
        <v>27</v>
      </c>
      <c r="AQ28" s="749">
        <v>0</v>
      </c>
      <c r="AR28" s="749">
        <v>0</v>
      </c>
      <c r="AS28" s="749">
        <v>0</v>
      </c>
      <c r="AT28" s="763">
        <f>ROUND('G-2.15,3.15-3.17,4.01,5.07 CAP'!AC12,)</f>
        <v>22</v>
      </c>
      <c r="AU28" s="763">
        <v>0</v>
      </c>
      <c r="AV28" s="763">
        <v>0</v>
      </c>
      <c r="AW28" s="764">
        <f>SUM(Y28:AV28)</f>
        <v>566.20000000000005</v>
      </c>
      <c r="AX28" s="765"/>
      <c r="AY28" s="749">
        <v>0</v>
      </c>
      <c r="AZ28" s="749">
        <v>0</v>
      </c>
      <c r="BA28" s="762">
        <v>0</v>
      </c>
      <c r="BB28" s="749">
        <v>0</v>
      </c>
      <c r="BC28" s="749">
        <v>0</v>
      </c>
      <c r="BD28" s="749">
        <v>0</v>
      </c>
      <c r="BE28" s="749">
        <v>0</v>
      </c>
      <c r="BF28" s="763">
        <f>ROUND('G-2.15,3.15-3.17,4.01,5.07 CAP'!AJ12,)</f>
        <v>22</v>
      </c>
      <c r="BG28" s="763">
        <v>0</v>
      </c>
      <c r="BH28" s="763">
        <v>0</v>
      </c>
      <c r="BI28" s="766">
        <f>SUM(AW28:BH28)</f>
        <v>588.20000000000005</v>
      </c>
      <c r="BJ28" s="540">
        <f>BI28-AW28</f>
        <v>22</v>
      </c>
      <c r="BK28" s="633"/>
      <c r="BL28" s="634"/>
      <c r="BM28" s="634"/>
      <c r="BN28" s="634"/>
      <c r="BO28" s="634"/>
      <c r="BP28" s="634"/>
      <c r="BQ28" s="634"/>
      <c r="BR28" s="634"/>
      <c r="BS28" s="634"/>
    </row>
    <row r="29" spans="1:71" s="740" customFormat="1">
      <c r="A29" s="662">
        <v>11</v>
      </c>
      <c r="C29" s="781" t="s">
        <v>20</v>
      </c>
      <c r="D29" s="781"/>
      <c r="E29" s="782">
        <f>'ROO INPUT 1.00'!$F30</f>
        <v>161</v>
      </c>
      <c r="F29" s="768">
        <v>0</v>
      </c>
      <c r="G29" s="768">
        <v>0</v>
      </c>
      <c r="H29" s="768">
        <v>0</v>
      </c>
      <c r="I29" s="768">
        <v>0</v>
      </c>
      <c r="J29" s="768">
        <f>ROUND(('G-2.02,3.11,5.04 Prop Tax'!H31/1000),)</f>
        <v>32</v>
      </c>
      <c r="K29" s="768">
        <v>0</v>
      </c>
      <c r="L29" s="768">
        <v>0</v>
      </c>
      <c r="M29" s="768">
        <v>0</v>
      </c>
      <c r="N29" s="768">
        <v>0</v>
      </c>
      <c r="O29" s="768">
        <v>0</v>
      </c>
      <c r="P29" s="768">
        <v>0</v>
      </c>
      <c r="Q29" s="768">
        <v>0</v>
      </c>
      <c r="R29" s="768">
        <v>0</v>
      </c>
      <c r="S29" s="768">
        <v>0</v>
      </c>
      <c r="T29" s="769">
        <v>0</v>
      </c>
      <c r="U29" s="769">
        <v>0</v>
      </c>
      <c r="V29" s="768">
        <v>0</v>
      </c>
      <c r="W29" s="768">
        <v>0</v>
      </c>
      <c r="X29" s="769">
        <v>0</v>
      </c>
      <c r="Y29" s="770">
        <f>SUM(E29:X29)</f>
        <v>193</v>
      </c>
      <c r="Z29" s="768">
        <v>0</v>
      </c>
      <c r="AA29" s="768">
        <v>0</v>
      </c>
      <c r="AB29" s="768">
        <v>0</v>
      </c>
      <c r="AC29" s="768">
        <v>0</v>
      </c>
      <c r="AD29" s="771">
        <v>0</v>
      </c>
      <c r="AE29" s="768">
        <v>0</v>
      </c>
      <c r="AF29" s="768">
        <v>0</v>
      </c>
      <c r="AG29" s="768">
        <v>0</v>
      </c>
      <c r="AH29" s="768">
        <v>0</v>
      </c>
      <c r="AI29" s="768">
        <v>0</v>
      </c>
      <c r="AJ29" s="768">
        <f>ROUND(('G-2.02,3.11,5.04 Prop Tax'!H53/1000),)</f>
        <v>57</v>
      </c>
      <c r="AK29" s="768">
        <v>0</v>
      </c>
      <c r="AL29" s="768">
        <v>0</v>
      </c>
      <c r="AM29" s="768">
        <v>0</v>
      </c>
      <c r="AN29" s="768">
        <v>0</v>
      </c>
      <c r="AO29" s="768">
        <v>0</v>
      </c>
      <c r="AP29" s="768">
        <v>0</v>
      </c>
      <c r="AQ29" s="768">
        <v>0</v>
      </c>
      <c r="AR29" s="768">
        <v>0</v>
      </c>
      <c r="AS29" s="768">
        <v>0</v>
      </c>
      <c r="AT29" s="768">
        <v>0</v>
      </c>
      <c r="AU29" s="768">
        <v>0</v>
      </c>
      <c r="AV29" s="768">
        <v>0</v>
      </c>
      <c r="AW29" s="772">
        <f>SUM(Y29:AV29)</f>
        <v>250</v>
      </c>
      <c r="AX29" s="765"/>
      <c r="AY29" s="768">
        <v>0</v>
      </c>
      <c r="AZ29" s="768">
        <v>0</v>
      </c>
      <c r="BA29" s="771">
        <v>0</v>
      </c>
      <c r="BB29" s="768">
        <v>0</v>
      </c>
      <c r="BC29" s="768">
        <f>ROUND(('G-2.02,3.11,5.04 Prop Tax'!H75/1000),)</f>
        <v>2</v>
      </c>
      <c r="BD29" s="768">
        <v>0</v>
      </c>
      <c r="BE29" s="768">
        <v>0</v>
      </c>
      <c r="BF29" s="768">
        <v>0</v>
      </c>
      <c r="BG29" s="768">
        <v>0</v>
      </c>
      <c r="BH29" s="768">
        <v>0</v>
      </c>
      <c r="BI29" s="773">
        <f>SUM(AW29:BH29)</f>
        <v>252</v>
      </c>
      <c r="BJ29" s="774">
        <f>BI29-AW29</f>
        <v>2</v>
      </c>
      <c r="BK29" s="633"/>
      <c r="BL29" s="634"/>
      <c r="BM29" s="634"/>
      <c r="BN29" s="634"/>
      <c r="BO29" s="634"/>
      <c r="BP29" s="634"/>
      <c r="BQ29" s="634"/>
      <c r="BR29" s="634"/>
      <c r="BS29" s="634"/>
    </row>
    <row r="30" spans="1:71" s="740" customFormat="1">
      <c r="A30" s="662">
        <v>12</v>
      </c>
      <c r="B30" s="781" t="s">
        <v>44</v>
      </c>
      <c r="C30" s="781"/>
      <c r="E30" s="775">
        <f t="shared" ref="E30:Y30" si="62">SUM(E27:E29)</f>
        <v>2735</v>
      </c>
      <c r="F30" s="775">
        <f t="shared" si="62"/>
        <v>0</v>
      </c>
      <c r="G30" s="775">
        <f t="shared" si="62"/>
        <v>0</v>
      </c>
      <c r="H30" s="775">
        <f t="shared" si="62"/>
        <v>0</v>
      </c>
      <c r="I30" s="775">
        <f t="shared" si="62"/>
        <v>0</v>
      </c>
      <c r="J30" s="775">
        <f>SUM(J27:J29)</f>
        <v>32</v>
      </c>
      <c r="K30" s="775">
        <f t="shared" si="62"/>
        <v>0</v>
      </c>
      <c r="L30" s="775">
        <f t="shared" si="62"/>
        <v>0</v>
      </c>
      <c r="M30" s="775">
        <f t="shared" si="62"/>
        <v>0</v>
      </c>
      <c r="N30" s="775">
        <f t="shared" si="62"/>
        <v>0</v>
      </c>
      <c r="O30" s="775">
        <f t="shared" ref="O30:P30" si="63">SUM(O27:O29)</f>
        <v>0</v>
      </c>
      <c r="P30" s="775">
        <f t="shared" si="63"/>
        <v>0</v>
      </c>
      <c r="Q30" s="775">
        <f>SUM(Q27:Q29)</f>
        <v>0</v>
      </c>
      <c r="R30" s="775">
        <f>SUM(R27:R29)</f>
        <v>0</v>
      </c>
      <c r="S30" s="775">
        <f>SUM(S27:S29)</f>
        <v>0</v>
      </c>
      <c r="T30" s="776">
        <f t="shared" ref="T30" si="64">SUM(T27:T29)</f>
        <v>0</v>
      </c>
      <c r="U30" s="776">
        <f>SUM(U27:U29)</f>
        <v>0</v>
      </c>
      <c r="V30" s="775">
        <f>SUM(V27:V29)</f>
        <v>0</v>
      </c>
      <c r="W30" s="775">
        <f>SUM(W27:W29)</f>
        <v>0</v>
      </c>
      <c r="X30" s="776">
        <f>SUM(X27:X29)</f>
        <v>0</v>
      </c>
      <c r="Y30" s="761">
        <f t="shared" si="62"/>
        <v>2767</v>
      </c>
      <c r="Z30" s="775">
        <f>SUM(Z27:Z29)</f>
        <v>0</v>
      </c>
      <c r="AA30" s="775">
        <f>SUM(AA27:AA29)</f>
        <v>0</v>
      </c>
      <c r="AB30" s="775">
        <f>SUM(AB27:AB29)</f>
        <v>0</v>
      </c>
      <c r="AC30" s="775">
        <f t="shared" ref="AC30:AI30" si="65">SUM(AC27:AC29)</f>
        <v>0</v>
      </c>
      <c r="AD30" s="777">
        <f t="shared" si="65"/>
        <v>0.3</v>
      </c>
      <c r="AE30" s="775">
        <f t="shared" si="65"/>
        <v>0</v>
      </c>
      <c r="AF30" s="775">
        <f t="shared" si="65"/>
        <v>0</v>
      </c>
      <c r="AG30" s="775">
        <f t="shared" ref="AG30" si="66">SUM(AG27:AG29)</f>
        <v>0</v>
      </c>
      <c r="AH30" s="775">
        <f t="shared" si="65"/>
        <v>0</v>
      </c>
      <c r="AI30" s="775">
        <f t="shared" si="65"/>
        <v>0</v>
      </c>
      <c r="AJ30" s="775">
        <f t="shared" ref="AJ30:AK30" si="67">SUM(AJ27:AJ29)</f>
        <v>57</v>
      </c>
      <c r="AK30" s="775">
        <f t="shared" si="67"/>
        <v>0</v>
      </c>
      <c r="AL30" s="775">
        <f>SUM(AL27:AL29)</f>
        <v>0</v>
      </c>
      <c r="AM30" s="775">
        <f t="shared" ref="AM30" si="68">SUM(AM27:AM29)</f>
        <v>235.834</v>
      </c>
      <c r="AN30" s="775">
        <f>SUM(AN27:AN29)</f>
        <v>12</v>
      </c>
      <c r="AO30" s="775">
        <f t="shared" ref="AO30" si="69">SUM(AO27:AO29)</f>
        <v>-6.8</v>
      </c>
      <c r="AP30" s="775">
        <f t="shared" ref="AP30:AQ30" si="70">SUM(AP27:AP29)</f>
        <v>27</v>
      </c>
      <c r="AQ30" s="775">
        <f t="shared" si="70"/>
        <v>0</v>
      </c>
      <c r="AR30" s="775">
        <f>SUM(AR27:AR29)</f>
        <v>0</v>
      </c>
      <c r="AS30" s="775">
        <f>SUM(AS27:AS29)</f>
        <v>0</v>
      </c>
      <c r="AT30" s="778">
        <f>SUM(AT27:AT29)</f>
        <v>22</v>
      </c>
      <c r="AU30" s="778">
        <f>SUM(AU27:AU29)</f>
        <v>0</v>
      </c>
      <c r="AV30" s="778">
        <f t="shared" ref="AV30" si="71">SUM(AV27:AV29)</f>
        <v>0</v>
      </c>
      <c r="AW30" s="764">
        <f t="shared" ref="AW30" si="72">SUM(AW27:AW29)</f>
        <v>3114.3339999999998</v>
      </c>
      <c r="AX30" s="765"/>
      <c r="AY30" s="775">
        <f>SUM(AY27:AY29)</f>
        <v>0</v>
      </c>
      <c r="AZ30" s="775">
        <f t="shared" ref="AZ30" si="73">SUM(AZ27:AZ29)</f>
        <v>0</v>
      </c>
      <c r="BA30" s="777">
        <f t="shared" ref="BA30:BB30" si="74">SUM(BA27:BA29)</f>
        <v>0</v>
      </c>
      <c r="BB30" s="775">
        <f t="shared" si="74"/>
        <v>0</v>
      </c>
      <c r="BC30" s="775">
        <f>SUM(BC27:BC29)</f>
        <v>2</v>
      </c>
      <c r="BD30" s="775">
        <f>SUM(BD27:BD29)</f>
        <v>0</v>
      </c>
      <c r="BE30" s="775">
        <f t="shared" ref="BE30" si="75">SUM(BE27:BE29)</f>
        <v>94.334000000000003</v>
      </c>
      <c r="BF30" s="778">
        <f>SUM(BF27:BF29)</f>
        <v>22</v>
      </c>
      <c r="BG30" s="778">
        <f>SUM(BG27:BG29)</f>
        <v>0</v>
      </c>
      <c r="BH30" s="778">
        <f>SUM(BH27:BH29)</f>
        <v>0</v>
      </c>
      <c r="BI30" s="779">
        <f>SUM(BI27:BI29)</f>
        <v>3232.6679999999997</v>
      </c>
      <c r="BJ30" s="775">
        <f>SUM(BJ27:BJ29)</f>
        <v>118.33399999999983</v>
      </c>
      <c r="BK30" s="633"/>
      <c r="BL30" s="634"/>
      <c r="BM30" s="634"/>
      <c r="BN30" s="634"/>
      <c r="BO30" s="634"/>
      <c r="BP30" s="634"/>
      <c r="BQ30" s="634"/>
      <c r="BR30" s="634"/>
      <c r="BS30" s="634"/>
    </row>
    <row r="31" spans="1:71" s="740" customFormat="1" ht="9" customHeight="1">
      <c r="A31" s="662"/>
      <c r="B31" s="781"/>
      <c r="C31" s="781"/>
      <c r="E31" s="775"/>
      <c r="F31" s="775"/>
      <c r="G31" s="775"/>
      <c r="H31" s="775"/>
      <c r="I31" s="775"/>
      <c r="J31" s="775"/>
      <c r="K31" s="775"/>
      <c r="L31" s="775"/>
      <c r="M31" s="775"/>
      <c r="N31" s="775"/>
      <c r="O31" s="775"/>
      <c r="P31" s="775"/>
      <c r="Q31" s="775"/>
      <c r="R31" s="775"/>
      <c r="S31" s="775"/>
      <c r="T31" s="776"/>
      <c r="U31" s="776"/>
      <c r="V31" s="775"/>
      <c r="W31" s="775"/>
      <c r="X31" s="776"/>
      <c r="Y31" s="761"/>
      <c r="Z31" s="775"/>
      <c r="AA31" s="775"/>
      <c r="AB31" s="775"/>
      <c r="AC31" s="775"/>
      <c r="AD31" s="777"/>
      <c r="AE31" s="775"/>
      <c r="AF31" s="775"/>
      <c r="AG31" s="775"/>
      <c r="AH31" s="775"/>
      <c r="AI31" s="775"/>
      <c r="AJ31" s="775"/>
      <c r="AK31" s="775"/>
      <c r="AL31" s="775"/>
      <c r="AM31" s="775"/>
      <c r="AN31" s="775"/>
      <c r="AO31" s="775"/>
      <c r="AP31" s="775"/>
      <c r="AQ31" s="775"/>
      <c r="AR31" s="775"/>
      <c r="AS31" s="775"/>
      <c r="AT31" s="778"/>
      <c r="AU31" s="778"/>
      <c r="AV31" s="778"/>
      <c r="AW31" s="764"/>
      <c r="AX31" s="765"/>
      <c r="AY31" s="775"/>
      <c r="AZ31" s="775"/>
      <c r="BA31" s="777"/>
      <c r="BB31" s="775"/>
      <c r="BC31" s="775"/>
      <c r="BD31" s="775"/>
      <c r="BE31" s="775"/>
      <c r="BF31" s="778"/>
      <c r="BG31" s="778"/>
      <c r="BH31" s="778"/>
      <c r="BI31" s="779"/>
      <c r="BJ31" s="775"/>
      <c r="BK31" s="633"/>
      <c r="BL31" s="634"/>
      <c r="BM31" s="634"/>
      <c r="BN31" s="634"/>
      <c r="BO31" s="634"/>
      <c r="BP31" s="634"/>
      <c r="BQ31" s="634"/>
      <c r="BR31" s="634"/>
      <c r="BS31" s="634"/>
    </row>
    <row r="32" spans="1:71" s="740" customFormat="1">
      <c r="A32" s="662"/>
      <c r="B32" s="781" t="s">
        <v>45</v>
      </c>
      <c r="D32" s="781"/>
      <c r="E32" s="775"/>
      <c r="F32" s="749"/>
      <c r="G32" s="749"/>
      <c r="H32" s="749"/>
      <c r="I32" s="749"/>
      <c r="J32" s="749"/>
      <c r="K32" s="749"/>
      <c r="L32" s="749"/>
      <c r="M32" s="749"/>
      <c r="N32" s="749"/>
      <c r="O32" s="749"/>
      <c r="P32" s="749"/>
      <c r="Q32" s="749"/>
      <c r="R32" s="749"/>
      <c r="S32" s="749"/>
      <c r="T32" s="760"/>
      <c r="U32" s="760"/>
      <c r="V32" s="749"/>
      <c r="W32" s="749"/>
      <c r="X32" s="760"/>
      <c r="Y32" s="761"/>
      <c r="Z32" s="749"/>
      <c r="AA32" s="749"/>
      <c r="AB32" s="749"/>
      <c r="AC32" s="749"/>
      <c r="AD32" s="762"/>
      <c r="AE32" s="749"/>
      <c r="AF32" s="749"/>
      <c r="AG32" s="749"/>
      <c r="AH32" s="749"/>
      <c r="AI32" s="749"/>
      <c r="AJ32" s="749"/>
      <c r="AK32" s="749"/>
      <c r="AL32" s="749"/>
      <c r="AM32" s="749"/>
      <c r="AN32" s="749"/>
      <c r="AO32" s="749"/>
      <c r="AP32" s="749"/>
      <c r="AQ32" s="749"/>
      <c r="AR32" s="749"/>
      <c r="AS32" s="749"/>
      <c r="AT32" s="763"/>
      <c r="AU32" s="763"/>
      <c r="AV32" s="763"/>
      <c r="AW32" s="764"/>
      <c r="AX32" s="765"/>
      <c r="AY32" s="749"/>
      <c r="AZ32" s="749"/>
      <c r="BA32" s="762"/>
      <c r="BB32" s="749"/>
      <c r="BC32" s="749"/>
      <c r="BD32" s="749"/>
      <c r="BE32" s="749"/>
      <c r="BF32" s="763"/>
      <c r="BG32" s="763"/>
      <c r="BH32" s="763"/>
      <c r="BI32" s="780"/>
      <c r="BJ32" s="749"/>
      <c r="BK32" s="633"/>
      <c r="BL32" s="634"/>
      <c r="BM32" s="634"/>
      <c r="BN32" s="634"/>
      <c r="BO32" s="634"/>
      <c r="BP32" s="634"/>
      <c r="BQ32" s="634"/>
      <c r="BR32" s="634"/>
      <c r="BS32" s="634"/>
    </row>
    <row r="33" spans="1:71" s="740" customFormat="1">
      <c r="A33" s="662">
        <v>13</v>
      </c>
      <c r="C33" s="781" t="s">
        <v>42</v>
      </c>
      <c r="D33" s="781"/>
      <c r="E33" s="775">
        <f>'ROO INPUT 1.00'!$F34</f>
        <v>12916</v>
      </c>
      <c r="F33" s="749">
        <v>0</v>
      </c>
      <c r="G33" s="749">
        <v>0</v>
      </c>
      <c r="H33" s="749">
        <v>0</v>
      </c>
      <c r="I33" s="749">
        <v>0</v>
      </c>
      <c r="J33" s="749">
        <v>0</v>
      </c>
      <c r="K33" s="749">
        <v>0</v>
      </c>
      <c r="L33" s="749">
        <v>0</v>
      </c>
      <c r="M33" s="749">
        <v>0</v>
      </c>
      <c r="N33" s="749">
        <v>0</v>
      </c>
      <c r="O33" s="749">
        <v>0</v>
      </c>
      <c r="P33" s="749">
        <v>0</v>
      </c>
      <c r="Q33" s="749">
        <v>0</v>
      </c>
      <c r="R33" s="749">
        <v>0</v>
      </c>
      <c r="S33" s="749">
        <v>0</v>
      </c>
      <c r="T33" s="760">
        <f>ROUND(('G-2.12 Misc'!S18/1000),)</f>
        <v>-5</v>
      </c>
      <c r="U33" s="760">
        <v>0</v>
      </c>
      <c r="V33" s="749">
        <v>0</v>
      </c>
      <c r="W33" s="749">
        <v>0</v>
      </c>
      <c r="X33" s="760">
        <v>0</v>
      </c>
      <c r="Y33" s="761">
        <f>SUM(E33:X33)</f>
        <v>12911</v>
      </c>
      <c r="Z33" s="749">
        <v>0</v>
      </c>
      <c r="AA33" s="749">
        <v>0</v>
      </c>
      <c r="AB33" s="749">
        <v>0</v>
      </c>
      <c r="AC33" s="749">
        <f>ROUND('G-3.04,5.01 PF AMI'!D18/1000,)</f>
        <v>-691</v>
      </c>
      <c r="AD33" s="762">
        <f>ROUND('G-3.05,5.02 PF NE Labor'!AH72/1000,1)</f>
        <v>815.1</v>
      </c>
      <c r="AE33" s="749">
        <v>0</v>
      </c>
      <c r="AF33" s="749">
        <f>ROUND('G-3.07,5.03 Benefits'!O54/1000,1)</f>
        <v>18.399999999999999</v>
      </c>
      <c r="AG33" s="749">
        <v>0</v>
      </c>
      <c r="AH33" s="749">
        <v>0</v>
      </c>
      <c r="AI33" s="749">
        <v>0</v>
      </c>
      <c r="AJ33" s="749">
        <v>0</v>
      </c>
      <c r="AK33" s="749">
        <v>0</v>
      </c>
      <c r="AL33" s="749">
        <v>0</v>
      </c>
      <c r="AM33" s="749">
        <f>ROUND('G-3.14,5.06 PF Misc O&amp;M'!K83/1000,3)</f>
        <v>580.36699999999996</v>
      </c>
      <c r="AN33" s="749">
        <v>0</v>
      </c>
      <c r="AO33" s="749">
        <v>0</v>
      </c>
      <c r="AP33" s="749">
        <v>0</v>
      </c>
      <c r="AQ33" s="749">
        <v>0</v>
      </c>
      <c r="AR33" s="749">
        <v>0</v>
      </c>
      <c r="AS33" s="749">
        <v>0</v>
      </c>
      <c r="AT33" s="763">
        <v>0</v>
      </c>
      <c r="AU33" s="763">
        <f>-ROUND('G-4.02,5.08 PV Offsets'!AP137/1000,3)</f>
        <v>-190.31200000000001</v>
      </c>
      <c r="AV33" s="763">
        <v>0</v>
      </c>
      <c r="AW33" s="764">
        <f>SUM(Y33:AV33)</f>
        <v>13443.555</v>
      </c>
      <c r="AX33" s="765"/>
      <c r="AY33" s="749">
        <v>0</v>
      </c>
      <c r="AZ33" s="749">
        <f>ROUND('G-3.04,5.01 PF AMI'!D39/1000,)</f>
        <v>-105</v>
      </c>
      <c r="BA33" s="762">
        <f>ROUND('G-3.05,5.02 PF NE Labor'!AI72/1000,1)</f>
        <v>345.2</v>
      </c>
      <c r="BB33" s="749">
        <f>ROUND('G-3.07,5.03 Benefits'!P54/1000,1)</f>
        <v>64.599999999999994</v>
      </c>
      <c r="BC33" s="749">
        <v>0</v>
      </c>
      <c r="BD33" s="749">
        <v>0</v>
      </c>
      <c r="BE33" s="749">
        <f>ROUND('G-3.14,5.06 PF Misc O&amp;M'!M83/1000,3)</f>
        <v>232.14699999999999</v>
      </c>
      <c r="BF33" s="763">
        <v>0</v>
      </c>
      <c r="BG33" s="763">
        <f>-ROUND('G-4.02,5.08 PV Offsets'!AS137/1000,3)</f>
        <v>-70.043999999999997</v>
      </c>
      <c r="BH33" s="763">
        <v>0</v>
      </c>
      <c r="BI33" s="766">
        <f>SUM(AW33:BH33)</f>
        <v>13910.458000000002</v>
      </c>
      <c r="BJ33" s="540">
        <f>BI33-AW33</f>
        <v>466.90300000000207</v>
      </c>
      <c r="BK33" s="633"/>
      <c r="BL33" s="634"/>
      <c r="BM33" s="634"/>
      <c r="BN33" s="634"/>
      <c r="BO33" s="634"/>
      <c r="BP33" s="634"/>
      <c r="BQ33" s="634"/>
      <c r="BR33" s="634"/>
      <c r="BS33" s="634"/>
    </row>
    <row r="34" spans="1:71" s="740" customFormat="1">
      <c r="A34" s="662">
        <v>14</v>
      </c>
      <c r="C34" s="781" t="s">
        <v>188</v>
      </c>
      <c r="D34" s="781"/>
      <c r="E34" s="775">
        <f>'ROO INPUT 1.00'!$F35</f>
        <v>16440</v>
      </c>
      <c r="F34" s="749">
        <v>0</v>
      </c>
      <c r="G34" s="749">
        <v>0</v>
      </c>
      <c r="H34" s="749">
        <v>0</v>
      </c>
      <c r="I34" s="749">
        <v>0</v>
      </c>
      <c r="J34" s="749">
        <v>0</v>
      </c>
      <c r="K34" s="749">
        <v>0</v>
      </c>
      <c r="L34" s="749">
        <v>0</v>
      </c>
      <c r="M34" s="749">
        <v>0</v>
      </c>
      <c r="N34" s="749">
        <v>0</v>
      </c>
      <c r="O34" s="749">
        <v>0</v>
      </c>
      <c r="P34" s="749">
        <v>0</v>
      </c>
      <c r="Q34" s="749">
        <f>-ROUND(('G-2.09 NGL'!AL71/1000),)</f>
        <v>-11</v>
      </c>
      <c r="R34" s="749">
        <v>0</v>
      </c>
      <c r="S34" s="749">
        <v>0</v>
      </c>
      <c r="T34" s="760">
        <v>0</v>
      </c>
      <c r="U34" s="760">
        <v>0</v>
      </c>
      <c r="V34" s="749">
        <v>0</v>
      </c>
      <c r="W34" s="749">
        <v>0</v>
      </c>
      <c r="X34" s="760">
        <v>0</v>
      </c>
      <c r="Y34" s="761">
        <f>SUM(E34:X34)</f>
        <v>16429</v>
      </c>
      <c r="Z34" s="749">
        <v>0</v>
      </c>
      <c r="AA34" s="749">
        <v>0</v>
      </c>
      <c r="AB34" s="749">
        <v>0</v>
      </c>
      <c r="AC34" s="749">
        <v>0</v>
      </c>
      <c r="AD34" s="762">
        <v>0</v>
      </c>
      <c r="AE34" s="749">
        <v>0</v>
      </c>
      <c r="AF34" s="749">
        <v>0</v>
      </c>
      <c r="AG34" s="749">
        <v>0</v>
      </c>
      <c r="AH34" s="749">
        <v>0</v>
      </c>
      <c r="AI34" s="749">
        <v>0</v>
      </c>
      <c r="AJ34" s="749">
        <v>0</v>
      </c>
      <c r="AK34" s="749">
        <v>0</v>
      </c>
      <c r="AL34" s="749">
        <v>0</v>
      </c>
      <c r="AM34" s="749">
        <v>0</v>
      </c>
      <c r="AN34" s="749">
        <f>ROUND('G-2.15,3.15-3.17,4.01,5.07 CAP'!J13,)</f>
        <v>633</v>
      </c>
      <c r="AO34" s="749">
        <f>ROUND('G-2.15,3.15-3.17,4.01,5.07 CAP'!Q13,1)</f>
        <v>-433.7</v>
      </c>
      <c r="AP34" s="749">
        <f>ROUND('G-2.15,3.15-3.17,4.01,5.07 CAP'!V13,)</f>
        <v>963</v>
      </c>
      <c r="AQ34" s="749">
        <v>0</v>
      </c>
      <c r="AR34" s="749">
        <v>0</v>
      </c>
      <c r="AS34" s="749">
        <v>0</v>
      </c>
      <c r="AT34" s="763">
        <f>ROUND('G-2.15,3.15-3.17,4.01,5.07 CAP'!AC13,)</f>
        <v>903</v>
      </c>
      <c r="AU34" s="763">
        <v>0</v>
      </c>
      <c r="AV34" s="763">
        <v>0</v>
      </c>
      <c r="AW34" s="764">
        <f>SUM(Y34:AV34)</f>
        <v>18494.3</v>
      </c>
      <c r="AX34" s="765"/>
      <c r="AY34" s="749">
        <v>0</v>
      </c>
      <c r="AZ34" s="749">
        <v>0</v>
      </c>
      <c r="BA34" s="762">
        <v>0</v>
      </c>
      <c r="BB34" s="749">
        <v>0</v>
      </c>
      <c r="BC34" s="749">
        <v>0</v>
      </c>
      <c r="BD34" s="749">
        <v>0</v>
      </c>
      <c r="BE34" s="749">
        <v>0</v>
      </c>
      <c r="BF34" s="763">
        <f>ROUND('G-2.15,3.15-3.17,4.01,5.07 CAP'!AJ13,)</f>
        <v>823</v>
      </c>
      <c r="BG34" s="763"/>
      <c r="BH34" s="763"/>
      <c r="BI34" s="766">
        <f>SUM(AW34:BH34)</f>
        <v>19317.3</v>
      </c>
      <c r="BJ34" s="540">
        <f>BI34-AW34</f>
        <v>823</v>
      </c>
      <c r="BK34" s="633"/>
      <c r="BL34" s="634"/>
      <c r="BM34" s="634"/>
      <c r="BN34" s="634"/>
      <c r="BO34" s="634"/>
      <c r="BP34" s="634"/>
      <c r="BQ34" s="634"/>
      <c r="BR34" s="634"/>
      <c r="BS34" s="634"/>
    </row>
    <row r="35" spans="1:71" s="740" customFormat="1">
      <c r="A35" s="662">
        <v>15</v>
      </c>
      <c r="C35" s="781" t="s">
        <v>20</v>
      </c>
      <c r="D35" s="781"/>
      <c r="E35" s="782">
        <f>'ROO INPUT 1.00'!$F36</f>
        <v>21003</v>
      </c>
      <c r="F35" s="768">
        <v>0</v>
      </c>
      <c r="G35" s="768">
        <v>0</v>
      </c>
      <c r="H35" s="768">
        <v>0</v>
      </c>
      <c r="I35" s="768">
        <f>-ROUND(('G-2.01 Elim B&amp;O'!F26/1000),)</f>
        <v>-8688</v>
      </c>
      <c r="J35" s="768">
        <f>ROUND(('G-2.02,3.11,5.04 Prop Tax'!H34/1000),)</f>
        <v>256</v>
      </c>
      <c r="K35" s="768">
        <v>0</v>
      </c>
      <c r="L35" s="768">
        <v>0</v>
      </c>
      <c r="M35" s="768">
        <v>0</v>
      </c>
      <c r="N35" s="768">
        <v>0</v>
      </c>
      <c r="O35" s="768">
        <v>0</v>
      </c>
      <c r="P35" s="768">
        <f>ROUND(('G-2.08 RET'!F31/1000),)</f>
        <v>-4</v>
      </c>
      <c r="Q35" s="768">
        <v>0</v>
      </c>
      <c r="R35" s="768">
        <f>ROUND((R$14+R$15)*CF!$E$19,0)</f>
        <v>1</v>
      </c>
      <c r="S35" s="768">
        <f>ROUND((S$14+S$15)*CF!$E$19,0)</f>
        <v>-1022</v>
      </c>
      <c r="T35" s="769">
        <v>0</v>
      </c>
      <c r="U35" s="769">
        <v>0</v>
      </c>
      <c r="V35" s="768">
        <v>0</v>
      </c>
      <c r="W35" s="768">
        <v>0</v>
      </c>
      <c r="X35" s="769">
        <v>0</v>
      </c>
      <c r="Y35" s="770">
        <f>SUM(E35:X35)</f>
        <v>11546</v>
      </c>
      <c r="Z35" s="768">
        <f>ROUND((Z$14+Z$15)*CF!$E$19,0)</f>
        <v>-3429</v>
      </c>
      <c r="AA35" s="768">
        <v>0</v>
      </c>
      <c r="AB35" s="768">
        <v>0</v>
      </c>
      <c r="AC35" s="768">
        <v>0</v>
      </c>
      <c r="AD35" s="771">
        <v>0</v>
      </c>
      <c r="AE35" s="768">
        <v>0</v>
      </c>
      <c r="AF35" s="768">
        <v>0</v>
      </c>
      <c r="AG35" s="768">
        <v>0</v>
      </c>
      <c r="AH35" s="768">
        <v>0</v>
      </c>
      <c r="AI35" s="768">
        <v>0</v>
      </c>
      <c r="AJ35" s="768">
        <f>ROUND(('G-2.02,3.11,5.04 Prop Tax'!H56/1000),)</f>
        <v>889</v>
      </c>
      <c r="AK35" s="768">
        <v>0</v>
      </c>
      <c r="AL35" s="768">
        <v>0</v>
      </c>
      <c r="AM35" s="768">
        <v>0</v>
      </c>
      <c r="AN35" s="768">
        <v>0</v>
      </c>
      <c r="AO35" s="768">
        <v>0</v>
      </c>
      <c r="AP35" s="768">
        <v>0</v>
      </c>
      <c r="AQ35" s="768">
        <v>0</v>
      </c>
      <c r="AR35" s="768">
        <v>0</v>
      </c>
      <c r="AS35" s="768">
        <v>0</v>
      </c>
      <c r="AT35" s="768">
        <v>0</v>
      </c>
      <c r="AU35" s="768">
        <v>0</v>
      </c>
      <c r="AV35" s="768">
        <v>0</v>
      </c>
      <c r="AW35" s="772">
        <f>SUM(Y35:AV35)</f>
        <v>9006</v>
      </c>
      <c r="AX35" s="765"/>
      <c r="AY35" s="768">
        <v>0</v>
      </c>
      <c r="AZ35" s="768">
        <v>0</v>
      </c>
      <c r="BA35" s="771">
        <v>0</v>
      </c>
      <c r="BB35" s="768">
        <v>0</v>
      </c>
      <c r="BC35" s="768">
        <f>ROUND(('G-2.02,3.11,5.04 Prop Tax'!H78/1000),)</f>
        <v>28</v>
      </c>
      <c r="BD35" s="768">
        <v>0</v>
      </c>
      <c r="BE35" s="768">
        <v>0</v>
      </c>
      <c r="BF35" s="768">
        <v>0</v>
      </c>
      <c r="BG35" s="768">
        <v>0</v>
      </c>
      <c r="BH35" s="768">
        <v>0</v>
      </c>
      <c r="BI35" s="773">
        <f>SUM(AW35:BH35)</f>
        <v>9034</v>
      </c>
      <c r="BJ35" s="774">
        <f>BI35-AW35</f>
        <v>28</v>
      </c>
      <c r="BK35" s="633"/>
      <c r="BL35" s="634"/>
      <c r="BM35" s="634"/>
      <c r="BN35" s="634"/>
      <c r="BO35" s="634"/>
      <c r="BP35" s="634"/>
      <c r="BQ35" s="634"/>
      <c r="BR35" s="634"/>
      <c r="BS35" s="634"/>
    </row>
    <row r="36" spans="1:71" s="740" customFormat="1" ht="13.15" customHeight="1">
      <c r="A36" s="662">
        <v>16</v>
      </c>
      <c r="B36" s="781" t="s">
        <v>46</v>
      </c>
      <c r="C36" s="781"/>
      <c r="E36" s="775">
        <f t="shared" ref="E36:N36" si="76">SUM(E33:E35)</f>
        <v>50359</v>
      </c>
      <c r="F36" s="775">
        <f t="shared" si="76"/>
        <v>0</v>
      </c>
      <c r="G36" s="775">
        <f t="shared" si="76"/>
        <v>0</v>
      </c>
      <c r="H36" s="775">
        <f t="shared" si="76"/>
        <v>0</v>
      </c>
      <c r="I36" s="775">
        <f t="shared" si="76"/>
        <v>-8688</v>
      </c>
      <c r="J36" s="775">
        <f>SUM(J33:J35)</f>
        <v>256</v>
      </c>
      <c r="K36" s="775">
        <f t="shared" si="76"/>
        <v>0</v>
      </c>
      <c r="L36" s="775">
        <f t="shared" si="76"/>
        <v>0</v>
      </c>
      <c r="M36" s="775">
        <f t="shared" si="76"/>
        <v>0</v>
      </c>
      <c r="N36" s="775">
        <f t="shared" si="76"/>
        <v>0</v>
      </c>
      <c r="O36" s="775">
        <f t="shared" ref="O36:P36" si="77">SUM(O33:O35)</f>
        <v>0</v>
      </c>
      <c r="P36" s="775">
        <f t="shared" si="77"/>
        <v>-4</v>
      </c>
      <c r="Q36" s="775">
        <f t="shared" ref="Q36:U36" si="78">SUM(Q33:Q35)</f>
        <v>-11</v>
      </c>
      <c r="R36" s="775">
        <f t="shared" si="78"/>
        <v>1</v>
      </c>
      <c r="S36" s="775">
        <f t="shared" si="78"/>
        <v>-1022</v>
      </c>
      <c r="T36" s="776">
        <f t="shared" si="78"/>
        <v>-5</v>
      </c>
      <c r="U36" s="776">
        <f t="shared" si="78"/>
        <v>0</v>
      </c>
      <c r="V36" s="775">
        <f t="shared" ref="V36" si="79">SUM(V33:V35)</f>
        <v>0</v>
      </c>
      <c r="W36" s="775">
        <f t="shared" ref="W36:X36" si="80">SUM(W33:W35)</f>
        <v>0</v>
      </c>
      <c r="X36" s="776">
        <f t="shared" si="80"/>
        <v>0</v>
      </c>
      <c r="Y36" s="761">
        <f>SUM(Y33:Y35)</f>
        <v>40886</v>
      </c>
      <c r="Z36" s="775">
        <f>SUM(Z33:Z35)</f>
        <v>-3429</v>
      </c>
      <c r="AA36" s="775">
        <f>SUM(AA33:AA35)</f>
        <v>0</v>
      </c>
      <c r="AB36" s="775">
        <f>SUM(AB33:AB35)</f>
        <v>0</v>
      </c>
      <c r="AC36" s="775">
        <f t="shared" ref="AC36" si="81">SUM(AC33:AC35)</f>
        <v>-691</v>
      </c>
      <c r="AD36" s="777">
        <f>SUM(AD33:AD35)</f>
        <v>815.1</v>
      </c>
      <c r="AE36" s="775">
        <f>SUM(AE33:AE35)</f>
        <v>0</v>
      </c>
      <c r="AF36" s="775">
        <f t="shared" ref="AF36:AI36" si="82">SUM(AF33:AF35)</f>
        <v>18.399999999999999</v>
      </c>
      <c r="AG36" s="775">
        <f t="shared" ref="AG36" si="83">SUM(AG33:AG35)</f>
        <v>0</v>
      </c>
      <c r="AH36" s="775">
        <f t="shared" si="82"/>
        <v>0</v>
      </c>
      <c r="AI36" s="775">
        <f t="shared" si="82"/>
        <v>0</v>
      </c>
      <c r="AJ36" s="775">
        <f t="shared" ref="AJ36:AK36" si="84">SUM(AJ33:AJ35)</f>
        <v>889</v>
      </c>
      <c r="AK36" s="775">
        <f t="shared" si="84"/>
        <v>0</v>
      </c>
      <c r="AL36" s="775">
        <f>SUM(AL33:AL35)</f>
        <v>0</v>
      </c>
      <c r="AM36" s="775">
        <f t="shared" ref="AM36:AO36" si="85">SUM(AM33:AM35)</f>
        <v>580.36699999999996</v>
      </c>
      <c r="AN36" s="775">
        <f t="shared" si="85"/>
        <v>633</v>
      </c>
      <c r="AO36" s="775">
        <f t="shared" si="85"/>
        <v>-433.7</v>
      </c>
      <c r="AP36" s="775">
        <f t="shared" ref="AP36:AQ36" si="86">SUM(AP33:AP35)</f>
        <v>963</v>
      </c>
      <c r="AQ36" s="775">
        <f t="shared" si="86"/>
        <v>0</v>
      </c>
      <c r="AR36" s="775">
        <f t="shared" ref="AR36:AS36" si="87">SUM(AR33:AR35)</f>
        <v>0</v>
      </c>
      <c r="AS36" s="775">
        <f t="shared" si="87"/>
        <v>0</v>
      </c>
      <c r="AT36" s="778">
        <f>SUM(AT33:AT35)</f>
        <v>903</v>
      </c>
      <c r="AU36" s="778">
        <f>SUM(AU33:AU35)</f>
        <v>-190.31200000000001</v>
      </c>
      <c r="AV36" s="778">
        <f t="shared" ref="AV36" si="88">SUM(AV33:AV35)</f>
        <v>0</v>
      </c>
      <c r="AW36" s="764">
        <f t="shared" ref="AW36" si="89">SUM(AW33:AW35)</f>
        <v>40943.854999999996</v>
      </c>
      <c r="AX36" s="765"/>
      <c r="AY36" s="775">
        <f>SUM(AY33:AY35)</f>
        <v>0</v>
      </c>
      <c r="AZ36" s="775">
        <f t="shared" ref="AZ36" si="90">SUM(AZ33:AZ35)</f>
        <v>-105</v>
      </c>
      <c r="BA36" s="777">
        <f>SUM(BA33:BA35)</f>
        <v>345.2</v>
      </c>
      <c r="BB36" s="775">
        <f t="shared" ref="BB36" si="91">SUM(BB33:BB35)</f>
        <v>64.599999999999994</v>
      </c>
      <c r="BC36" s="775">
        <f>SUM(BC33:BC35)</f>
        <v>28</v>
      </c>
      <c r="BD36" s="775">
        <f>SUM(BD33:BD35)</f>
        <v>0</v>
      </c>
      <c r="BE36" s="775">
        <f t="shared" ref="BE36" si="92">SUM(BE33:BE35)</f>
        <v>232.14699999999999</v>
      </c>
      <c r="BF36" s="778">
        <f>SUM(BF33:BF35)</f>
        <v>823</v>
      </c>
      <c r="BG36" s="778">
        <f>SUM(BG33:BG35)</f>
        <v>-70.043999999999997</v>
      </c>
      <c r="BH36" s="778">
        <f>SUM(BH33:BH35)</f>
        <v>0</v>
      </c>
      <c r="BI36" s="779">
        <f>SUM(BI33:BI35)</f>
        <v>42261.758000000002</v>
      </c>
      <c r="BJ36" s="775">
        <f>SUM(BJ33:BJ35)</f>
        <v>1317.9030000000021</v>
      </c>
      <c r="BK36" s="633"/>
      <c r="BL36" s="634"/>
      <c r="BM36" s="634"/>
      <c r="BN36" s="634"/>
      <c r="BO36" s="634"/>
      <c r="BP36" s="634"/>
      <c r="BQ36" s="634"/>
      <c r="BR36" s="634"/>
      <c r="BS36" s="634"/>
    </row>
    <row r="37" spans="1:71" s="740" customFormat="1" ht="9.75" customHeight="1">
      <c r="A37" s="662"/>
      <c r="C37" s="781"/>
      <c r="D37" s="781"/>
      <c r="E37" s="775"/>
      <c r="F37" s="775"/>
      <c r="G37" s="775"/>
      <c r="H37" s="775"/>
      <c r="I37" s="775"/>
      <c r="J37" s="775"/>
      <c r="K37" s="775"/>
      <c r="L37" s="775"/>
      <c r="M37" s="775"/>
      <c r="N37" s="775"/>
      <c r="O37" s="775"/>
      <c r="P37" s="775"/>
      <c r="Q37" s="775"/>
      <c r="R37" s="775"/>
      <c r="S37" s="775"/>
      <c r="T37" s="776"/>
      <c r="U37" s="776"/>
      <c r="V37" s="775"/>
      <c r="W37" s="775"/>
      <c r="X37" s="776"/>
      <c r="Y37" s="761"/>
      <c r="Z37" s="775"/>
      <c r="AA37" s="775"/>
      <c r="AB37" s="775"/>
      <c r="AC37" s="775"/>
      <c r="AD37" s="777"/>
      <c r="AE37" s="775"/>
      <c r="AF37" s="775"/>
      <c r="AG37" s="775"/>
      <c r="AH37" s="775"/>
      <c r="AI37" s="775"/>
      <c r="AJ37" s="775"/>
      <c r="AK37" s="775"/>
      <c r="AL37" s="775"/>
      <c r="AM37" s="775"/>
      <c r="AN37" s="775"/>
      <c r="AO37" s="775"/>
      <c r="AP37" s="775"/>
      <c r="AQ37" s="775"/>
      <c r="AR37" s="775"/>
      <c r="AS37" s="775"/>
      <c r="AT37" s="778"/>
      <c r="AU37" s="778"/>
      <c r="AV37" s="778"/>
      <c r="AW37" s="764"/>
      <c r="AX37" s="765"/>
      <c r="AY37" s="775"/>
      <c r="AZ37" s="775"/>
      <c r="BA37" s="777"/>
      <c r="BB37" s="775"/>
      <c r="BC37" s="775"/>
      <c r="BD37" s="775"/>
      <c r="BE37" s="775"/>
      <c r="BF37" s="778"/>
      <c r="BG37" s="778"/>
      <c r="BH37" s="778"/>
      <c r="BI37" s="779"/>
      <c r="BJ37" s="775"/>
      <c r="BK37" s="633"/>
      <c r="BL37" s="634"/>
      <c r="BM37" s="634"/>
      <c r="BN37" s="634"/>
      <c r="BO37" s="634"/>
      <c r="BP37" s="634"/>
      <c r="BQ37" s="634"/>
      <c r="BR37" s="634"/>
      <c r="BS37" s="634"/>
    </row>
    <row r="38" spans="1:71" s="740" customFormat="1" ht="13.15" customHeight="1">
      <c r="A38" s="662">
        <v>17</v>
      </c>
      <c r="B38" s="740" t="s">
        <v>47</v>
      </c>
      <c r="C38" s="781"/>
      <c r="D38" s="781"/>
      <c r="E38" s="775">
        <f>'ROO INPUT 1.00'!$F39</f>
        <v>3993</v>
      </c>
      <c r="F38" s="763">
        <v>0</v>
      </c>
      <c r="G38" s="763">
        <f>ROUND(('G-1.02 Def DR-CR'!I13/1000),)</f>
        <v>0</v>
      </c>
      <c r="H38" s="763">
        <v>0</v>
      </c>
      <c r="I38" s="763">
        <v>0</v>
      </c>
      <c r="J38" s="763">
        <v>0</v>
      </c>
      <c r="K38" s="763">
        <f>ROUND(('G-2.03 Uncoll'!E30/1000),)</f>
        <v>927</v>
      </c>
      <c r="L38" s="763">
        <v>0</v>
      </c>
      <c r="M38" s="763">
        <v>0</v>
      </c>
      <c r="N38" s="763">
        <v>0</v>
      </c>
      <c r="O38" s="763">
        <v>0</v>
      </c>
      <c r="P38" s="763">
        <v>0</v>
      </c>
      <c r="Q38" s="763">
        <v>0</v>
      </c>
      <c r="R38" s="763">
        <f>ROUND((R$14+R$15)*CF!$E$15,0)</f>
        <v>0</v>
      </c>
      <c r="S38" s="749">
        <f>ROUND((S$14+S$15)*CF!$E$15,0)</f>
        <v>-132</v>
      </c>
      <c r="T38" s="760">
        <v>0</v>
      </c>
      <c r="U38" s="776">
        <v>0</v>
      </c>
      <c r="V38" s="749">
        <v>0</v>
      </c>
      <c r="W38" s="775">
        <v>0</v>
      </c>
      <c r="X38" s="776">
        <v>0</v>
      </c>
      <c r="Y38" s="761">
        <f>SUM(E38:X38)</f>
        <v>4788</v>
      </c>
      <c r="Z38" s="749">
        <f>ROUND((Z$14+Z$15)*CF!$E$15,0)</f>
        <v>-443</v>
      </c>
      <c r="AA38" s="763">
        <v>0</v>
      </c>
      <c r="AB38" s="749">
        <v>0</v>
      </c>
      <c r="AC38" s="749">
        <v>0</v>
      </c>
      <c r="AD38" s="777">
        <f>ROUND('G-3.05,5.02 PF NE Labor'!AH73/1000,1)</f>
        <v>273.7</v>
      </c>
      <c r="AE38" s="775">
        <v>0</v>
      </c>
      <c r="AF38" s="775">
        <f>ROUND('G-3.07,5.03 Benefits'!O55/1000,1)</f>
        <v>6.3</v>
      </c>
      <c r="AG38" s="775">
        <v>0</v>
      </c>
      <c r="AH38" s="775">
        <v>0</v>
      </c>
      <c r="AI38" s="749">
        <v>0</v>
      </c>
      <c r="AJ38" s="749">
        <v>0</v>
      </c>
      <c r="AK38" s="763">
        <v>0</v>
      </c>
      <c r="AL38" s="749">
        <v>0</v>
      </c>
      <c r="AM38" s="749">
        <f>ROUND('G-3.14,5.06 PF Misc O&amp;M'!K91/1000,3)</f>
        <v>183.53399999999999</v>
      </c>
      <c r="AN38" s="775">
        <v>0</v>
      </c>
      <c r="AO38" s="749">
        <v>0</v>
      </c>
      <c r="AP38" s="749">
        <v>0</v>
      </c>
      <c r="AQ38" s="749">
        <v>0</v>
      </c>
      <c r="AR38" s="749">
        <v>0</v>
      </c>
      <c r="AS38" s="749">
        <v>0</v>
      </c>
      <c r="AT38" s="763">
        <v>0</v>
      </c>
      <c r="AU38" s="763">
        <v>0</v>
      </c>
      <c r="AV38" s="763">
        <v>0</v>
      </c>
      <c r="AW38" s="764">
        <f>SUM(Y38:AV38)</f>
        <v>4808.5339999999997</v>
      </c>
      <c r="AX38" s="765"/>
      <c r="AY38" s="749">
        <v>0</v>
      </c>
      <c r="AZ38" s="749">
        <v>0</v>
      </c>
      <c r="BA38" s="777">
        <f>ROUND('G-3.05,5.02 PF NE Labor'!AI73/1000,1)</f>
        <v>105.8</v>
      </c>
      <c r="BB38" s="775">
        <f>ROUND('G-3.07,5.03 Benefits'!P55/1000,)</f>
        <v>22</v>
      </c>
      <c r="BC38" s="749">
        <v>0</v>
      </c>
      <c r="BD38" s="763">
        <v>0</v>
      </c>
      <c r="BE38" s="749">
        <f>ROUND('G-3.14,5.06 PF Misc O&amp;M'!M91/1000,3)</f>
        <v>73.414000000000001</v>
      </c>
      <c r="BF38" s="763">
        <v>0</v>
      </c>
      <c r="BG38" s="763">
        <v>0</v>
      </c>
      <c r="BH38" s="763">
        <v>0</v>
      </c>
      <c r="BI38" s="766">
        <f>SUM(AW38:BH38)</f>
        <v>5009.7479999999996</v>
      </c>
      <c r="BJ38" s="540">
        <f>BI38-AW38</f>
        <v>201.21399999999994</v>
      </c>
      <c r="BK38" s="633"/>
      <c r="BL38" s="634"/>
      <c r="BM38" s="634"/>
      <c r="BN38" s="634"/>
      <c r="BO38" s="634"/>
      <c r="BP38" s="634"/>
      <c r="BQ38" s="634"/>
      <c r="BR38" s="634"/>
      <c r="BS38" s="634"/>
    </row>
    <row r="39" spans="1:71" s="740" customFormat="1">
      <c r="A39" s="662">
        <v>18</v>
      </c>
      <c r="B39" s="740" t="s">
        <v>48</v>
      </c>
      <c r="C39" s="781"/>
      <c r="D39" s="781"/>
      <c r="E39" s="775">
        <f>'ROO INPUT 1.00'!$F40</f>
        <v>14067</v>
      </c>
      <c r="F39" s="749">
        <v>0</v>
      </c>
      <c r="G39" s="749">
        <v>0</v>
      </c>
      <c r="H39" s="749">
        <v>0</v>
      </c>
      <c r="I39" s="749">
        <v>0</v>
      </c>
      <c r="J39" s="749">
        <v>0</v>
      </c>
      <c r="K39" s="749">
        <v>0</v>
      </c>
      <c r="L39" s="749">
        <v>0</v>
      </c>
      <c r="M39" s="749">
        <v>0</v>
      </c>
      <c r="N39" s="749">
        <v>0</v>
      </c>
      <c r="O39" s="749">
        <v>0</v>
      </c>
      <c r="P39" s="749">
        <v>0</v>
      </c>
      <c r="Q39" s="749">
        <v>0</v>
      </c>
      <c r="R39" s="749">
        <v>0</v>
      </c>
      <c r="S39" s="749">
        <f>'G-2.11 EAS'!Q35</f>
        <v>-13330</v>
      </c>
      <c r="T39" s="760">
        <f>ROUND(('G-2.12 Misc'!S13/1000),)</f>
        <v>-1</v>
      </c>
      <c r="U39" s="760">
        <v>0</v>
      </c>
      <c r="V39" s="749">
        <v>0</v>
      </c>
      <c r="W39" s="749">
        <v>0</v>
      </c>
      <c r="X39" s="760">
        <v>0</v>
      </c>
      <c r="Y39" s="761">
        <f>SUM(E39:X39)</f>
        <v>736</v>
      </c>
      <c r="Z39" s="749">
        <v>0</v>
      </c>
      <c r="AA39" s="749">
        <v>0</v>
      </c>
      <c r="AB39" s="749">
        <v>0</v>
      </c>
      <c r="AC39" s="749">
        <v>0</v>
      </c>
      <c r="AD39" s="762">
        <f>ROUND('G-3.05,5.02 PF NE Labor'!AH74/1000,1)</f>
        <v>19.7</v>
      </c>
      <c r="AE39" s="749">
        <v>0</v>
      </c>
      <c r="AF39" s="749">
        <f>ROUND('G-3.07,5.03 Benefits'!O56/1000,1)</f>
        <v>0.4</v>
      </c>
      <c r="AG39" s="749">
        <v>0.4</v>
      </c>
      <c r="AH39" s="749">
        <f>ROUND('G-3.09 PF LIRAP'!M22/1000,)</f>
        <v>78</v>
      </c>
      <c r="AI39" s="749">
        <v>0</v>
      </c>
      <c r="AJ39" s="749">
        <v>0</v>
      </c>
      <c r="AK39" s="749">
        <v>0</v>
      </c>
      <c r="AL39" s="749">
        <v>0</v>
      </c>
      <c r="AM39" s="749">
        <f>ROUND('G-3.14,5.06 PF Misc O&amp;M'!K98/1000,3)</f>
        <v>64.974999999999994</v>
      </c>
      <c r="AN39" s="749">
        <v>0</v>
      </c>
      <c r="AO39" s="749">
        <v>0</v>
      </c>
      <c r="AP39" s="749">
        <v>0</v>
      </c>
      <c r="AQ39" s="749">
        <v>0</v>
      </c>
      <c r="AR39" s="749">
        <v>0</v>
      </c>
      <c r="AS39" s="749">
        <v>0</v>
      </c>
      <c r="AT39" s="763">
        <v>0</v>
      </c>
      <c r="AU39" s="763">
        <v>0</v>
      </c>
      <c r="AV39" s="763">
        <v>0</v>
      </c>
      <c r="AW39" s="764">
        <f>SUM(Y39:AV39)</f>
        <v>899.47500000000002</v>
      </c>
      <c r="AX39" s="765"/>
      <c r="AY39" s="749">
        <v>0</v>
      </c>
      <c r="AZ39" s="749">
        <v>0</v>
      </c>
      <c r="BA39" s="762">
        <f>ROUND('G-3.05,5.02 PF NE Labor'!AI74/1000,1)</f>
        <v>7.5</v>
      </c>
      <c r="BB39" s="749">
        <f>ROUND('G-3.07,5.03 Benefits'!P56/1000,1)</f>
        <v>1.5</v>
      </c>
      <c r="BC39" s="749">
        <v>0</v>
      </c>
      <c r="BD39" s="749">
        <v>0</v>
      </c>
      <c r="BE39" s="749">
        <f>ROUND('G-3.14,5.06 PF Misc O&amp;M'!M98/1000,3)</f>
        <v>25.99</v>
      </c>
      <c r="BF39" s="763">
        <v>0</v>
      </c>
      <c r="BG39" s="763">
        <v>0</v>
      </c>
      <c r="BH39" s="763">
        <v>0</v>
      </c>
      <c r="BI39" s="766">
        <f>SUM(AW39:BH39)</f>
        <v>934.46500000000003</v>
      </c>
      <c r="BJ39" s="540">
        <f>BI39-AW39</f>
        <v>34.990000000000009</v>
      </c>
      <c r="BK39" s="633"/>
      <c r="BL39" s="634"/>
      <c r="BM39" s="634"/>
      <c r="BN39" s="634"/>
      <c r="BO39" s="634"/>
      <c r="BP39" s="634"/>
      <c r="BQ39" s="634"/>
      <c r="BR39" s="634"/>
      <c r="BS39" s="634"/>
    </row>
    <row r="40" spans="1:71" s="740" customFormat="1">
      <c r="A40" s="662">
        <v>19</v>
      </c>
      <c r="B40" s="740" t="s">
        <v>49</v>
      </c>
      <c r="C40" s="781"/>
      <c r="D40" s="781"/>
      <c r="E40" s="775">
        <f>'ROO INPUT 1.00'!$F41</f>
        <v>0</v>
      </c>
      <c r="F40" s="749">
        <v>0</v>
      </c>
      <c r="G40" s="749">
        <v>0</v>
      </c>
      <c r="H40" s="749">
        <v>0</v>
      </c>
      <c r="I40" s="749">
        <v>0</v>
      </c>
      <c r="J40" s="749">
        <v>0</v>
      </c>
      <c r="K40" s="749">
        <v>0</v>
      </c>
      <c r="L40" s="749">
        <v>0</v>
      </c>
      <c r="M40" s="749">
        <v>0</v>
      </c>
      <c r="N40" s="749">
        <v>0</v>
      </c>
      <c r="O40" s="749">
        <v>0</v>
      </c>
      <c r="P40" s="749">
        <v>0</v>
      </c>
      <c r="Q40" s="749">
        <v>0</v>
      </c>
      <c r="R40" s="749">
        <v>0</v>
      </c>
      <c r="S40" s="749">
        <v>0</v>
      </c>
      <c r="T40" s="760">
        <v>0</v>
      </c>
      <c r="U40" s="760">
        <v>0</v>
      </c>
      <c r="V40" s="749">
        <v>0</v>
      </c>
      <c r="W40" s="749">
        <v>0</v>
      </c>
      <c r="X40" s="760">
        <v>0</v>
      </c>
      <c r="Y40" s="761">
        <f>SUM(E40:X40)</f>
        <v>0</v>
      </c>
      <c r="Z40" s="749">
        <v>0</v>
      </c>
      <c r="AA40" s="749">
        <v>0</v>
      </c>
      <c r="AB40" s="749">
        <v>0</v>
      </c>
      <c r="AC40" s="749">
        <v>0</v>
      </c>
      <c r="AD40" s="762">
        <v>0</v>
      </c>
      <c r="AE40" s="749">
        <v>0</v>
      </c>
      <c r="AF40" s="749">
        <v>0</v>
      </c>
      <c r="AG40" s="749">
        <v>0</v>
      </c>
      <c r="AH40" s="749">
        <v>0</v>
      </c>
      <c r="AI40" s="749">
        <v>0</v>
      </c>
      <c r="AJ40" s="749">
        <v>0</v>
      </c>
      <c r="AK40" s="749">
        <v>0</v>
      </c>
      <c r="AL40" s="749">
        <v>0</v>
      </c>
      <c r="AM40" s="749">
        <v>0</v>
      </c>
      <c r="AN40" s="749">
        <v>0</v>
      </c>
      <c r="AO40" s="749">
        <v>0</v>
      </c>
      <c r="AP40" s="749">
        <v>0</v>
      </c>
      <c r="AQ40" s="749">
        <v>0</v>
      </c>
      <c r="AR40" s="749">
        <v>0</v>
      </c>
      <c r="AS40" s="749">
        <v>0</v>
      </c>
      <c r="AT40" s="763">
        <v>0</v>
      </c>
      <c r="AU40" s="763">
        <v>0</v>
      </c>
      <c r="AV40" s="763">
        <v>0</v>
      </c>
      <c r="AW40" s="764">
        <f>SUM(Y40:AV40)</f>
        <v>0</v>
      </c>
      <c r="AX40" s="765"/>
      <c r="AY40" s="749">
        <v>0</v>
      </c>
      <c r="AZ40" s="749">
        <v>0</v>
      </c>
      <c r="BA40" s="762">
        <v>0</v>
      </c>
      <c r="BB40" s="749">
        <v>0</v>
      </c>
      <c r="BC40" s="749">
        <v>0</v>
      </c>
      <c r="BD40" s="749">
        <v>0</v>
      </c>
      <c r="BE40" s="749">
        <v>0</v>
      </c>
      <c r="BF40" s="763">
        <v>0</v>
      </c>
      <c r="BG40" s="763">
        <v>0</v>
      </c>
      <c r="BH40" s="763">
        <v>0</v>
      </c>
      <c r="BI40" s="766">
        <f>SUM(AW40:BH40)</f>
        <v>0</v>
      </c>
      <c r="BJ40" s="540">
        <f>BI40-AW40</f>
        <v>0</v>
      </c>
      <c r="BK40" s="633"/>
      <c r="BL40" s="634"/>
      <c r="BM40" s="634"/>
      <c r="BN40" s="634"/>
      <c r="BO40" s="634"/>
      <c r="BP40" s="634"/>
      <c r="BQ40" s="634"/>
      <c r="BR40" s="634"/>
      <c r="BS40" s="634"/>
    </row>
    <row r="41" spans="1:71" s="740" customFormat="1" ht="7.5" customHeight="1">
      <c r="A41" s="662"/>
      <c r="C41" s="781"/>
      <c r="D41" s="781"/>
      <c r="E41" s="775"/>
      <c r="F41" s="749"/>
      <c r="G41" s="749"/>
      <c r="H41" s="749"/>
      <c r="I41" s="749"/>
      <c r="J41" s="749"/>
      <c r="K41" s="749"/>
      <c r="L41" s="749"/>
      <c r="M41" s="749"/>
      <c r="N41" s="749"/>
      <c r="O41" s="749"/>
      <c r="P41" s="749"/>
      <c r="Q41" s="749"/>
      <c r="R41" s="749"/>
      <c r="S41" s="749"/>
      <c r="T41" s="760"/>
      <c r="U41" s="760"/>
      <c r="V41" s="749"/>
      <c r="W41" s="749"/>
      <c r="X41" s="760"/>
      <c r="Y41" s="761"/>
      <c r="Z41" s="749"/>
      <c r="AA41" s="749"/>
      <c r="AB41" s="749"/>
      <c r="AC41" s="749"/>
      <c r="AD41" s="762"/>
      <c r="AE41" s="749"/>
      <c r="AF41" s="749"/>
      <c r="AG41" s="749"/>
      <c r="AH41" s="749"/>
      <c r="AI41" s="749"/>
      <c r="AJ41" s="749"/>
      <c r="AK41" s="749"/>
      <c r="AL41" s="749"/>
      <c r="AM41" s="749"/>
      <c r="AN41" s="749"/>
      <c r="AO41" s="749"/>
      <c r="AP41" s="749"/>
      <c r="AQ41" s="749"/>
      <c r="AR41" s="749"/>
      <c r="AS41" s="749"/>
      <c r="AT41" s="763"/>
      <c r="AU41" s="763"/>
      <c r="AV41" s="763"/>
      <c r="AW41" s="764"/>
      <c r="AX41" s="765"/>
      <c r="AY41" s="749"/>
      <c r="AZ41" s="749"/>
      <c r="BA41" s="762"/>
      <c r="BB41" s="749"/>
      <c r="BC41" s="749"/>
      <c r="BD41" s="749"/>
      <c r="BE41" s="749"/>
      <c r="BF41" s="763"/>
      <c r="BG41" s="763"/>
      <c r="BH41" s="763"/>
      <c r="BI41" s="780"/>
      <c r="BJ41" s="749"/>
      <c r="BK41" s="633"/>
      <c r="BL41" s="634"/>
      <c r="BM41" s="634"/>
      <c r="BN41" s="634"/>
      <c r="BO41" s="634"/>
      <c r="BP41" s="634"/>
      <c r="BQ41" s="634"/>
      <c r="BR41" s="634"/>
      <c r="BS41" s="634"/>
    </row>
    <row r="42" spans="1:71" s="740" customFormat="1">
      <c r="A42" s="662"/>
      <c r="B42" s="740" t="s">
        <v>50</v>
      </c>
      <c r="C42" s="781"/>
      <c r="D42" s="781"/>
      <c r="E42" s="775"/>
      <c r="F42" s="749"/>
      <c r="G42" s="749"/>
      <c r="H42" s="749"/>
      <c r="I42" s="749"/>
      <c r="J42" s="749"/>
      <c r="K42" s="749"/>
      <c r="L42" s="749"/>
      <c r="M42" s="749"/>
      <c r="N42" s="749"/>
      <c r="O42" s="749"/>
      <c r="P42" s="749"/>
      <c r="Q42" s="749"/>
      <c r="R42" s="749"/>
      <c r="S42" s="749"/>
      <c r="T42" s="760"/>
      <c r="U42" s="760"/>
      <c r="V42" s="749"/>
      <c r="W42" s="749"/>
      <c r="X42" s="760"/>
      <c r="Y42" s="761"/>
      <c r="Z42" s="749"/>
      <c r="AA42" s="749"/>
      <c r="AB42" s="749"/>
      <c r="AC42" s="749"/>
      <c r="AD42" s="762"/>
      <c r="AE42" s="749"/>
      <c r="AF42" s="749"/>
      <c r="AG42" s="749"/>
      <c r="AH42" s="749"/>
      <c r="AI42" s="749"/>
      <c r="AJ42" s="749"/>
      <c r="AK42" s="749"/>
      <c r="AL42" s="749"/>
      <c r="AM42" s="749"/>
      <c r="AN42" s="749"/>
      <c r="AO42" s="749"/>
      <c r="AP42" s="749"/>
      <c r="AQ42" s="749"/>
      <c r="AR42" s="749"/>
      <c r="AS42" s="749"/>
      <c r="AT42" s="763"/>
      <c r="AU42" s="763"/>
      <c r="AV42" s="763"/>
      <c r="AW42" s="764"/>
      <c r="AX42" s="765"/>
      <c r="AY42" s="749"/>
      <c r="AZ42" s="749"/>
      <c r="BA42" s="762"/>
      <c r="BB42" s="749"/>
      <c r="BC42" s="749"/>
      <c r="BD42" s="749"/>
      <c r="BE42" s="749"/>
      <c r="BF42" s="763"/>
      <c r="BG42" s="763"/>
      <c r="BH42" s="763"/>
      <c r="BI42" s="780"/>
      <c r="BJ42" s="749"/>
      <c r="BK42" s="633"/>
      <c r="BL42" s="634"/>
      <c r="BM42" s="634"/>
      <c r="BN42" s="634"/>
      <c r="BO42" s="634"/>
      <c r="BP42" s="634"/>
      <c r="BQ42" s="634"/>
      <c r="BR42" s="634"/>
      <c r="BS42" s="634"/>
    </row>
    <row r="43" spans="1:71" s="740" customFormat="1">
      <c r="A43" s="662">
        <v>20</v>
      </c>
      <c r="C43" s="781" t="s">
        <v>42</v>
      </c>
      <c r="D43" s="781"/>
      <c r="E43" s="775">
        <f>'ROO INPUT 1.00'!$F44</f>
        <v>24398</v>
      </c>
      <c r="F43" s="749">
        <v>0</v>
      </c>
      <c r="G43" s="749">
        <v>0</v>
      </c>
      <c r="H43" s="749">
        <v>0</v>
      </c>
      <c r="I43" s="749">
        <v>0</v>
      </c>
      <c r="J43" s="749">
        <v>0</v>
      </c>
      <c r="K43" s="749">
        <v>0</v>
      </c>
      <c r="L43" s="749">
        <f>ROUND(('G-2.04 Reg Exp'!C20/1000),)</f>
        <v>398</v>
      </c>
      <c r="M43" s="749">
        <f>ROUND(('G-2.05 I&amp;D'!D17/1000),)</f>
        <v>-18</v>
      </c>
      <c r="N43" s="749">
        <v>0</v>
      </c>
      <c r="O43" s="749">
        <f>ROUND(('G-2.07 OSC'!H18/1000),)</f>
        <v>-10</v>
      </c>
      <c r="P43" s="749">
        <v>0</v>
      </c>
      <c r="Q43" s="749">
        <v>0</v>
      </c>
      <c r="R43" s="749">
        <f>ROUND((R$14+R$15)*CF!$E$17,0)</f>
        <v>0</v>
      </c>
      <c r="S43" s="749">
        <f>ROUND((S$14+S$15)*CF!$E$17,0)</f>
        <v>-107</v>
      </c>
      <c r="T43" s="760">
        <f>ROUND(('G-2.12 Misc'!S3/1000),1)</f>
        <v>-409.2</v>
      </c>
      <c r="U43" s="760">
        <f>ROUND(('G-2.13 Incentives'!K27/1000),3)</f>
        <v>250.28299999999999</v>
      </c>
      <c r="V43" s="749">
        <v>0</v>
      </c>
      <c r="W43" s="749">
        <v>0</v>
      </c>
      <c r="X43" s="760">
        <v>0</v>
      </c>
      <c r="Y43" s="761">
        <f>SUM(E43:X43)</f>
        <v>24502.082999999999</v>
      </c>
      <c r="Z43" s="749">
        <f>ROUND((Z$14+Z$15)*CF!$E$17,0)</f>
        <v>-358</v>
      </c>
      <c r="AA43" s="749">
        <v>0</v>
      </c>
      <c r="AB43" s="749">
        <v>0</v>
      </c>
      <c r="AC43" s="749">
        <v>0</v>
      </c>
      <c r="AD43" s="762">
        <f>ROUND('G-3.05,5.02 PF NE Labor'!AH75/1000,)</f>
        <v>648</v>
      </c>
      <c r="AE43" s="540">
        <f>ROUND('G-3.06 PF Exec Labor'!F55/1000,)+0.005</f>
        <v>19.004999999999999</v>
      </c>
      <c r="AF43" s="749">
        <f>ROUND('G-3.07,5.03 Benefits'!O57/1000,)</f>
        <v>15</v>
      </c>
      <c r="AG43" s="749">
        <f>ROUND('G-3.08 PF Incentives'!K27/1000,1)</f>
        <v>368.4</v>
      </c>
      <c r="AH43" s="749">
        <v>0</v>
      </c>
      <c r="AI43" s="749">
        <f>ROUND('G-3.10 PF CCA'!N17/1000,3)</f>
        <v>112.90900000000001</v>
      </c>
      <c r="AJ43" s="749">
        <v>0</v>
      </c>
      <c r="AK43" s="749">
        <f>ROUND('G-3.12 PF Ins'!J21/1000,)</f>
        <v>598</v>
      </c>
      <c r="AL43" s="540">
        <f>ROUND('G-3.13 PF IS-IT'!S20/1000,1)</f>
        <v>20.6</v>
      </c>
      <c r="AM43" s="540">
        <f>ROUND('G-3.14,5.06 PF Misc O&amp;M'!K121/1000,3)</f>
        <v>556.36900000000003</v>
      </c>
      <c r="AN43" s="749">
        <v>0</v>
      </c>
      <c r="AO43" s="749">
        <v>0</v>
      </c>
      <c r="AP43" s="749">
        <v>0</v>
      </c>
      <c r="AQ43" s="749">
        <v>0</v>
      </c>
      <c r="AR43" s="749">
        <f>ROUND('G-3.19,5.05 PF Nuc-ETRM'!K18,)</f>
        <v>178</v>
      </c>
      <c r="AS43" s="749">
        <f>ROUND('G-3.20 PF BOD'!G17/1000,)</f>
        <v>150</v>
      </c>
      <c r="AT43" s="763">
        <v>0</v>
      </c>
      <c r="AU43" s="763">
        <f>-ROUND('G-4.02,5.08 PV Offsets'!AP138/1000,3)</f>
        <v>-88.394999999999996</v>
      </c>
      <c r="AV43" s="763">
        <v>0</v>
      </c>
      <c r="AW43" s="764">
        <f>SUM(Y43:AV43)</f>
        <v>26721.970999999998</v>
      </c>
      <c r="AX43" s="765"/>
      <c r="AY43" s="749">
        <v>0</v>
      </c>
      <c r="AZ43" s="749">
        <v>0</v>
      </c>
      <c r="BA43" s="762">
        <f>ROUND('G-3.05,5.02 PF NE Labor'!AI75/1000,1)</f>
        <v>250.4</v>
      </c>
      <c r="BB43" s="749">
        <f>ROUND('G-3.07,5.03 Benefits'!P57/1000,1)</f>
        <v>52.8</v>
      </c>
      <c r="BC43" s="749">
        <v>0</v>
      </c>
      <c r="BD43" s="749">
        <f>ROUND('G-3.19,5.05 PF Nuc-ETRM'!M18,)</f>
        <v>-65</v>
      </c>
      <c r="BE43" s="749">
        <f>ROUND('G-3.14,5.06 PF Misc O&amp;M'!M121/1000,3)</f>
        <v>222.548</v>
      </c>
      <c r="BF43" s="763">
        <v>0</v>
      </c>
      <c r="BG43" s="763">
        <f>-ROUND('G-4.02,5.08 PV Offsets'!AS138/1000,3)</f>
        <v>-130.83500000000001</v>
      </c>
      <c r="BH43" s="763">
        <v>0</v>
      </c>
      <c r="BI43" s="766">
        <f>SUM(AW43:BH43)</f>
        <v>27051.883999999998</v>
      </c>
      <c r="BJ43" s="540">
        <f>BI43-AW43</f>
        <v>329.91300000000047</v>
      </c>
      <c r="BK43" s="633"/>
      <c r="BL43" s="634"/>
      <c r="BM43" s="634"/>
      <c r="BN43" s="634"/>
      <c r="BO43" s="634"/>
      <c r="BP43" s="634"/>
      <c r="BQ43" s="634"/>
      <c r="BR43" s="634"/>
      <c r="BS43" s="634"/>
    </row>
    <row r="44" spans="1:71" s="740" customFormat="1">
      <c r="A44" s="662">
        <v>21</v>
      </c>
      <c r="C44" s="781" t="s">
        <v>188</v>
      </c>
      <c r="D44" s="781"/>
      <c r="E44" s="775">
        <f>'ROO INPUT 1.00'!$F45</f>
        <v>12802</v>
      </c>
      <c r="F44" s="749">
        <v>0</v>
      </c>
      <c r="G44" s="749">
        <v>0</v>
      </c>
      <c r="H44" s="749">
        <v>0</v>
      </c>
      <c r="I44" s="749">
        <v>0</v>
      </c>
      <c r="J44" s="749">
        <v>0</v>
      </c>
      <c r="K44" s="749">
        <v>0</v>
      </c>
      <c r="L44" s="749">
        <v>0</v>
      </c>
      <c r="M44" s="749">
        <v>0</v>
      </c>
      <c r="N44" s="749">
        <v>0</v>
      </c>
      <c r="O44" s="749">
        <v>0</v>
      </c>
      <c r="P44" s="749">
        <v>0</v>
      </c>
      <c r="Q44" s="749">
        <v>0</v>
      </c>
      <c r="R44" s="749">
        <v>0</v>
      </c>
      <c r="S44" s="749">
        <v>0</v>
      </c>
      <c r="T44" s="760">
        <v>0</v>
      </c>
      <c r="U44" s="760">
        <v>0</v>
      </c>
      <c r="V44" s="749">
        <v>0</v>
      </c>
      <c r="W44" s="749">
        <v>0</v>
      </c>
      <c r="X44" s="760">
        <v>0</v>
      </c>
      <c r="Y44" s="761">
        <f>SUM(E44:X44)</f>
        <v>12802</v>
      </c>
      <c r="Z44" s="749">
        <v>0</v>
      </c>
      <c r="AA44" s="749">
        <v>0</v>
      </c>
      <c r="AB44" s="749">
        <v>0</v>
      </c>
      <c r="AC44" s="749">
        <v>0</v>
      </c>
      <c r="AD44" s="762">
        <v>0</v>
      </c>
      <c r="AE44" s="749">
        <v>0</v>
      </c>
      <c r="AF44" s="749">
        <v>0</v>
      </c>
      <c r="AG44" s="749">
        <v>0</v>
      </c>
      <c r="AH44" s="749">
        <v>0</v>
      </c>
      <c r="AI44" s="749">
        <v>0</v>
      </c>
      <c r="AJ44" s="749">
        <v>0</v>
      </c>
      <c r="AK44" s="749">
        <v>0</v>
      </c>
      <c r="AL44" s="749">
        <v>0</v>
      </c>
      <c r="AM44" s="749">
        <v>0</v>
      </c>
      <c r="AN44" s="749">
        <f>ROUND('G-2.15,3.15-3.17,4.01,5.07 CAP'!J11,)+ROUND('G-2.15,3.15-3.17,4.01,5.07 CAP'!J14,)</f>
        <v>625</v>
      </c>
      <c r="AO44" s="749">
        <f>ROUND('G-2.15,3.15-3.17,4.01,5.07 CAP'!Q11,)+ROUND('G-2.15,3.15-3.17,4.01,5.07 CAP'!Q14,1)</f>
        <v>-463.7</v>
      </c>
      <c r="AP44" s="749">
        <f>ROUND('G-2.15,3.15-3.17,4.01,5.07 CAP'!V11,)+ROUND('G-2.15,3.15-3.17,4.01,5.07 CAP'!V14,)</f>
        <v>967</v>
      </c>
      <c r="AQ44" s="749">
        <v>0</v>
      </c>
      <c r="AR44" s="749">
        <v>0</v>
      </c>
      <c r="AS44" s="749">
        <v>0</v>
      </c>
      <c r="AT44" s="763">
        <f>ROUND('G-2.15,3.15-3.17,4.01,5.07 CAP'!AC11,)+ROUND('G-2.15,3.15-3.17,4.01,5.07 CAP'!AC14,)</f>
        <v>1245</v>
      </c>
      <c r="AU44" s="763">
        <v>0</v>
      </c>
      <c r="AV44" s="763">
        <v>0</v>
      </c>
      <c r="AW44" s="764">
        <f>SUM(Y44:AV44)</f>
        <v>15175.3</v>
      </c>
      <c r="AX44" s="765"/>
      <c r="AY44" s="749">
        <v>0</v>
      </c>
      <c r="AZ44" s="749">
        <v>0</v>
      </c>
      <c r="BA44" s="762">
        <v>0</v>
      </c>
      <c r="BB44" s="749">
        <v>0</v>
      </c>
      <c r="BC44" s="749">
        <v>0</v>
      </c>
      <c r="BD44" s="749">
        <v>0</v>
      </c>
      <c r="BE44" s="749">
        <v>0</v>
      </c>
      <c r="BF44" s="763">
        <f>ROUND('G-2.15,3.15-3.17,4.01,5.07 CAP'!AJ11,)+ROUND('G-2.15,3.15-3.17,4.01,5.07 CAP'!AJ14,)</f>
        <v>895</v>
      </c>
      <c r="BG44" s="763">
        <v>0</v>
      </c>
      <c r="BH44" s="763">
        <v>0</v>
      </c>
      <c r="BI44" s="766">
        <f>SUM(AW44:BH44)</f>
        <v>16070.3</v>
      </c>
      <c r="BJ44" s="540">
        <f>BI44-AW44</f>
        <v>895</v>
      </c>
      <c r="BK44" s="633"/>
      <c r="BL44" s="634"/>
      <c r="BM44" s="634"/>
      <c r="BN44" s="634"/>
      <c r="BO44" s="634"/>
      <c r="BP44" s="634"/>
      <c r="BQ44" s="634"/>
      <c r="BR44" s="634"/>
      <c r="BS44" s="634"/>
    </row>
    <row r="45" spans="1:71">
      <c r="A45" s="622">
        <v>22</v>
      </c>
      <c r="C45" s="478" t="s">
        <v>370</v>
      </c>
      <c r="D45" s="758"/>
      <c r="E45" s="759">
        <f>'ROO INPUT 1.00'!$F46</f>
        <v>1612</v>
      </c>
      <c r="F45" s="749">
        <v>0</v>
      </c>
      <c r="G45" s="749">
        <v>0</v>
      </c>
      <c r="H45" s="749">
        <v>0</v>
      </c>
      <c r="I45" s="749">
        <v>0</v>
      </c>
      <c r="J45" s="749">
        <v>0</v>
      </c>
      <c r="K45" s="749">
        <v>0</v>
      </c>
      <c r="L45" s="749">
        <v>0</v>
      </c>
      <c r="M45" s="749">
        <v>0</v>
      </c>
      <c r="N45" s="749">
        <v>0</v>
      </c>
      <c r="O45" s="749">
        <v>0</v>
      </c>
      <c r="P45" s="749">
        <v>0</v>
      </c>
      <c r="Q45" s="749">
        <v>0</v>
      </c>
      <c r="R45" s="749">
        <v>0</v>
      </c>
      <c r="S45" s="749">
        <f>'G-2.11 EAS'!Q41</f>
        <v>1</v>
      </c>
      <c r="T45" s="760">
        <v>0</v>
      </c>
      <c r="U45" s="760">
        <v>0</v>
      </c>
      <c r="V45" s="749">
        <v>0</v>
      </c>
      <c r="W45" s="749">
        <v>0</v>
      </c>
      <c r="X45" s="760">
        <v>0</v>
      </c>
      <c r="Y45" s="761">
        <f>SUM(E45:X45)</f>
        <v>1613</v>
      </c>
      <c r="Z45" s="749">
        <v>0</v>
      </c>
      <c r="AA45" s="749">
        <f>ROUND(('G-3.02 PF Def DR&amp;CR'!J22/1000),)</f>
        <v>-244</v>
      </c>
      <c r="AB45" s="749">
        <v>0</v>
      </c>
      <c r="AC45" s="749">
        <f>ROUND('G-3.04,5.01 PF AMI'!D13/1000,)</f>
        <v>-112</v>
      </c>
      <c r="AD45" s="762">
        <v>0</v>
      </c>
      <c r="AE45" s="749">
        <v>0</v>
      </c>
      <c r="AF45" s="749">
        <f>ROUND('G-3.07,5.03 Benefits'!F52/1000,0)</f>
        <v>-1731</v>
      </c>
      <c r="AG45" s="749">
        <v>0</v>
      </c>
      <c r="AH45" s="749">
        <v>0</v>
      </c>
      <c r="AI45" s="749">
        <v>0</v>
      </c>
      <c r="AJ45" s="749">
        <v>0</v>
      </c>
      <c r="AK45" s="749">
        <v>0</v>
      </c>
      <c r="AL45" s="749">
        <v>0</v>
      </c>
      <c r="AM45" s="749">
        <v>0</v>
      </c>
      <c r="AN45" s="749">
        <v>0</v>
      </c>
      <c r="AO45" s="749">
        <v>0</v>
      </c>
      <c r="AP45" s="749">
        <v>0</v>
      </c>
      <c r="AQ45" s="749">
        <f>ROUND('G-3.18 New Reg Amort'!H16/1000,)</f>
        <v>300</v>
      </c>
      <c r="AR45" s="749">
        <v>0</v>
      </c>
      <c r="AS45" s="749">
        <v>0</v>
      </c>
      <c r="AT45" s="763">
        <v>0</v>
      </c>
      <c r="AU45" s="763">
        <v>0</v>
      </c>
      <c r="AV45" s="763">
        <v>0</v>
      </c>
      <c r="AW45" s="764">
        <f>SUM(Y45:AV45)</f>
        <v>-174</v>
      </c>
      <c r="AX45" s="765"/>
      <c r="AY45" s="749">
        <v>0</v>
      </c>
      <c r="AZ45" s="749">
        <v>0</v>
      </c>
      <c r="BA45" s="762">
        <v>0</v>
      </c>
      <c r="BB45" s="749">
        <v>0</v>
      </c>
      <c r="BC45" s="749">
        <v>0</v>
      </c>
      <c r="BD45" s="749">
        <v>0</v>
      </c>
      <c r="BE45" s="749">
        <v>0</v>
      </c>
      <c r="BF45" s="763">
        <v>0</v>
      </c>
      <c r="BG45" s="763">
        <v>0</v>
      </c>
      <c r="BH45" s="763">
        <v>0</v>
      </c>
      <c r="BI45" s="766">
        <f>SUM(AW45:BH45)</f>
        <v>-174</v>
      </c>
      <c r="BJ45" s="540">
        <f>BI45-AW45</f>
        <v>0</v>
      </c>
    </row>
    <row r="46" spans="1:71">
      <c r="A46" s="622">
        <v>23</v>
      </c>
      <c r="C46" s="758" t="s">
        <v>20</v>
      </c>
      <c r="D46" s="758"/>
      <c r="E46" s="767">
        <f>'ROO INPUT 1.00'!$F47</f>
        <v>1132</v>
      </c>
      <c r="F46" s="768">
        <v>0</v>
      </c>
      <c r="G46" s="768">
        <v>0</v>
      </c>
      <c r="H46" s="768">
        <v>0</v>
      </c>
      <c r="I46" s="768">
        <v>0</v>
      </c>
      <c r="J46" s="768">
        <v>0</v>
      </c>
      <c r="K46" s="768">
        <v>0</v>
      </c>
      <c r="L46" s="768">
        <v>0</v>
      </c>
      <c r="M46" s="768">
        <v>0</v>
      </c>
      <c r="N46" s="768">
        <v>0</v>
      </c>
      <c r="O46" s="768">
        <v>0</v>
      </c>
      <c r="P46" s="768">
        <v>0</v>
      </c>
      <c r="Q46" s="768">
        <v>0</v>
      </c>
      <c r="R46" s="768">
        <v>0</v>
      </c>
      <c r="S46" s="768">
        <v>0</v>
      </c>
      <c r="T46" s="769">
        <v>0</v>
      </c>
      <c r="U46" s="769">
        <v>0</v>
      </c>
      <c r="V46" s="768">
        <v>0</v>
      </c>
      <c r="W46" s="768">
        <v>0</v>
      </c>
      <c r="X46" s="769">
        <v>0</v>
      </c>
      <c r="Y46" s="770">
        <f>SUM(E46:X46)</f>
        <v>1132</v>
      </c>
      <c r="Z46" s="768">
        <v>0</v>
      </c>
      <c r="AA46" s="768">
        <v>0</v>
      </c>
      <c r="AB46" s="768">
        <v>0</v>
      </c>
      <c r="AC46" s="768">
        <v>0</v>
      </c>
      <c r="AD46" s="771">
        <v>0</v>
      </c>
      <c r="AE46" s="768">
        <v>0</v>
      </c>
      <c r="AF46" s="768">
        <v>0</v>
      </c>
      <c r="AG46" s="768">
        <v>0</v>
      </c>
      <c r="AH46" s="768">
        <v>0</v>
      </c>
      <c r="AI46" s="768">
        <v>0</v>
      </c>
      <c r="AJ46" s="768">
        <v>0</v>
      </c>
      <c r="AK46" s="768">
        <v>0</v>
      </c>
      <c r="AL46" s="768">
        <v>0</v>
      </c>
      <c r="AM46" s="768">
        <v>0</v>
      </c>
      <c r="AN46" s="768">
        <v>0</v>
      </c>
      <c r="AO46" s="768">
        <v>0</v>
      </c>
      <c r="AP46" s="768">
        <v>0</v>
      </c>
      <c r="AQ46" s="768">
        <v>0</v>
      </c>
      <c r="AR46" s="768">
        <v>0</v>
      </c>
      <c r="AS46" s="768">
        <v>0</v>
      </c>
      <c r="AT46" s="768">
        <v>0</v>
      </c>
      <c r="AU46" s="768">
        <v>0</v>
      </c>
      <c r="AV46" s="768">
        <v>0</v>
      </c>
      <c r="AW46" s="772">
        <f>SUM(Y46:AV46)</f>
        <v>1132</v>
      </c>
      <c r="AX46" s="765"/>
      <c r="AY46" s="768">
        <v>0</v>
      </c>
      <c r="AZ46" s="768">
        <v>0</v>
      </c>
      <c r="BA46" s="771">
        <v>0</v>
      </c>
      <c r="BB46" s="768">
        <v>0</v>
      </c>
      <c r="BC46" s="768">
        <v>0</v>
      </c>
      <c r="BD46" s="768">
        <v>0</v>
      </c>
      <c r="BE46" s="768">
        <v>0</v>
      </c>
      <c r="BF46" s="768">
        <v>0</v>
      </c>
      <c r="BG46" s="768">
        <v>0</v>
      </c>
      <c r="BH46" s="768">
        <v>0</v>
      </c>
      <c r="BI46" s="773">
        <f>SUM(AW46:BH46)</f>
        <v>1132</v>
      </c>
      <c r="BJ46" s="774">
        <f>BI46-AW46</f>
        <v>0</v>
      </c>
    </row>
    <row r="47" spans="1:71">
      <c r="A47" s="622">
        <v>24</v>
      </c>
      <c r="B47" s="758" t="s">
        <v>51</v>
      </c>
      <c r="C47" s="758"/>
      <c r="E47" s="767">
        <f>SUM(E43:E46)</f>
        <v>39944</v>
      </c>
      <c r="F47" s="782">
        <f t="shared" ref="F47:N47" si="93">SUM(F43:F46)</f>
        <v>0</v>
      </c>
      <c r="G47" s="782">
        <f t="shared" si="93"/>
        <v>0</v>
      </c>
      <c r="H47" s="782">
        <f t="shared" si="93"/>
        <v>0</v>
      </c>
      <c r="I47" s="782">
        <f t="shared" si="93"/>
        <v>0</v>
      </c>
      <c r="J47" s="782">
        <f>SUM(J43:J46)</f>
        <v>0</v>
      </c>
      <c r="K47" s="782">
        <f t="shared" si="93"/>
        <v>0</v>
      </c>
      <c r="L47" s="782">
        <f t="shared" si="93"/>
        <v>398</v>
      </c>
      <c r="M47" s="782">
        <f t="shared" si="93"/>
        <v>-18</v>
      </c>
      <c r="N47" s="782">
        <f t="shared" si="93"/>
        <v>0</v>
      </c>
      <c r="O47" s="782">
        <f t="shared" ref="O47:P47" si="94">SUM(O43:O46)</f>
        <v>-10</v>
      </c>
      <c r="P47" s="782">
        <f t="shared" si="94"/>
        <v>0</v>
      </c>
      <c r="Q47" s="782">
        <f t="shared" ref="Q47:T47" si="95">SUM(Q43:Q46)</f>
        <v>0</v>
      </c>
      <c r="R47" s="782">
        <f t="shared" si="95"/>
        <v>0</v>
      </c>
      <c r="S47" s="782">
        <f t="shared" si="95"/>
        <v>-106</v>
      </c>
      <c r="T47" s="783">
        <f t="shared" si="95"/>
        <v>-409.2</v>
      </c>
      <c r="U47" s="783">
        <f>SUM(U43:U46)</f>
        <v>250.28299999999999</v>
      </c>
      <c r="V47" s="782">
        <f>SUM(V43:V46)</f>
        <v>0</v>
      </c>
      <c r="W47" s="782">
        <f>SUM(W43:W46)</f>
        <v>0</v>
      </c>
      <c r="X47" s="783">
        <f>SUM(X43:X46)</f>
        <v>0</v>
      </c>
      <c r="Y47" s="770">
        <f t="shared" ref="Y47" si="96">SUM(Y43:Y46)</f>
        <v>40049.082999999999</v>
      </c>
      <c r="Z47" s="782">
        <f>SUM(Z43:Z46)</f>
        <v>-358</v>
      </c>
      <c r="AA47" s="782">
        <f>SUM(AA43:AA46)</f>
        <v>-244</v>
      </c>
      <c r="AB47" s="782">
        <f>SUM(AB43:AB46)</f>
        <v>0</v>
      </c>
      <c r="AC47" s="782">
        <f t="shared" ref="AC47:AD47" si="97">SUM(AC43:AC46)</f>
        <v>-112</v>
      </c>
      <c r="AD47" s="784">
        <f t="shared" si="97"/>
        <v>648</v>
      </c>
      <c r="AE47" s="782">
        <f>SUM(AE43:AE46)</f>
        <v>19.004999999999999</v>
      </c>
      <c r="AF47" s="782">
        <f t="shared" ref="AF47:AI47" si="98">SUM(AF43:AF46)</f>
        <v>-1716</v>
      </c>
      <c r="AG47" s="782">
        <f t="shared" ref="AG47" si="99">SUM(AG43:AG46)</f>
        <v>368.4</v>
      </c>
      <c r="AH47" s="782">
        <f t="shared" si="98"/>
        <v>0</v>
      </c>
      <c r="AI47" s="782">
        <f t="shared" si="98"/>
        <v>112.90900000000001</v>
      </c>
      <c r="AJ47" s="782">
        <f t="shared" ref="AJ47:AK47" si="100">SUM(AJ43:AJ46)</f>
        <v>0</v>
      </c>
      <c r="AK47" s="782">
        <f t="shared" si="100"/>
        <v>598</v>
      </c>
      <c r="AL47" s="782">
        <f>SUM(AL43:AL46)</f>
        <v>20.6</v>
      </c>
      <c r="AM47" s="782">
        <f t="shared" ref="AM47" si="101">SUM(AM43:AM46)</f>
        <v>556.36900000000003</v>
      </c>
      <c r="AN47" s="782">
        <f>SUM(AN43:AN46)</f>
        <v>625</v>
      </c>
      <c r="AO47" s="782">
        <f t="shared" ref="AO47" si="102">SUM(AO43:AO46)</f>
        <v>-463.7</v>
      </c>
      <c r="AP47" s="782">
        <f t="shared" ref="AP47:AQ47" si="103">SUM(AP43:AP46)</f>
        <v>967</v>
      </c>
      <c r="AQ47" s="782">
        <f t="shared" si="103"/>
        <v>300</v>
      </c>
      <c r="AR47" s="782">
        <f>SUM(AR43:AR46)</f>
        <v>178</v>
      </c>
      <c r="AS47" s="782">
        <f>SUM(AS43:AS46)</f>
        <v>150</v>
      </c>
      <c r="AT47" s="782">
        <f>SUM(AT43:AT46)</f>
        <v>1245</v>
      </c>
      <c r="AU47" s="782">
        <f>SUM(AU43:AU46)</f>
        <v>-88.394999999999996</v>
      </c>
      <c r="AV47" s="782">
        <f t="shared" ref="AV47" si="104">SUM(AV43:AV46)</f>
        <v>0</v>
      </c>
      <c r="AW47" s="772">
        <f t="shared" ref="AW47" si="105">SUM(AW43:AW46)</f>
        <v>42855.270999999993</v>
      </c>
      <c r="AX47" s="765"/>
      <c r="AY47" s="782">
        <f>SUM(AY43:AY46)</f>
        <v>0</v>
      </c>
      <c r="AZ47" s="782">
        <f t="shared" ref="AZ47" si="106">SUM(AZ43:AZ46)</f>
        <v>0</v>
      </c>
      <c r="BA47" s="784">
        <f t="shared" ref="BA47" si="107">SUM(BA43:BA46)</f>
        <v>250.4</v>
      </c>
      <c r="BB47" s="782">
        <f t="shared" ref="BB47" si="108">SUM(BB43:BB46)</f>
        <v>52.8</v>
      </c>
      <c r="BC47" s="782">
        <f>SUM(BC43:BC46)</f>
        <v>0</v>
      </c>
      <c r="BD47" s="782">
        <f>SUM(BD43:BD46)</f>
        <v>-65</v>
      </c>
      <c r="BE47" s="782">
        <f t="shared" ref="BE47" si="109">SUM(BE43:BE46)</f>
        <v>222.548</v>
      </c>
      <c r="BF47" s="782">
        <f>SUM(BF43:BF46)</f>
        <v>895</v>
      </c>
      <c r="BG47" s="782">
        <f>SUM(BG43:BG46)</f>
        <v>-130.83500000000001</v>
      </c>
      <c r="BH47" s="782">
        <f>SUM(BH43:BH46)</f>
        <v>0</v>
      </c>
      <c r="BI47" s="785">
        <f>SUM(BI43:BI46)</f>
        <v>44080.183999999994</v>
      </c>
      <c r="BJ47" s="782">
        <f>SUM(BJ43:BJ46)</f>
        <v>1224.9130000000005</v>
      </c>
    </row>
    <row r="48" spans="1:71" ht="19.5" customHeight="1">
      <c r="A48" s="622">
        <v>25</v>
      </c>
      <c r="B48" s="623" t="s">
        <v>52</v>
      </c>
      <c r="C48" s="758"/>
      <c r="D48" s="758"/>
      <c r="E48" s="767">
        <f t="shared" ref="E48:Y48" si="110">E20+E24+E30+E36+E38+E39+E40+E47</f>
        <v>260577</v>
      </c>
      <c r="F48" s="782">
        <f t="shared" si="110"/>
        <v>0</v>
      </c>
      <c r="G48" s="782">
        <f t="shared" si="110"/>
        <v>0</v>
      </c>
      <c r="H48" s="782">
        <f t="shared" si="110"/>
        <v>0</v>
      </c>
      <c r="I48" s="782">
        <f t="shared" si="110"/>
        <v>-8688</v>
      </c>
      <c r="J48" s="782">
        <f>J20+J24+J30+J36+J38+J39+J40+J47</f>
        <v>288</v>
      </c>
      <c r="K48" s="782">
        <f t="shared" si="110"/>
        <v>927</v>
      </c>
      <c r="L48" s="782">
        <f t="shared" si="110"/>
        <v>398</v>
      </c>
      <c r="M48" s="782">
        <f t="shared" si="110"/>
        <v>-18</v>
      </c>
      <c r="N48" s="782">
        <f t="shared" si="110"/>
        <v>0</v>
      </c>
      <c r="O48" s="782">
        <f t="shared" si="110"/>
        <v>-10</v>
      </c>
      <c r="P48" s="782">
        <f t="shared" si="110"/>
        <v>-4</v>
      </c>
      <c r="Q48" s="782">
        <f t="shared" ref="Q48:T48" si="111">Q20+Q24+Q30+Q36+Q38+Q39+Q40+Q47</f>
        <v>-11</v>
      </c>
      <c r="R48" s="782">
        <f>R20+R24+R30+R36+R38+R39+R40+R47</f>
        <v>-56</v>
      </c>
      <c r="S48" s="782">
        <f t="shared" si="111"/>
        <v>-72773</v>
      </c>
      <c r="T48" s="783">
        <f t="shared" si="111"/>
        <v>-415.2</v>
      </c>
      <c r="U48" s="783">
        <f>U20+U24+U30+U36+U38+U39+U40+U47</f>
        <v>250.28299999999999</v>
      </c>
      <c r="V48" s="782">
        <f>V20+V24+V30+V36+V38+V39+V40+V47</f>
        <v>0</v>
      </c>
      <c r="W48" s="782">
        <f>W20+W24+W30+W36+W38+W39+W40+W47</f>
        <v>0</v>
      </c>
      <c r="X48" s="783">
        <f>X20+X24+X30+X36+X38+X39+X40+X47</f>
        <v>0</v>
      </c>
      <c r="Y48" s="770">
        <f t="shared" si="110"/>
        <v>180465.08299999998</v>
      </c>
      <c r="Z48" s="782">
        <f t="shared" ref="Z48:AI48" si="112">Z20+Z24+Z30+Z36+Z38+Z39+Z40+Z47</f>
        <v>-94600</v>
      </c>
      <c r="AA48" s="782">
        <f t="shared" si="112"/>
        <v>-244</v>
      </c>
      <c r="AB48" s="782">
        <f t="shared" si="112"/>
        <v>0</v>
      </c>
      <c r="AC48" s="782">
        <f t="shared" si="112"/>
        <v>-803</v>
      </c>
      <c r="AD48" s="784">
        <f t="shared" si="112"/>
        <v>1825.3</v>
      </c>
      <c r="AE48" s="782">
        <f t="shared" si="112"/>
        <v>19.004999999999999</v>
      </c>
      <c r="AF48" s="782">
        <f t="shared" si="112"/>
        <v>-1689.2</v>
      </c>
      <c r="AG48" s="782">
        <f t="shared" ref="AG48" si="113">AG20+AG24+AG30+AG36+AG38+AG39+AG40+AG47</f>
        <v>368.79999999999995</v>
      </c>
      <c r="AH48" s="782">
        <f t="shared" si="112"/>
        <v>78</v>
      </c>
      <c r="AI48" s="782">
        <f t="shared" si="112"/>
        <v>112.90900000000001</v>
      </c>
      <c r="AJ48" s="782">
        <f t="shared" ref="AJ48:AK48" si="114">AJ20+AJ24+AJ30+AJ36+AJ38+AJ39+AJ40+AJ47</f>
        <v>946</v>
      </c>
      <c r="AK48" s="782">
        <f t="shared" si="114"/>
        <v>598</v>
      </c>
      <c r="AL48" s="782">
        <f>AL20+AL24+AL30+AL36+AL38+AL39+AL40+AL47</f>
        <v>20.6</v>
      </c>
      <c r="AM48" s="782">
        <f t="shared" ref="AM48" si="115">AM20+AM24+AM30+AM36+AM38+AM39+AM40+AM47</f>
        <v>1633.6619999999998</v>
      </c>
      <c r="AN48" s="782">
        <f>AN20+AN24+AN30+AN36+AN38+AN39+AN40+AN47</f>
        <v>1270</v>
      </c>
      <c r="AO48" s="782">
        <f t="shared" ref="AO48" si="116">AO20+AO24+AO30+AO36+AO38+AO39+AO40+AO47</f>
        <v>-904.2</v>
      </c>
      <c r="AP48" s="782">
        <f t="shared" ref="AP48:AQ48" si="117">AP20+AP24+AP30+AP36+AP38+AP39+AP40+AP47</f>
        <v>1957</v>
      </c>
      <c r="AQ48" s="782">
        <f t="shared" si="117"/>
        <v>300</v>
      </c>
      <c r="AR48" s="782">
        <f>AR20+AR24+AR30+AR36+AR38+AR39+AR40+AR47</f>
        <v>178</v>
      </c>
      <c r="AS48" s="782">
        <f>AS20+AS24+AS30+AS36+AS38+AS39+AS40+AS47</f>
        <v>150</v>
      </c>
      <c r="AT48" s="782">
        <f t="shared" ref="AT48:AU48" si="118">AT20+AT24+AT30+AT36+AT38+AT39+AT40+AT47</f>
        <v>2170</v>
      </c>
      <c r="AU48" s="782">
        <f t="shared" si="118"/>
        <v>-278.70699999999999</v>
      </c>
      <c r="AV48" s="782">
        <f t="shared" ref="AV48" si="119">AV20+AV24+AV30+AV36+AV38+AV39+AV40+AV47</f>
        <v>0</v>
      </c>
      <c r="AW48" s="772">
        <f t="shared" ref="AW48" si="120">AW20+AW24+AW30+AW36+AW38+AW39+AW40+AW47</f>
        <v>93573.251999999979</v>
      </c>
      <c r="AX48" s="765"/>
      <c r="AY48" s="782">
        <f>AY20+AY24+AY30+AY36+AY38+AY39+AY40+AY47</f>
        <v>0</v>
      </c>
      <c r="AZ48" s="782">
        <f t="shared" ref="AZ48:BC48" si="121">AZ20+AZ24+AZ30+AZ36+AZ38+AZ39+AZ40+AZ47</f>
        <v>-105</v>
      </c>
      <c r="BA48" s="784">
        <f t="shared" si="121"/>
        <v>734.9</v>
      </c>
      <c r="BB48" s="782">
        <f t="shared" si="121"/>
        <v>146.80000000000001</v>
      </c>
      <c r="BC48" s="782">
        <f t="shared" si="121"/>
        <v>30</v>
      </c>
      <c r="BD48" s="782">
        <f>BD20+BD24+BD30+BD36+BD38+BD39+BD40+BD47</f>
        <v>-65</v>
      </c>
      <c r="BE48" s="782">
        <f t="shared" ref="BE48" si="122">BE20+BE24+BE30+BE36+BE38+BE39+BE40+BE47</f>
        <v>653.46600000000001</v>
      </c>
      <c r="BF48" s="782">
        <f t="shared" ref="BF48" si="123">BF20+BF24+BF30+BF36+BF38+BF39+BF40+BF47</f>
        <v>1740</v>
      </c>
      <c r="BG48" s="782">
        <f t="shared" ref="BG48:BH48" si="124">BG20+BG24+BG30+BG36+BG38+BG39+BG40+BG47</f>
        <v>-200.87900000000002</v>
      </c>
      <c r="BH48" s="782">
        <f t="shared" si="124"/>
        <v>0</v>
      </c>
      <c r="BI48" s="785">
        <f>BI20+BI24+BI30+BI36+BI38+BI39+BI40+BI47</f>
        <v>96507.53899999999</v>
      </c>
      <c r="BJ48" s="782">
        <f>BJ20+BJ24+BJ30+BJ36+BJ38+BJ39+BJ40+BJ47</f>
        <v>2934.2870000000021</v>
      </c>
    </row>
    <row r="49" spans="1:71" ht="9" customHeight="1">
      <c r="C49" s="758"/>
      <c r="D49" s="758"/>
      <c r="E49" s="759"/>
      <c r="F49" s="775"/>
      <c r="G49" s="775"/>
      <c r="H49" s="775"/>
      <c r="I49" s="775"/>
      <c r="J49" s="775"/>
      <c r="K49" s="775"/>
      <c r="L49" s="775"/>
      <c r="M49" s="775"/>
      <c r="N49" s="775"/>
      <c r="O49" s="775"/>
      <c r="P49" s="775"/>
      <c r="Q49" s="775"/>
      <c r="R49" s="775"/>
      <c r="S49" s="775"/>
      <c r="T49" s="776"/>
      <c r="U49" s="776"/>
      <c r="V49" s="775"/>
      <c r="W49" s="775"/>
      <c r="X49" s="776"/>
      <c r="Y49" s="761"/>
      <c r="Z49" s="775"/>
      <c r="AA49" s="775"/>
      <c r="AB49" s="775"/>
      <c r="AC49" s="775"/>
      <c r="AD49" s="777"/>
      <c r="AE49" s="775"/>
      <c r="AF49" s="775"/>
      <c r="AG49" s="775"/>
      <c r="AH49" s="775"/>
      <c r="AI49" s="775"/>
      <c r="AJ49" s="775"/>
      <c r="AK49" s="775"/>
      <c r="AL49" s="775"/>
      <c r="AM49" s="775"/>
      <c r="AN49" s="775"/>
      <c r="AO49" s="775"/>
      <c r="AP49" s="775"/>
      <c r="AQ49" s="775"/>
      <c r="AR49" s="775"/>
      <c r="AS49" s="775"/>
      <c r="AT49" s="778"/>
      <c r="AU49" s="778"/>
      <c r="AV49" s="778"/>
      <c r="AW49" s="764"/>
      <c r="AX49" s="765"/>
      <c r="AY49" s="775"/>
      <c r="AZ49" s="775"/>
      <c r="BA49" s="777"/>
      <c r="BB49" s="775"/>
      <c r="BC49" s="775"/>
      <c r="BD49" s="775"/>
      <c r="BE49" s="775"/>
      <c r="BF49" s="778"/>
      <c r="BG49" s="778"/>
      <c r="BH49" s="778"/>
      <c r="BI49" s="779"/>
      <c r="BJ49" s="775"/>
    </row>
    <row r="50" spans="1:71" ht="13.15" customHeight="1">
      <c r="A50" s="622">
        <v>26</v>
      </c>
      <c r="B50" s="623" t="s">
        <v>53</v>
      </c>
      <c r="C50" s="758"/>
      <c r="D50" s="758"/>
      <c r="E50" s="759">
        <f t="shared" ref="E50:P50" si="125">E17-E48</f>
        <v>28262</v>
      </c>
      <c r="F50" s="775">
        <f t="shared" si="125"/>
        <v>0</v>
      </c>
      <c r="G50" s="775">
        <f t="shared" si="125"/>
        <v>0</v>
      </c>
      <c r="H50" s="775">
        <f t="shared" si="125"/>
        <v>0</v>
      </c>
      <c r="I50" s="775">
        <f t="shared" si="125"/>
        <v>42</v>
      </c>
      <c r="J50" s="775">
        <f>J17-J48</f>
        <v>-288</v>
      </c>
      <c r="K50" s="775">
        <f t="shared" si="125"/>
        <v>-927</v>
      </c>
      <c r="L50" s="775">
        <f t="shared" si="125"/>
        <v>-398</v>
      </c>
      <c r="M50" s="775">
        <f t="shared" si="125"/>
        <v>18</v>
      </c>
      <c r="N50" s="775">
        <f t="shared" si="125"/>
        <v>0</v>
      </c>
      <c r="O50" s="775">
        <f t="shared" si="125"/>
        <v>10</v>
      </c>
      <c r="P50" s="775">
        <f t="shared" si="125"/>
        <v>4</v>
      </c>
      <c r="Q50" s="775">
        <f t="shared" ref="Q50:T50" si="126">Q17-Q48</f>
        <v>11</v>
      </c>
      <c r="R50" s="775">
        <f t="shared" si="126"/>
        <v>-43</v>
      </c>
      <c r="S50" s="775">
        <f t="shared" si="126"/>
        <v>12195</v>
      </c>
      <c r="T50" s="776">
        <f t="shared" si="126"/>
        <v>415.2</v>
      </c>
      <c r="U50" s="776">
        <f>U17-U48</f>
        <v>-250.28299999999999</v>
      </c>
      <c r="V50" s="775">
        <f>V17-V48</f>
        <v>0</v>
      </c>
      <c r="W50" s="775">
        <f>W17-W48</f>
        <v>0</v>
      </c>
      <c r="X50" s="776">
        <f>X17-X48</f>
        <v>0</v>
      </c>
      <c r="Y50" s="761">
        <f>SUM(E50:X50)</f>
        <v>39050.916999999994</v>
      </c>
      <c r="Z50" s="775">
        <f>Z17-Z48</f>
        <v>2433</v>
      </c>
      <c r="AA50" s="775">
        <f>AA17-AA48</f>
        <v>244</v>
      </c>
      <c r="AB50" s="775">
        <f>AB17-AB48</f>
        <v>0</v>
      </c>
      <c r="AC50" s="775">
        <f t="shared" ref="AC50:AI50" si="127">AC17-AC48</f>
        <v>803</v>
      </c>
      <c r="AD50" s="777">
        <f t="shared" si="127"/>
        <v>-1825.3</v>
      </c>
      <c r="AE50" s="775">
        <f t="shared" si="127"/>
        <v>-19.004999999999999</v>
      </c>
      <c r="AF50" s="775">
        <f t="shared" si="127"/>
        <v>1689.2</v>
      </c>
      <c r="AG50" s="775">
        <f t="shared" ref="AG50" si="128">AG17-AG48</f>
        <v>-368.79999999999995</v>
      </c>
      <c r="AH50" s="775">
        <f t="shared" si="127"/>
        <v>-78</v>
      </c>
      <c r="AI50" s="775">
        <f t="shared" si="127"/>
        <v>-112.90900000000001</v>
      </c>
      <c r="AJ50" s="775">
        <f t="shared" ref="AJ50:AK50" si="129">AJ17-AJ48</f>
        <v>-946</v>
      </c>
      <c r="AK50" s="775">
        <f t="shared" si="129"/>
        <v>-598</v>
      </c>
      <c r="AL50" s="775">
        <f>AL17-AL48</f>
        <v>-20.6</v>
      </c>
      <c r="AM50" s="775">
        <f t="shared" ref="AM50" si="130">AM17-AM48</f>
        <v>-1633.6619999999998</v>
      </c>
      <c r="AN50" s="775">
        <f>AN17-AN48</f>
        <v>-1270</v>
      </c>
      <c r="AO50" s="775">
        <f t="shared" ref="AO50" si="131">AO17-AO48</f>
        <v>904.2</v>
      </c>
      <c r="AP50" s="775">
        <f t="shared" ref="AP50:AQ50" si="132">AP17-AP48</f>
        <v>-1957</v>
      </c>
      <c r="AQ50" s="775">
        <f t="shared" si="132"/>
        <v>-300</v>
      </c>
      <c r="AR50" s="775">
        <f>AR17-AR48</f>
        <v>-178</v>
      </c>
      <c r="AS50" s="775">
        <f>AS17-AS48</f>
        <v>-150</v>
      </c>
      <c r="AT50" s="778">
        <f>AT17-AT48</f>
        <v>-2170</v>
      </c>
      <c r="AU50" s="778">
        <f>AU17-AU48</f>
        <v>622.70699999999999</v>
      </c>
      <c r="AV50" s="778">
        <f t="shared" ref="AV50" si="133">AV17-AV48</f>
        <v>0</v>
      </c>
      <c r="AW50" s="764">
        <f t="shared" ref="AW50" si="134">AW17-AW48</f>
        <v>34119.748000000021</v>
      </c>
      <c r="AX50" s="765"/>
      <c r="AY50" s="775">
        <f>AY17-AY48</f>
        <v>0</v>
      </c>
      <c r="AZ50" s="775">
        <f t="shared" ref="AZ50" si="135">AZ17-AZ48</f>
        <v>105</v>
      </c>
      <c r="BA50" s="777">
        <f t="shared" ref="BA50:BB50" si="136">BA17-BA48</f>
        <v>-734.9</v>
      </c>
      <c r="BB50" s="775">
        <f t="shared" si="136"/>
        <v>-146.80000000000001</v>
      </c>
      <c r="BC50" s="775">
        <f>BC17-BC48</f>
        <v>-30</v>
      </c>
      <c r="BD50" s="775">
        <f>BD17-BD48</f>
        <v>65</v>
      </c>
      <c r="BE50" s="775">
        <f t="shared" ref="BE50" si="137">BE17-BE48</f>
        <v>-653.46600000000001</v>
      </c>
      <c r="BF50" s="778">
        <f>BF17-BF48</f>
        <v>-1740</v>
      </c>
      <c r="BG50" s="778">
        <f>BG17-BG48</f>
        <v>239.87900000000002</v>
      </c>
      <c r="BH50" s="778">
        <f>BH17-BH48</f>
        <v>0</v>
      </c>
      <c r="BI50" s="779">
        <f>BI17-BI48</f>
        <v>31224.46100000001</v>
      </c>
      <c r="BJ50" s="775">
        <f>BJ17-BJ48</f>
        <v>-2895.2870000000021</v>
      </c>
    </row>
    <row r="51" spans="1:71" ht="6" customHeight="1">
      <c r="C51" s="758"/>
      <c r="D51" s="758"/>
      <c r="E51" s="759"/>
      <c r="F51" s="775"/>
      <c r="G51" s="775"/>
      <c r="H51" s="775"/>
      <c r="I51" s="775"/>
      <c r="J51" s="775"/>
      <c r="K51" s="775"/>
      <c r="L51" s="775"/>
      <c r="M51" s="775"/>
      <c r="N51" s="775"/>
      <c r="O51" s="775"/>
      <c r="P51" s="775"/>
      <c r="Q51" s="775"/>
      <c r="R51" s="775"/>
      <c r="S51" s="775"/>
      <c r="T51" s="776"/>
      <c r="U51" s="776"/>
      <c r="V51" s="775"/>
      <c r="W51" s="775"/>
      <c r="X51" s="776"/>
      <c r="Y51" s="761"/>
      <c r="Z51" s="775"/>
      <c r="AA51" s="775"/>
      <c r="AB51" s="775"/>
      <c r="AC51" s="775"/>
      <c r="AD51" s="777"/>
      <c r="AE51" s="775"/>
      <c r="AF51" s="775"/>
      <c r="AG51" s="775"/>
      <c r="AH51" s="775"/>
      <c r="AI51" s="775"/>
      <c r="AJ51" s="775"/>
      <c r="AK51" s="775"/>
      <c r="AL51" s="775"/>
      <c r="AM51" s="775"/>
      <c r="AN51" s="775"/>
      <c r="AO51" s="775"/>
      <c r="AP51" s="775"/>
      <c r="AQ51" s="775"/>
      <c r="AR51" s="775"/>
      <c r="AS51" s="775"/>
      <c r="AT51" s="778"/>
      <c r="AU51" s="778"/>
      <c r="AV51" s="778"/>
      <c r="AW51" s="764"/>
      <c r="AX51" s="765"/>
      <c r="AY51" s="775"/>
      <c r="AZ51" s="775"/>
      <c r="BA51" s="777"/>
      <c r="BB51" s="775"/>
      <c r="BC51" s="775"/>
      <c r="BD51" s="775"/>
      <c r="BE51" s="775"/>
      <c r="BF51" s="778"/>
      <c r="BG51" s="778"/>
      <c r="BH51" s="778"/>
      <c r="BI51" s="779"/>
      <c r="BJ51" s="775"/>
    </row>
    <row r="52" spans="1:71" ht="13.15" customHeight="1">
      <c r="B52" s="623" t="s">
        <v>54</v>
      </c>
      <c r="C52" s="758"/>
      <c r="D52" s="758"/>
      <c r="E52" s="759"/>
      <c r="F52" s="749"/>
      <c r="G52" s="749"/>
      <c r="H52" s="749"/>
      <c r="I52" s="749"/>
      <c r="J52" s="749"/>
      <c r="K52" s="749"/>
      <c r="L52" s="749"/>
      <c r="M52" s="749"/>
      <c r="N52" s="749"/>
      <c r="O52" s="749"/>
      <c r="P52" s="749"/>
      <c r="Q52" s="749"/>
      <c r="R52" s="749"/>
      <c r="S52" s="749"/>
      <c r="T52" s="760"/>
      <c r="U52" s="760"/>
      <c r="V52" s="749"/>
      <c r="W52" s="749"/>
      <c r="X52" s="760"/>
      <c r="Y52" s="761"/>
      <c r="Z52" s="749"/>
      <c r="AA52" s="749"/>
      <c r="AB52" s="749"/>
      <c r="AC52" s="749"/>
      <c r="AD52" s="762"/>
      <c r="AE52" s="749"/>
      <c r="AF52" s="749"/>
      <c r="AG52" s="749"/>
      <c r="AH52" s="749"/>
      <c r="AI52" s="749"/>
      <c r="AJ52" s="749"/>
      <c r="AK52" s="749"/>
      <c r="AL52" s="749"/>
      <c r="AM52" s="749"/>
      <c r="AN52" s="749"/>
      <c r="AO52" s="749"/>
      <c r="AP52" s="749"/>
      <c r="AQ52" s="749"/>
      <c r="AR52" s="749"/>
      <c r="AS52" s="749"/>
      <c r="AT52" s="763"/>
      <c r="AU52" s="763"/>
      <c r="AV52" s="763"/>
      <c r="AW52" s="764"/>
      <c r="AX52" s="765"/>
      <c r="AY52" s="749"/>
      <c r="AZ52" s="749"/>
      <c r="BA52" s="762"/>
      <c r="BB52" s="749"/>
      <c r="BC52" s="749"/>
      <c r="BD52" s="749"/>
      <c r="BE52" s="749"/>
      <c r="BF52" s="763"/>
      <c r="BG52" s="763"/>
      <c r="BH52" s="763"/>
      <c r="BI52" s="780"/>
      <c r="BJ52" s="749"/>
    </row>
    <row r="53" spans="1:71">
      <c r="A53" s="622">
        <v>27</v>
      </c>
      <c r="B53" s="758" t="s">
        <v>55</v>
      </c>
      <c r="D53" s="758"/>
      <c r="E53" s="759">
        <f>'ROO INPUT 1.00'!$F54</f>
        <v>-4387</v>
      </c>
      <c r="F53" s="749">
        <f t="shared" ref="F53:M53" si="138">F50*0.21</f>
        <v>0</v>
      </c>
      <c r="G53" s="749">
        <f t="shared" si="138"/>
        <v>0</v>
      </c>
      <c r="H53" s="749">
        <f t="shared" si="138"/>
        <v>0</v>
      </c>
      <c r="I53" s="749">
        <f t="shared" si="138"/>
        <v>8.82</v>
      </c>
      <c r="J53" s="749">
        <f t="shared" si="138"/>
        <v>-60.48</v>
      </c>
      <c r="K53" s="749">
        <f t="shared" si="138"/>
        <v>-194.67</v>
      </c>
      <c r="L53" s="749">
        <f t="shared" si="138"/>
        <v>-83.58</v>
      </c>
      <c r="M53" s="749">
        <f t="shared" si="138"/>
        <v>3.78</v>
      </c>
      <c r="N53" s="749">
        <f>'G-2.06 FIT'!F20</f>
        <v>0</v>
      </c>
      <c r="O53" s="749">
        <f t="shared" ref="O53:U53" si="139">O50*0.21</f>
        <v>2.1</v>
      </c>
      <c r="P53" s="749">
        <f t="shared" si="139"/>
        <v>0.84</v>
      </c>
      <c r="Q53" s="749">
        <f t="shared" si="139"/>
        <v>2.31</v>
      </c>
      <c r="R53" s="749">
        <f t="shared" si="139"/>
        <v>-9.0299999999999994</v>
      </c>
      <c r="S53" s="749">
        <f t="shared" si="139"/>
        <v>2560.9499999999998</v>
      </c>
      <c r="T53" s="760">
        <f t="shared" si="139"/>
        <v>87.191999999999993</v>
      </c>
      <c r="U53" s="760">
        <f t="shared" si="139"/>
        <v>-52.559429999999992</v>
      </c>
      <c r="V53" s="749">
        <f>'DEBT CALC 2.14'!E66</f>
        <v>57</v>
      </c>
      <c r="W53" s="749">
        <f>W50*0.21</f>
        <v>0</v>
      </c>
      <c r="X53" s="760">
        <f t="shared" ref="X53" si="140">X50*0.21</f>
        <v>0</v>
      </c>
      <c r="Y53" s="761">
        <f>SUM(E53:X53)</f>
        <v>-2064.3274299999989</v>
      </c>
      <c r="Z53" s="749">
        <f t="shared" ref="Z53:AV53" si="141">Z50*0.21</f>
        <v>510.93</v>
      </c>
      <c r="AA53" s="749">
        <f t="shared" ref="AA53:AB53" si="142">AA50*0.21</f>
        <v>51.239999999999995</v>
      </c>
      <c r="AB53" s="749">
        <f t="shared" si="142"/>
        <v>0</v>
      </c>
      <c r="AC53" s="749">
        <f t="shared" ref="AC53:AH53" si="143">AC50*0.21</f>
        <v>168.63</v>
      </c>
      <c r="AD53" s="762">
        <f t="shared" si="143"/>
        <v>-383.31299999999999</v>
      </c>
      <c r="AE53" s="749">
        <f t="shared" si="143"/>
        <v>-3.9910499999999995</v>
      </c>
      <c r="AF53" s="749">
        <f t="shared" si="143"/>
        <v>354.73199999999997</v>
      </c>
      <c r="AG53" s="749">
        <f t="shared" ref="AG53" si="144">AG50*0.21</f>
        <v>-77.447999999999993</v>
      </c>
      <c r="AH53" s="749">
        <f t="shared" si="143"/>
        <v>-16.38</v>
      </c>
      <c r="AI53" s="749">
        <f>AI50*0.21</f>
        <v>-23.710889999999999</v>
      </c>
      <c r="AJ53" s="749">
        <f>AJ50*0.21</f>
        <v>-198.66</v>
      </c>
      <c r="AK53" s="749">
        <f t="shared" ref="AK53:AM53" si="145">AK50*0.21</f>
        <v>-125.58</v>
      </c>
      <c r="AL53" s="749">
        <f t="shared" si="145"/>
        <v>-4.3260000000000005</v>
      </c>
      <c r="AM53" s="749">
        <f t="shared" si="145"/>
        <v>-343.06901999999997</v>
      </c>
      <c r="AN53" s="749">
        <f>AN50*0.21</f>
        <v>-266.7</v>
      </c>
      <c r="AO53" s="749">
        <f t="shared" ref="AO53" si="146">AO50*0.21</f>
        <v>189.88200000000001</v>
      </c>
      <c r="AP53" s="749">
        <f t="shared" ref="AP53:AQ53" si="147">AP50*0.21</f>
        <v>-410.96999999999997</v>
      </c>
      <c r="AQ53" s="749">
        <f t="shared" si="147"/>
        <v>-63</v>
      </c>
      <c r="AR53" s="749">
        <f>AR50*0.21</f>
        <v>-37.379999999999995</v>
      </c>
      <c r="AS53" s="749">
        <f>AS50*0.21</f>
        <v>-31.5</v>
      </c>
      <c r="AT53" s="749">
        <f t="shared" ref="AT53:AU53" si="148">AT50*0.21</f>
        <v>-455.7</v>
      </c>
      <c r="AU53" s="749">
        <f t="shared" si="148"/>
        <v>130.76847000000001</v>
      </c>
      <c r="AV53" s="749">
        <f t="shared" si="141"/>
        <v>0</v>
      </c>
      <c r="AW53" s="764">
        <f>SUM(Y53:AV53)</f>
        <v>-3099.8729199999989</v>
      </c>
      <c r="AX53" s="765"/>
      <c r="AY53" s="749">
        <f>AY50*0.21</f>
        <v>0</v>
      </c>
      <c r="AZ53" s="749">
        <f t="shared" ref="AZ53:BC53" si="149">AZ50*0.21</f>
        <v>22.05</v>
      </c>
      <c r="BA53" s="762">
        <f t="shared" si="149"/>
        <v>-154.32899999999998</v>
      </c>
      <c r="BB53" s="749">
        <f t="shared" si="149"/>
        <v>-30.828000000000003</v>
      </c>
      <c r="BC53" s="749">
        <f t="shared" si="149"/>
        <v>-6.3</v>
      </c>
      <c r="BD53" s="749">
        <f>BD50*0.21</f>
        <v>13.65</v>
      </c>
      <c r="BE53" s="749">
        <f t="shared" ref="BE53" si="150">BE50*0.21</f>
        <v>-137.22785999999999</v>
      </c>
      <c r="BF53" s="749">
        <f t="shared" ref="BF53" si="151">BF50*0.21</f>
        <v>-365.4</v>
      </c>
      <c r="BG53" s="749">
        <f t="shared" ref="BG53:BH53" si="152">BG50*0.21</f>
        <v>50.374590000000005</v>
      </c>
      <c r="BH53" s="749">
        <f t="shared" si="152"/>
        <v>0</v>
      </c>
      <c r="BI53" s="766">
        <f>SUM(AW53:BH53)</f>
        <v>-3707.8831899999991</v>
      </c>
      <c r="BJ53" s="540">
        <f>BI53-AW53</f>
        <v>-608.01027000000022</v>
      </c>
    </row>
    <row r="54" spans="1:71">
      <c r="A54" s="622">
        <v>28</v>
      </c>
      <c r="B54" s="758" t="s">
        <v>170</v>
      </c>
      <c r="D54" s="758"/>
      <c r="E54" s="759">
        <f>'ROO INPUT 1.00'!$F55</f>
        <v>0</v>
      </c>
      <c r="F54" s="749">
        <f>(F81*'RR SUMMARY'!$Q$14)*-0.21</f>
        <v>1.208928</v>
      </c>
      <c r="G54" s="749">
        <f>(G81*'RR SUMMARY'!$Q$14)*-0.21</f>
        <v>0</v>
      </c>
      <c r="H54" s="749">
        <f>(H81*'RR SUMMARY'!$Q$14)*-0.21</f>
        <v>3.4972560000000001</v>
      </c>
      <c r="I54" s="749">
        <f>(I81*'RR SUMMARY'!$Q$14)*-0.21</f>
        <v>0</v>
      </c>
      <c r="J54" s="749">
        <f>(J81*'RR SUMMARY'!$Q$14)*-0.21</f>
        <v>0</v>
      </c>
      <c r="K54" s="749">
        <f>(K81*'RR SUMMARY'!$Q$14)*-0.21</f>
        <v>0</v>
      </c>
      <c r="L54" s="749">
        <f>(L81*'RR SUMMARY'!$Q$14)*-0.21</f>
        <v>0</v>
      </c>
      <c r="M54" s="749">
        <f>(M81*'RR SUMMARY'!$Q$14)*-0.21</f>
        <v>0</v>
      </c>
      <c r="N54" s="749">
        <f>(N81*'RR SUMMARY'!$Q$14)*-0.21</f>
        <v>0</v>
      </c>
      <c r="O54" s="749">
        <f>(O81*'RR SUMMARY'!$Q$14)*-0.21</f>
        <v>0</v>
      </c>
      <c r="P54" s="749">
        <f>(P81*'RR SUMMARY'!$Q$14)*-0.21</f>
        <v>0</v>
      </c>
      <c r="Q54" s="749">
        <f>(Q81*'RR SUMMARY'!$Q$14)*-0.21</f>
        <v>0</v>
      </c>
      <c r="R54" s="749">
        <f>(R81*'RR SUMMARY'!$Q$14)*-0.21</f>
        <v>0</v>
      </c>
      <c r="S54" s="749">
        <f>(S81*'RR SUMMARY'!$Q$14)*-0.21</f>
        <v>0</v>
      </c>
      <c r="T54" s="760">
        <f>(T81*'RR SUMMARY'!$Q$14)*-0.21</f>
        <v>0</v>
      </c>
      <c r="U54" s="760">
        <f>(U81*'RR SUMMARY'!$Q$14)*-0.21</f>
        <v>0</v>
      </c>
      <c r="V54" s="749">
        <f>(V81*'RR SUMMARY'!$Q$14)*-0.21</f>
        <v>0</v>
      </c>
      <c r="W54" s="749">
        <f>(W81*'RR SUMMARY'!$Q$14)*-0.21</f>
        <v>-66.965975999999998</v>
      </c>
      <c r="X54" s="760">
        <f>(X81*'RR SUMMARY'!$Q$14)*-0.21</f>
        <v>0</v>
      </c>
      <c r="Y54" s="761">
        <f>SUM(E54:X54)</f>
        <v>-62.259791999999997</v>
      </c>
      <c r="Z54" s="749">
        <f>(Z81*'RR SUMMARY'!$Q$14)*-0.21</f>
        <v>0</v>
      </c>
      <c r="AA54" s="749">
        <f>(AA81*'RR SUMMARY'!$Q$14)*-0.21</f>
        <v>0</v>
      </c>
      <c r="AB54" s="749">
        <f>(AB81*'RR SUMMARY'!$Q$14)*-0.21</f>
        <v>0</v>
      </c>
      <c r="AC54" s="749">
        <f>(AC81*'RR SUMMARY'!$Q$14)*-0.21</f>
        <v>11.554976999999999</v>
      </c>
      <c r="AD54" s="762">
        <f>(AD81*'RR SUMMARY'!$Q$14)*-0.21</f>
        <v>0</v>
      </c>
      <c r="AE54" s="749">
        <f>(AE81*'RR SUMMARY'!$Q$14)*-0.21</f>
        <v>0</v>
      </c>
      <c r="AF54" s="749">
        <f>(AF81*'RR SUMMARY'!$Q$14)*-0.21</f>
        <v>0</v>
      </c>
      <c r="AG54" s="749">
        <f>(AG81*'RR SUMMARY'!$Q$14)*-0.21</f>
        <v>0</v>
      </c>
      <c r="AH54" s="749">
        <f>(AH81*'RR SUMMARY'!$Q$14)*-0.21</f>
        <v>0</v>
      </c>
      <c r="AI54" s="749">
        <f>(AI81*'RR SUMMARY'!$Q$14)*-0.21</f>
        <v>0</v>
      </c>
      <c r="AJ54" s="749">
        <f>(AJ81*'RR SUMMARY'!$Q$14)*-0.21</f>
        <v>0</v>
      </c>
      <c r="AK54" s="749">
        <f>(AK81*'RR SUMMARY'!$Q$14)*-0.21</f>
        <v>0</v>
      </c>
      <c r="AL54" s="749">
        <f>(AL81*'RR SUMMARY'!$Q$14)*-0.21</f>
        <v>0</v>
      </c>
      <c r="AM54" s="749">
        <f>(AM81*'RR SUMMARY'!$Q$14)*-0.21</f>
        <v>0</v>
      </c>
      <c r="AN54" s="749">
        <f>(AN81*'RR SUMMARY'!$Q$14)*-0.21</f>
        <v>-105.1761963</v>
      </c>
      <c r="AO54" s="749">
        <f>(AO81*'RR SUMMARY'!$Q$14)*-0.21</f>
        <v>0</v>
      </c>
      <c r="AP54" s="749">
        <f>(AP81*'RR SUMMARY'!$Q$14)*-0.21</f>
        <v>-111.00549600000001</v>
      </c>
      <c r="AQ54" s="749">
        <f>(AQ81*'RR SUMMARY'!$Q$14)*-0.21</f>
        <v>0</v>
      </c>
      <c r="AR54" s="749">
        <f>(AR81*'RR SUMMARY'!$Q$14)*-0.21</f>
        <v>0</v>
      </c>
      <c r="AS54" s="749">
        <f>(AS81*'RR SUMMARY'!$Q$14)*-0.21</f>
        <v>0</v>
      </c>
      <c r="AT54" s="749">
        <f>(AT81*'RR SUMMARY'!$Q$14)*-0.21</f>
        <v>-17.291448300000006</v>
      </c>
      <c r="AU54" s="749">
        <f>(AU81*'RR SUMMARY'!$Q$14)*-0.21</f>
        <v>0</v>
      </c>
      <c r="AV54" s="749">
        <f>(AV81*'RR SUMMARY'!$Q$14)*-0.21</f>
        <v>0</v>
      </c>
      <c r="AW54" s="764">
        <f>SUM(Y54:AV54)</f>
        <v>-284.17795560000002</v>
      </c>
      <c r="AX54" s="765"/>
      <c r="AY54" s="749">
        <f>(AY81*'RR SUMMARY'!$Q$14)*-0.21</f>
        <v>0</v>
      </c>
      <c r="AZ54" s="749">
        <f>(AZ81*'RR SUMMARY'!$Q$14)*-0.21</f>
        <v>4.5766559999999998</v>
      </c>
      <c r="BA54" s="762">
        <f>(BA81*'RR SUMMARY'!$Q$14)*-0.21</f>
        <v>0</v>
      </c>
      <c r="BB54" s="749">
        <f>(BB81*'RR SUMMARY'!$Q$14)*-0.21</f>
        <v>0</v>
      </c>
      <c r="BC54" s="749">
        <f>(BC81*'RR SUMMARY'!$Q$14)*-0.21</f>
        <v>0</v>
      </c>
      <c r="BD54" s="749">
        <f>(BD81*'RR SUMMARY'!$Q$14)*-0.21</f>
        <v>0</v>
      </c>
      <c r="BE54" s="749">
        <f>(BE81*'RR SUMMARY'!$Q$14)*-0.21</f>
        <v>0</v>
      </c>
      <c r="BF54" s="749">
        <f>(BF81*'RR SUMMARY'!$Q$14)*-0.21</f>
        <v>-92.228793300000007</v>
      </c>
      <c r="BG54" s="749">
        <f>(BG81*'RR SUMMARY'!$Q$14)*-0.21</f>
        <v>0</v>
      </c>
      <c r="BH54" s="749">
        <f>(BH81*'RR SUMMARY'!$Q$14)*-0.21</f>
        <v>0</v>
      </c>
      <c r="BI54" s="766">
        <f>SUM(AW54:BH54)</f>
        <v>-371.83009290000001</v>
      </c>
      <c r="BJ54" s="540">
        <f>BI54-AW54</f>
        <v>-87.652137299999993</v>
      </c>
    </row>
    <row r="55" spans="1:71">
      <c r="A55" s="622">
        <v>29</v>
      </c>
      <c r="B55" s="758" t="s">
        <v>56</v>
      </c>
      <c r="D55" s="758"/>
      <c r="E55" s="759">
        <f>'ROO INPUT 1.00'!$F56</f>
        <v>-3743</v>
      </c>
      <c r="F55" s="749">
        <v>0</v>
      </c>
      <c r="G55" s="749">
        <v>0</v>
      </c>
      <c r="H55" s="749">
        <v>0</v>
      </c>
      <c r="I55" s="749">
        <v>0</v>
      </c>
      <c r="J55" s="749">
        <v>0</v>
      </c>
      <c r="K55" s="749">
        <v>0</v>
      </c>
      <c r="L55" s="749">
        <v>0</v>
      </c>
      <c r="M55" s="749">
        <v>0</v>
      </c>
      <c r="N55" s="749">
        <f>ROUND(('G-2.06 FIT'!F30/1000),)</f>
        <v>-101</v>
      </c>
      <c r="O55" s="749">
        <v>0</v>
      </c>
      <c r="P55" s="749">
        <v>0</v>
      </c>
      <c r="Q55" s="749">
        <v>0</v>
      </c>
      <c r="R55" s="749">
        <v>0</v>
      </c>
      <c r="S55" s="749">
        <v>0</v>
      </c>
      <c r="T55" s="760">
        <v>0</v>
      </c>
      <c r="U55" s="760">
        <v>0</v>
      </c>
      <c r="V55" s="749">
        <v>0</v>
      </c>
      <c r="W55" s="749">
        <v>0</v>
      </c>
      <c r="X55" s="760">
        <v>0</v>
      </c>
      <c r="Y55" s="761">
        <f>SUM(E55:X55)</f>
        <v>-3844</v>
      </c>
      <c r="Z55" s="749">
        <v>0</v>
      </c>
      <c r="AA55" s="749">
        <v>0</v>
      </c>
      <c r="AB55" s="749">
        <f>ROUND('G-3.03 PF EDIT'!E11/1000,)</f>
        <v>136</v>
      </c>
      <c r="AC55" s="749">
        <v>0</v>
      </c>
      <c r="AD55" s="762">
        <v>0</v>
      </c>
      <c r="AE55" s="749">
        <v>0</v>
      </c>
      <c r="AF55" s="749">
        <v>0</v>
      </c>
      <c r="AG55" s="749">
        <v>0</v>
      </c>
      <c r="AH55" s="749">
        <v>0</v>
      </c>
      <c r="AI55" s="749">
        <v>0</v>
      </c>
      <c r="AJ55" s="749">
        <v>0</v>
      </c>
      <c r="AK55" s="749">
        <v>0</v>
      </c>
      <c r="AL55" s="749">
        <v>0</v>
      </c>
      <c r="AM55" s="749">
        <v>0</v>
      </c>
      <c r="AN55" s="749">
        <v>0</v>
      </c>
      <c r="AO55" s="749">
        <v>0</v>
      </c>
      <c r="AP55" s="749">
        <v>0</v>
      </c>
      <c r="AQ55" s="749">
        <v>0</v>
      </c>
      <c r="AR55" s="749">
        <v>0</v>
      </c>
      <c r="AS55" s="749">
        <v>0</v>
      </c>
      <c r="AT55" s="763">
        <v>0</v>
      </c>
      <c r="AU55" s="763">
        <v>0</v>
      </c>
      <c r="AV55" s="763">
        <v>0</v>
      </c>
      <c r="AW55" s="764">
        <f>SUM(Y55:AV55)</f>
        <v>-3708</v>
      </c>
      <c r="AX55" s="765"/>
      <c r="AY55" s="749">
        <v>0</v>
      </c>
      <c r="AZ55" s="749">
        <v>0</v>
      </c>
      <c r="BA55" s="762">
        <v>0</v>
      </c>
      <c r="BB55" s="749">
        <v>0</v>
      </c>
      <c r="BC55" s="749">
        <v>0</v>
      </c>
      <c r="BD55" s="749">
        <v>0</v>
      </c>
      <c r="BE55" s="749">
        <v>0</v>
      </c>
      <c r="BF55" s="763">
        <v>0</v>
      </c>
      <c r="BG55" s="763">
        <v>0</v>
      </c>
      <c r="BH55" s="763">
        <v>0</v>
      </c>
      <c r="BI55" s="766">
        <f>SUM(AW55:BH55)</f>
        <v>-3708</v>
      </c>
      <c r="BJ55" s="540">
        <f>BI55-AW55</f>
        <v>0</v>
      </c>
    </row>
    <row r="56" spans="1:71">
      <c r="A56" s="622">
        <v>30</v>
      </c>
      <c r="B56" s="758" t="s">
        <v>57</v>
      </c>
      <c r="D56" s="758"/>
      <c r="E56" s="767">
        <f>'ROO INPUT 1.00'!$F57</f>
        <v>0</v>
      </c>
      <c r="F56" s="768">
        <v>0</v>
      </c>
      <c r="G56" s="768">
        <v>0</v>
      </c>
      <c r="H56" s="768">
        <v>0</v>
      </c>
      <c r="I56" s="768">
        <v>0</v>
      </c>
      <c r="J56" s="768">
        <v>0</v>
      </c>
      <c r="K56" s="768">
        <v>0</v>
      </c>
      <c r="L56" s="768">
        <v>0</v>
      </c>
      <c r="M56" s="768">
        <v>0</v>
      </c>
      <c r="N56" s="768">
        <v>0</v>
      </c>
      <c r="O56" s="768">
        <v>0</v>
      </c>
      <c r="P56" s="768">
        <v>0</v>
      </c>
      <c r="Q56" s="768">
        <v>0</v>
      </c>
      <c r="R56" s="768">
        <v>0</v>
      </c>
      <c r="S56" s="768">
        <v>9626</v>
      </c>
      <c r="T56" s="769">
        <v>0</v>
      </c>
      <c r="U56" s="769">
        <v>0</v>
      </c>
      <c r="V56" s="768">
        <v>0</v>
      </c>
      <c r="W56" s="768">
        <v>0</v>
      </c>
      <c r="X56" s="769">
        <v>0</v>
      </c>
      <c r="Y56" s="770">
        <f>SUM(E56:X56)</f>
        <v>9626</v>
      </c>
      <c r="Z56" s="768">
        <v>0</v>
      </c>
      <c r="AA56" s="768">
        <v>0</v>
      </c>
      <c r="AB56" s="768">
        <v>0</v>
      </c>
      <c r="AC56" s="768">
        <v>0</v>
      </c>
      <c r="AD56" s="771">
        <v>0</v>
      </c>
      <c r="AE56" s="768">
        <v>0</v>
      </c>
      <c r="AF56" s="768">
        <v>0</v>
      </c>
      <c r="AG56" s="768">
        <v>0</v>
      </c>
      <c r="AH56" s="768">
        <v>0</v>
      </c>
      <c r="AI56" s="768">
        <v>0</v>
      </c>
      <c r="AJ56" s="768">
        <v>0</v>
      </c>
      <c r="AK56" s="768">
        <v>0</v>
      </c>
      <c r="AL56" s="768">
        <v>0</v>
      </c>
      <c r="AM56" s="768">
        <v>0</v>
      </c>
      <c r="AN56" s="768">
        <v>0</v>
      </c>
      <c r="AO56" s="768">
        <v>0</v>
      </c>
      <c r="AP56" s="768">
        <v>0</v>
      </c>
      <c r="AQ56" s="768">
        <v>0</v>
      </c>
      <c r="AR56" s="768">
        <v>0</v>
      </c>
      <c r="AS56" s="768">
        <v>0</v>
      </c>
      <c r="AT56" s="768">
        <v>0</v>
      </c>
      <c r="AU56" s="768">
        <v>0</v>
      </c>
      <c r="AV56" s="768">
        <v>0</v>
      </c>
      <c r="AW56" s="772">
        <f>SUM(Y56:AV56)</f>
        <v>9626</v>
      </c>
      <c r="AX56" s="765"/>
      <c r="AY56" s="768">
        <v>0</v>
      </c>
      <c r="AZ56" s="768">
        <v>0</v>
      </c>
      <c r="BA56" s="771">
        <v>0</v>
      </c>
      <c r="BB56" s="768">
        <v>0</v>
      </c>
      <c r="BC56" s="768">
        <v>0</v>
      </c>
      <c r="BD56" s="768">
        <v>0</v>
      </c>
      <c r="BE56" s="768">
        <v>0</v>
      </c>
      <c r="BF56" s="768">
        <v>0</v>
      </c>
      <c r="BG56" s="768">
        <v>0</v>
      </c>
      <c r="BH56" s="768">
        <v>0</v>
      </c>
      <c r="BI56" s="773">
        <f>SUM(AW56:BH56)</f>
        <v>9626</v>
      </c>
      <c r="BJ56" s="774">
        <f>BI56-AW56</f>
        <v>0</v>
      </c>
    </row>
    <row r="57" spans="1:71" ht="9.75" customHeight="1">
      <c r="E57" s="759"/>
      <c r="F57" s="775"/>
      <c r="G57" s="775"/>
      <c r="H57" s="775"/>
      <c r="I57" s="775"/>
      <c r="J57" s="775"/>
      <c r="K57" s="775"/>
      <c r="L57" s="775"/>
      <c r="M57" s="775"/>
      <c r="N57" s="775"/>
      <c r="O57" s="775"/>
      <c r="P57" s="775"/>
      <c r="Q57" s="775"/>
      <c r="R57" s="775"/>
      <c r="S57" s="775"/>
      <c r="T57" s="776"/>
      <c r="U57" s="776"/>
      <c r="V57" s="775"/>
      <c r="W57" s="775"/>
      <c r="X57" s="776"/>
      <c r="Y57" s="761"/>
      <c r="Z57" s="775"/>
      <c r="AA57" s="775"/>
      <c r="AB57" s="775"/>
      <c r="AC57" s="775"/>
      <c r="AD57" s="777"/>
      <c r="AE57" s="775"/>
      <c r="AF57" s="775"/>
      <c r="AG57" s="775"/>
      <c r="AH57" s="775"/>
      <c r="AI57" s="775"/>
      <c r="AJ57" s="775"/>
      <c r="AK57" s="775"/>
      <c r="AL57" s="775"/>
      <c r="AM57" s="775"/>
      <c r="AN57" s="775"/>
      <c r="AO57" s="775"/>
      <c r="AP57" s="775"/>
      <c r="AQ57" s="775"/>
      <c r="AR57" s="775"/>
      <c r="AS57" s="775"/>
      <c r="AT57" s="778"/>
      <c r="AU57" s="778"/>
      <c r="AV57" s="778"/>
      <c r="AW57" s="764"/>
      <c r="AX57" s="765"/>
      <c r="AY57" s="775"/>
      <c r="AZ57" s="775"/>
      <c r="BA57" s="777"/>
      <c r="BB57" s="775"/>
      <c r="BC57" s="775"/>
      <c r="BD57" s="775"/>
      <c r="BE57" s="775"/>
      <c r="BF57" s="778"/>
      <c r="BG57" s="778"/>
      <c r="BH57" s="778"/>
      <c r="BI57" s="779"/>
      <c r="BJ57" s="775"/>
    </row>
    <row r="58" spans="1:71" s="746" customFormat="1" ht="13.5" thickBot="1">
      <c r="A58" s="622">
        <v>31</v>
      </c>
      <c r="B58" s="746" t="s">
        <v>58</v>
      </c>
      <c r="E58" s="786">
        <f>E50-SUM(E53:E56)</f>
        <v>36392</v>
      </c>
      <c r="F58" s="787">
        <f t="shared" ref="F58:O58" si="153">F50-SUM(F53:F56)</f>
        <v>-1.208928</v>
      </c>
      <c r="G58" s="787">
        <f>G50-SUM(G53:G56)</f>
        <v>0</v>
      </c>
      <c r="H58" s="787">
        <f t="shared" si="153"/>
        <v>-3.4972560000000001</v>
      </c>
      <c r="I58" s="787">
        <f t="shared" si="153"/>
        <v>33.18</v>
      </c>
      <c r="J58" s="787">
        <f>J50-SUM(J53:J56)</f>
        <v>-227.52</v>
      </c>
      <c r="K58" s="787">
        <f t="shared" si="153"/>
        <v>-732.33</v>
      </c>
      <c r="L58" s="787">
        <f t="shared" si="153"/>
        <v>-314.42</v>
      </c>
      <c r="M58" s="787">
        <f t="shared" si="153"/>
        <v>14.22</v>
      </c>
      <c r="N58" s="787">
        <f t="shared" si="153"/>
        <v>101</v>
      </c>
      <c r="O58" s="787">
        <f t="shared" si="153"/>
        <v>7.9</v>
      </c>
      <c r="P58" s="787">
        <f t="shared" ref="P58:Q58" si="154">P50-SUM(P53:P56)</f>
        <v>3.16</v>
      </c>
      <c r="Q58" s="787">
        <f t="shared" si="154"/>
        <v>8.69</v>
      </c>
      <c r="R58" s="787">
        <f>R50-SUM(R53:R56)</f>
        <v>-33.97</v>
      </c>
      <c r="S58" s="787">
        <f t="shared" ref="S58" si="155">S50-SUM(S53:S56)</f>
        <v>8.0499999999992724</v>
      </c>
      <c r="T58" s="788">
        <f>T50-SUM(T53:T56)</f>
        <v>328.00799999999998</v>
      </c>
      <c r="U58" s="788">
        <f>U50-SUM(U53:U56)</f>
        <v>-197.72357</v>
      </c>
      <c r="V58" s="787">
        <f t="shared" ref="V58" si="156">V50-SUM(V53:V56)</f>
        <v>-57</v>
      </c>
      <c r="W58" s="787">
        <f>W50-SUM(W53:W56)</f>
        <v>66.965975999999998</v>
      </c>
      <c r="X58" s="788">
        <f>X50-SUM(X53:X56)</f>
        <v>0</v>
      </c>
      <c r="Y58" s="789">
        <f>Y50-SUM(Y53:Y56)+Y57</f>
        <v>35395.504221999989</v>
      </c>
      <c r="Z58" s="787">
        <f t="shared" ref="Z58" si="157">Z50-SUM(Z53:Z56)</f>
        <v>1922.07</v>
      </c>
      <c r="AA58" s="787">
        <f t="shared" ref="AA58:AB58" si="158">AA50-SUM(AA53:AA56)</f>
        <v>192.76</v>
      </c>
      <c r="AB58" s="787">
        <f t="shared" si="158"/>
        <v>-136</v>
      </c>
      <c r="AC58" s="787">
        <f t="shared" ref="AC58:AH58" si="159">AC50-SUM(AC53:AC56)</f>
        <v>622.815023</v>
      </c>
      <c r="AD58" s="790">
        <f t="shared" si="159"/>
        <v>-1441.9870000000001</v>
      </c>
      <c r="AE58" s="787">
        <f t="shared" si="159"/>
        <v>-15.013949999999999</v>
      </c>
      <c r="AF58" s="787">
        <f t="shared" si="159"/>
        <v>1334.4680000000001</v>
      </c>
      <c r="AG58" s="787">
        <f t="shared" ref="AG58" si="160">AG50-SUM(AG53:AG56)</f>
        <v>-291.35199999999998</v>
      </c>
      <c r="AH58" s="787">
        <f t="shared" si="159"/>
        <v>-61.620000000000005</v>
      </c>
      <c r="AI58" s="787">
        <f>AI50-SUM(AI53:AI56)</f>
        <v>-89.198110000000014</v>
      </c>
      <c r="AJ58" s="787">
        <f>AJ50-SUM(AJ53:AJ56)</f>
        <v>-747.34</v>
      </c>
      <c r="AK58" s="787">
        <f t="shared" ref="AK58:AM58" si="161">AK50-SUM(AK53:AK56)</f>
        <v>-472.42</v>
      </c>
      <c r="AL58" s="787">
        <f t="shared" si="161"/>
        <v>-16.274000000000001</v>
      </c>
      <c r="AM58" s="787">
        <f t="shared" si="161"/>
        <v>-1290.5929799999999</v>
      </c>
      <c r="AN58" s="787">
        <f>AN50-SUM(AN53:AN56)</f>
        <v>-898.12380370000005</v>
      </c>
      <c r="AO58" s="787">
        <f t="shared" ref="AO58" si="162">AO50-SUM(AO53:AO56)</f>
        <v>714.31799999999998</v>
      </c>
      <c r="AP58" s="787">
        <f t="shared" ref="AP58:AQ58" si="163">AP50-SUM(AP53:AP56)</f>
        <v>-1435.024504</v>
      </c>
      <c r="AQ58" s="787">
        <f t="shared" si="163"/>
        <v>-237</v>
      </c>
      <c r="AR58" s="787">
        <f>AR50-SUM(AR53:AR56)</f>
        <v>-140.62</v>
      </c>
      <c r="AS58" s="787">
        <f>AS50-SUM(AS53:AS56)</f>
        <v>-118.5</v>
      </c>
      <c r="AT58" s="787">
        <f t="shared" ref="AT58:AU58" si="164">AT50-SUM(AT53:AT56)</f>
        <v>-1697.0085517</v>
      </c>
      <c r="AU58" s="787">
        <f t="shared" si="164"/>
        <v>491.93853000000001</v>
      </c>
      <c r="AV58" s="787">
        <f t="shared" ref="AV58" si="165">AV50-SUM(AV53:AV56)</f>
        <v>0</v>
      </c>
      <c r="AW58" s="791">
        <f>AW50-SUM(AW53:AW56)+AW57</f>
        <v>31585.79887560002</v>
      </c>
      <c r="AX58" s="755"/>
      <c r="AY58" s="787">
        <f>AY50-SUM(AY53:AY56)</f>
        <v>0</v>
      </c>
      <c r="AZ58" s="787">
        <f t="shared" ref="AZ58:BC58" si="166">AZ50-SUM(AZ53:AZ56)</f>
        <v>78.373344000000003</v>
      </c>
      <c r="BA58" s="790">
        <f t="shared" si="166"/>
        <v>-580.57100000000003</v>
      </c>
      <c r="BB58" s="787">
        <f t="shared" si="166"/>
        <v>-115.97200000000001</v>
      </c>
      <c r="BC58" s="787">
        <f t="shared" si="166"/>
        <v>-23.7</v>
      </c>
      <c r="BD58" s="787">
        <f>BD50-SUM(BD53:BD56)</f>
        <v>51.35</v>
      </c>
      <c r="BE58" s="787">
        <f t="shared" ref="BE58" si="167">BE50-SUM(BE53:BE56)</f>
        <v>-516.23814000000004</v>
      </c>
      <c r="BF58" s="787">
        <f t="shared" ref="BF58" si="168">BF50-SUM(BF53:BF56)</f>
        <v>-1282.3712067000001</v>
      </c>
      <c r="BG58" s="787">
        <f t="shared" ref="BG58:BH58" si="169">BG50-SUM(BG53:BG56)</f>
        <v>189.50441000000001</v>
      </c>
      <c r="BH58" s="787">
        <f t="shared" si="169"/>
        <v>0</v>
      </c>
      <c r="BI58" s="792">
        <f>BI50-SUM(BI53:BI56)</f>
        <v>29386.17428290001</v>
      </c>
      <c r="BJ58" s="787">
        <f>BJ50-SUM(BJ53:BJ56)</f>
        <v>-2199.6245927000018</v>
      </c>
      <c r="BK58" s="757"/>
      <c r="BL58" s="634"/>
      <c r="BM58" s="634"/>
      <c r="BN58" s="634"/>
      <c r="BO58" s="634"/>
      <c r="BP58" s="634"/>
      <c r="BQ58" s="634"/>
      <c r="BR58" s="634"/>
      <c r="BS58" s="634"/>
    </row>
    <row r="59" spans="1:71" ht="6" customHeight="1" thickTop="1">
      <c r="E59" s="759"/>
      <c r="F59" s="775"/>
      <c r="G59" s="775"/>
      <c r="H59" s="775"/>
      <c r="I59" s="775"/>
      <c r="J59" s="775"/>
      <c r="K59" s="775"/>
      <c r="L59" s="775"/>
      <c r="M59" s="775"/>
      <c r="N59" s="775"/>
      <c r="O59" s="775"/>
      <c r="P59" s="775"/>
      <c r="Q59" s="775"/>
      <c r="R59" s="775"/>
      <c r="S59" s="775"/>
      <c r="T59" s="776"/>
      <c r="U59" s="793"/>
      <c r="V59" s="775"/>
      <c r="W59" s="775"/>
      <c r="X59" s="793"/>
      <c r="Y59" s="761"/>
      <c r="Z59" s="775"/>
      <c r="AA59" s="775"/>
      <c r="AB59" s="775"/>
      <c r="AC59" s="775"/>
      <c r="AD59" s="794"/>
      <c r="AE59" s="795"/>
      <c r="AF59" s="795"/>
      <c r="AG59" s="795"/>
      <c r="AH59" s="795"/>
      <c r="AI59" s="775"/>
      <c r="AJ59" s="775"/>
      <c r="AK59" s="775"/>
      <c r="AL59" s="775"/>
      <c r="AM59" s="775"/>
      <c r="AN59" s="775"/>
      <c r="AO59" s="775"/>
      <c r="AP59" s="775"/>
      <c r="AQ59" s="775"/>
      <c r="AR59" s="775"/>
      <c r="AS59" s="775"/>
      <c r="AT59" s="778"/>
      <c r="AU59" s="778"/>
      <c r="AV59" s="778"/>
      <c r="AW59" s="764"/>
      <c r="AX59" s="765"/>
      <c r="AY59" s="775"/>
      <c r="AZ59" s="775"/>
      <c r="BA59" s="794"/>
      <c r="BB59" s="795"/>
      <c r="BC59" s="775"/>
      <c r="BD59" s="775"/>
      <c r="BE59" s="775"/>
      <c r="BF59" s="778"/>
      <c r="BG59" s="778"/>
      <c r="BH59" s="778"/>
      <c r="BI59" s="779"/>
      <c r="BJ59" s="775"/>
    </row>
    <row r="60" spans="1:71">
      <c r="B60" s="623" t="s">
        <v>103</v>
      </c>
      <c r="E60" s="759"/>
      <c r="F60" s="775"/>
      <c r="G60" s="775"/>
      <c r="H60" s="775"/>
      <c r="I60" s="775"/>
      <c r="J60" s="775"/>
      <c r="K60" s="775"/>
      <c r="L60" s="775"/>
      <c r="M60" s="775"/>
      <c r="N60" s="775"/>
      <c r="O60" s="775"/>
      <c r="P60" s="775"/>
      <c r="Q60" s="775"/>
      <c r="R60" s="775"/>
      <c r="S60" s="775"/>
      <c r="T60" s="776"/>
      <c r="U60" s="793"/>
      <c r="V60" s="775"/>
      <c r="W60" s="775"/>
      <c r="X60" s="793"/>
      <c r="Y60" s="761"/>
      <c r="Z60" s="775"/>
      <c r="AA60" s="775"/>
      <c r="AB60" s="775"/>
      <c r="AC60" s="775"/>
      <c r="AD60" s="794"/>
      <c r="AE60" s="795"/>
      <c r="AF60" s="795"/>
      <c r="AG60" s="795"/>
      <c r="AH60" s="795"/>
      <c r="AI60" s="775"/>
      <c r="AJ60" s="775"/>
      <c r="AK60" s="775"/>
      <c r="AL60" s="775"/>
      <c r="AM60" s="775"/>
      <c r="AN60" s="775"/>
      <c r="AO60" s="775"/>
      <c r="AP60" s="775"/>
      <c r="AQ60" s="775"/>
      <c r="AR60" s="775"/>
      <c r="AS60" s="775"/>
      <c r="AT60" s="778"/>
      <c r="AU60" s="778"/>
      <c r="AV60" s="778"/>
      <c r="AW60" s="764"/>
      <c r="AX60" s="765"/>
      <c r="AY60" s="775"/>
      <c r="AZ60" s="775"/>
      <c r="BA60" s="794"/>
      <c r="BB60" s="795"/>
      <c r="BC60" s="775"/>
      <c r="BD60" s="775"/>
      <c r="BE60" s="775"/>
      <c r="BF60" s="778"/>
      <c r="BG60" s="778"/>
      <c r="BH60" s="778"/>
      <c r="BI60" s="779"/>
      <c r="BJ60" s="775"/>
    </row>
    <row r="61" spans="1:71">
      <c r="B61" s="623" t="s">
        <v>104</v>
      </c>
      <c r="E61" s="759"/>
      <c r="F61" s="749"/>
      <c r="G61" s="749"/>
      <c r="H61" s="749"/>
      <c r="I61" s="749"/>
      <c r="J61" s="749"/>
      <c r="K61" s="749"/>
      <c r="L61" s="749"/>
      <c r="M61" s="749"/>
      <c r="N61" s="749"/>
      <c r="O61" s="749"/>
      <c r="P61" s="749"/>
      <c r="Q61" s="749"/>
      <c r="R61" s="749"/>
      <c r="S61" s="749"/>
      <c r="T61" s="760"/>
      <c r="U61" s="796"/>
      <c r="V61" s="749"/>
      <c r="W61" s="749"/>
      <c r="X61" s="796"/>
      <c r="Y61" s="761"/>
      <c r="Z61" s="749"/>
      <c r="AA61" s="749"/>
      <c r="AB61" s="749"/>
      <c r="AC61" s="749"/>
      <c r="AD61" s="797"/>
      <c r="AE61" s="798"/>
      <c r="AF61" s="798"/>
      <c r="AG61" s="798"/>
      <c r="AH61" s="798"/>
      <c r="AI61" s="749"/>
      <c r="AJ61" s="749"/>
      <c r="AK61" s="749"/>
      <c r="AL61" s="749"/>
      <c r="AM61" s="749"/>
      <c r="AN61" s="749"/>
      <c r="AO61" s="749"/>
      <c r="AP61" s="749"/>
      <c r="AQ61" s="749"/>
      <c r="AR61" s="749"/>
      <c r="AS61" s="749"/>
      <c r="AT61" s="763"/>
      <c r="AU61" s="763"/>
      <c r="AV61" s="763"/>
      <c r="AW61" s="764"/>
      <c r="AX61" s="765"/>
      <c r="AY61" s="749"/>
      <c r="AZ61" s="749"/>
      <c r="BA61" s="797"/>
      <c r="BB61" s="798"/>
      <c r="BC61" s="749"/>
      <c r="BD61" s="749"/>
      <c r="BE61" s="749"/>
      <c r="BF61" s="763"/>
      <c r="BG61" s="763"/>
      <c r="BH61" s="763"/>
      <c r="BI61" s="780"/>
      <c r="BJ61" s="749"/>
    </row>
    <row r="62" spans="1:71">
      <c r="A62" s="622">
        <v>32</v>
      </c>
      <c r="B62" s="758"/>
      <c r="C62" s="758" t="s">
        <v>41</v>
      </c>
      <c r="D62" s="758"/>
      <c r="E62" s="747">
        <f>'ROO INPUT 1.00'!$F63</f>
        <v>34499.699999999997</v>
      </c>
      <c r="F62" s="748">
        <v>0</v>
      </c>
      <c r="G62" s="748">
        <v>0</v>
      </c>
      <c r="H62" s="748">
        <v>0</v>
      </c>
      <c r="I62" s="748">
        <v>0</v>
      </c>
      <c r="J62" s="748">
        <v>0</v>
      </c>
      <c r="K62" s="748">
        <v>0</v>
      </c>
      <c r="L62" s="748">
        <v>0</v>
      </c>
      <c r="M62" s="748">
        <v>0</v>
      </c>
      <c r="N62" s="748">
        <v>0</v>
      </c>
      <c r="O62" s="748">
        <v>0</v>
      </c>
      <c r="P62" s="748">
        <v>0</v>
      </c>
      <c r="Q62" s="748">
        <v>0</v>
      </c>
      <c r="R62" s="748">
        <v>0</v>
      </c>
      <c r="S62" s="748">
        <v>0</v>
      </c>
      <c r="T62" s="750">
        <v>0</v>
      </c>
      <c r="U62" s="799">
        <v>0</v>
      </c>
      <c r="V62" s="748">
        <v>0</v>
      </c>
      <c r="W62" s="748">
        <f>ROUND('G-2.15,3.15-3.17,4.01,5.07 CAP'!C24,)</f>
        <v>550</v>
      </c>
      <c r="X62" s="799">
        <v>0</v>
      </c>
      <c r="Y62" s="751">
        <f>SUM(E62:X62)</f>
        <v>35049.699999999997</v>
      </c>
      <c r="Z62" s="748">
        <v>0</v>
      </c>
      <c r="AA62" s="748">
        <v>0</v>
      </c>
      <c r="AB62" s="748">
        <v>0</v>
      </c>
      <c r="AC62" s="748">
        <v>0</v>
      </c>
      <c r="AD62" s="800">
        <v>0</v>
      </c>
      <c r="AE62" s="801">
        <v>0</v>
      </c>
      <c r="AF62" s="801">
        <v>0</v>
      </c>
      <c r="AG62" s="801">
        <v>0</v>
      </c>
      <c r="AH62" s="801">
        <v>0</v>
      </c>
      <c r="AI62" s="748">
        <v>0</v>
      </c>
      <c r="AJ62" s="748">
        <v>0</v>
      </c>
      <c r="AK62" s="748">
        <v>0</v>
      </c>
      <c r="AL62" s="748">
        <v>0</v>
      </c>
      <c r="AM62" s="748">
        <v>0</v>
      </c>
      <c r="AN62" s="748">
        <f>ROUND('G-2.15,3.15-3.17,4.01,5.07 CAP'!J24,)</f>
        <v>1129</v>
      </c>
      <c r="AO62" s="748">
        <v>0</v>
      </c>
      <c r="AP62" s="748">
        <f>ROUND('G-2.15,3.15-3.17,4.01,5.07 CAP'!V24,)</f>
        <v>1507</v>
      </c>
      <c r="AQ62" s="748">
        <v>0</v>
      </c>
      <c r="AR62" s="748">
        <v>0</v>
      </c>
      <c r="AS62" s="748">
        <v>0</v>
      </c>
      <c r="AT62" s="748">
        <f>ROUND('G-2.15,3.15-3.17,4.01,5.07 CAP'!AC24,)</f>
        <v>753</v>
      </c>
      <c r="AU62" s="753">
        <v>0</v>
      </c>
      <c r="AV62" s="753">
        <v>0</v>
      </c>
      <c r="AW62" s="754">
        <f>SUM(Y62:AV62)</f>
        <v>38438.699999999997</v>
      </c>
      <c r="AX62" s="755"/>
      <c r="AY62" s="748">
        <v>0</v>
      </c>
      <c r="AZ62" s="748">
        <v>0</v>
      </c>
      <c r="BA62" s="800">
        <v>0</v>
      </c>
      <c r="BB62" s="801">
        <v>0</v>
      </c>
      <c r="BC62" s="748">
        <v>0</v>
      </c>
      <c r="BD62" s="748">
        <v>0</v>
      </c>
      <c r="BE62" s="748">
        <v>0</v>
      </c>
      <c r="BF62" s="748">
        <f>ROUND('G-2.15,3.15-3.17,4.01,5.07 CAP'!AJ24,)</f>
        <v>1506</v>
      </c>
      <c r="BG62" s="753">
        <v>0</v>
      </c>
      <c r="BH62" s="753">
        <v>0</v>
      </c>
      <c r="BI62" s="756">
        <f>SUM(AW62:BH62)</f>
        <v>39944.699999999997</v>
      </c>
      <c r="BJ62" s="748">
        <f>BI62-AW62</f>
        <v>1506</v>
      </c>
    </row>
    <row r="63" spans="1:71">
      <c r="A63" s="622">
        <v>33</v>
      </c>
      <c r="B63" s="758"/>
      <c r="C63" s="758" t="s">
        <v>60</v>
      </c>
      <c r="D63" s="758"/>
      <c r="E63" s="759">
        <f>'ROO INPUT 1.00'!$F64</f>
        <v>650522.69999999995</v>
      </c>
      <c r="F63" s="749">
        <v>0</v>
      </c>
      <c r="G63" s="749">
        <v>0</v>
      </c>
      <c r="H63" s="749">
        <v>0</v>
      </c>
      <c r="I63" s="749">
        <v>0</v>
      </c>
      <c r="J63" s="749">
        <v>0</v>
      </c>
      <c r="K63" s="749">
        <v>0</v>
      </c>
      <c r="L63" s="749">
        <v>0</v>
      </c>
      <c r="M63" s="749">
        <v>0</v>
      </c>
      <c r="N63" s="749">
        <v>0</v>
      </c>
      <c r="O63" s="749">
        <v>0</v>
      </c>
      <c r="P63" s="749">
        <v>0</v>
      </c>
      <c r="Q63" s="749">
        <v>0</v>
      </c>
      <c r="R63" s="749">
        <v>0</v>
      </c>
      <c r="S63" s="749">
        <v>0</v>
      </c>
      <c r="T63" s="760">
        <v>0</v>
      </c>
      <c r="U63" s="796">
        <v>0</v>
      </c>
      <c r="V63" s="749">
        <v>0</v>
      </c>
      <c r="W63" s="749">
        <f>ROUND('G-2.15,3.15-3.17,4.01,5.07 CAP'!C25,)</f>
        <v>21260</v>
      </c>
      <c r="X63" s="796">
        <v>0</v>
      </c>
      <c r="Y63" s="761">
        <f>SUM(E63:X63)</f>
        <v>671782.7</v>
      </c>
      <c r="Z63" s="749">
        <v>0</v>
      </c>
      <c r="AA63" s="749">
        <v>0</v>
      </c>
      <c r="AB63" s="749">
        <v>0</v>
      </c>
      <c r="AC63" s="749">
        <v>0</v>
      </c>
      <c r="AD63" s="797">
        <v>0</v>
      </c>
      <c r="AE63" s="798">
        <v>0</v>
      </c>
      <c r="AF63" s="798">
        <v>0</v>
      </c>
      <c r="AG63" s="798">
        <v>0</v>
      </c>
      <c r="AH63" s="798">
        <v>0</v>
      </c>
      <c r="AI63" s="749">
        <v>0</v>
      </c>
      <c r="AJ63" s="749">
        <v>0</v>
      </c>
      <c r="AK63" s="749">
        <v>0</v>
      </c>
      <c r="AL63" s="749">
        <v>0</v>
      </c>
      <c r="AM63" s="749">
        <v>0</v>
      </c>
      <c r="AN63" s="749">
        <f>ROUND('G-2.15,3.15-3.17,4.01,5.07 CAP'!J25,0)</f>
        <v>21680</v>
      </c>
      <c r="AO63" s="749">
        <v>0</v>
      </c>
      <c r="AP63" s="749">
        <f>ROUND('G-2.15,3.15-3.17,4.01,5.07 CAP'!V25,)</f>
        <v>36106</v>
      </c>
      <c r="AQ63" s="749">
        <v>0</v>
      </c>
      <c r="AR63" s="749">
        <v>0</v>
      </c>
      <c r="AS63" s="749">
        <v>0</v>
      </c>
      <c r="AT63" s="749">
        <f>ROUND('G-2.15,3.15-3.17,4.01,5.07 CAP'!AC25,)</f>
        <v>14747</v>
      </c>
      <c r="AU63" s="763">
        <v>0</v>
      </c>
      <c r="AV63" s="763">
        <v>0</v>
      </c>
      <c r="AW63" s="764">
        <f>SUM(Y63:AV63)</f>
        <v>744315.7</v>
      </c>
      <c r="AX63" s="765"/>
      <c r="AY63" s="749">
        <v>0</v>
      </c>
      <c r="AZ63" s="749">
        <v>0</v>
      </c>
      <c r="BA63" s="797">
        <v>0</v>
      </c>
      <c r="BB63" s="798">
        <v>0</v>
      </c>
      <c r="BC63" s="749">
        <v>0</v>
      </c>
      <c r="BD63" s="749">
        <v>0</v>
      </c>
      <c r="BE63" s="749">
        <v>0</v>
      </c>
      <c r="BF63" s="749">
        <f>ROUND('G-2.15,3.15-3.17,4.01,5.07 CAP'!AJ25,)</f>
        <v>32043</v>
      </c>
      <c r="BG63" s="763">
        <v>0</v>
      </c>
      <c r="BH63" s="763">
        <v>0</v>
      </c>
      <c r="BI63" s="766">
        <f>SUM(AW63:BH63)</f>
        <v>776358.7</v>
      </c>
      <c r="BJ63" s="540">
        <f>BI63-AW63</f>
        <v>32043</v>
      </c>
    </row>
    <row r="64" spans="1:71">
      <c r="A64" s="622">
        <v>34</v>
      </c>
      <c r="B64" s="758"/>
      <c r="C64" s="758" t="s">
        <v>61</v>
      </c>
      <c r="D64" s="758"/>
      <c r="E64" s="767">
        <f>'ROO INPUT 1.00'!$F65</f>
        <v>161473</v>
      </c>
      <c r="F64" s="768">
        <v>0</v>
      </c>
      <c r="G64" s="768">
        <v>0</v>
      </c>
      <c r="H64" s="768">
        <v>0</v>
      </c>
      <c r="I64" s="768">
        <v>0</v>
      </c>
      <c r="J64" s="768">
        <v>0</v>
      </c>
      <c r="K64" s="768">
        <v>0</v>
      </c>
      <c r="L64" s="768">
        <v>0</v>
      </c>
      <c r="M64" s="768">
        <v>0</v>
      </c>
      <c r="N64" s="768">
        <v>0</v>
      </c>
      <c r="O64" s="768">
        <v>0</v>
      </c>
      <c r="P64" s="768">
        <v>0</v>
      </c>
      <c r="Q64" s="768">
        <v>0</v>
      </c>
      <c r="R64" s="768">
        <v>0</v>
      </c>
      <c r="S64" s="768">
        <v>0</v>
      </c>
      <c r="T64" s="769">
        <v>0</v>
      </c>
      <c r="U64" s="802">
        <v>0</v>
      </c>
      <c r="V64" s="768">
        <v>0</v>
      </c>
      <c r="W64" s="768">
        <f>ROUND(SUM('G-2.15,3.15-3.17,4.01,5.07 CAP'!C23,'G-2.15,3.15-3.17,4.01,5.07 CAP'!C26),)</f>
        <v>2797</v>
      </c>
      <c r="X64" s="802">
        <v>0</v>
      </c>
      <c r="Y64" s="770">
        <f>SUM(E64:X64)</f>
        <v>164270</v>
      </c>
      <c r="Z64" s="768">
        <v>0</v>
      </c>
      <c r="AA64" s="768">
        <v>0</v>
      </c>
      <c r="AB64" s="768">
        <v>0</v>
      </c>
      <c r="AC64" s="768">
        <v>0</v>
      </c>
      <c r="AD64" s="803">
        <v>0</v>
      </c>
      <c r="AE64" s="804">
        <v>0</v>
      </c>
      <c r="AF64" s="804">
        <v>0</v>
      </c>
      <c r="AG64" s="804">
        <v>0</v>
      </c>
      <c r="AH64" s="804">
        <v>0</v>
      </c>
      <c r="AI64" s="768">
        <v>0</v>
      </c>
      <c r="AJ64" s="768">
        <v>0</v>
      </c>
      <c r="AK64" s="768">
        <v>0</v>
      </c>
      <c r="AL64" s="768">
        <v>0</v>
      </c>
      <c r="AM64" s="768">
        <v>0</v>
      </c>
      <c r="AN64" s="768">
        <f>ROUND('G-2.15,3.15-3.17,4.01,5.07 CAP'!J23,)+ROUND('G-2.15,3.15-3.17,4.01,5.07 CAP'!J26,0)</f>
        <v>1859</v>
      </c>
      <c r="AO64" s="768">
        <v>0</v>
      </c>
      <c r="AP64" s="768">
        <f>ROUND('G-2.15,3.15-3.17,4.01,5.07 CAP'!V23,)+ROUND('G-2.15,3.15-3.17,4.01,5.07 CAP'!V26,)</f>
        <v>2150</v>
      </c>
      <c r="AQ64" s="768">
        <v>0</v>
      </c>
      <c r="AR64" s="768">
        <v>0</v>
      </c>
      <c r="AS64" s="768">
        <v>0</v>
      </c>
      <c r="AT64" s="768">
        <f>ROUND('G-2.15,3.15-3.17,4.01,5.07 CAP'!AC23,)+ROUND('G-2.15,3.15-3.17,4.01,5.07 CAP'!AC26,)</f>
        <v>1141</v>
      </c>
      <c r="AU64" s="768">
        <v>0</v>
      </c>
      <c r="AV64" s="768">
        <v>0</v>
      </c>
      <c r="AW64" s="772">
        <f>SUM(Y64:AV64)</f>
        <v>169420</v>
      </c>
      <c r="AX64" s="765"/>
      <c r="AY64" s="768">
        <v>0</v>
      </c>
      <c r="AZ64" s="768">
        <v>0</v>
      </c>
      <c r="BA64" s="803">
        <v>0</v>
      </c>
      <c r="BB64" s="804">
        <v>0</v>
      </c>
      <c r="BC64" s="768">
        <v>0</v>
      </c>
      <c r="BD64" s="768">
        <v>0</v>
      </c>
      <c r="BE64" s="768">
        <v>0</v>
      </c>
      <c r="BF64" s="768">
        <f>ROUND('G-2.15,3.15-3.17,4.01,5.07 CAP'!AJ23,)+ROUND(SUM('G-2.15,3.15-3.17,4.01,5.07 CAP'!AH26,'G-2.15,3.15-3.17,4.01,5.07 CAP'!AO26),)</f>
        <v>2293</v>
      </c>
      <c r="BG64" s="768">
        <v>0</v>
      </c>
      <c r="BH64" s="768">
        <v>0</v>
      </c>
      <c r="BI64" s="773">
        <f>SUM(AW64:BH64)</f>
        <v>171713</v>
      </c>
      <c r="BJ64" s="774">
        <f>BI64-AW64</f>
        <v>2293</v>
      </c>
    </row>
    <row r="65" spans="1:71" ht="15.75" customHeight="1">
      <c r="A65" s="622">
        <v>35</v>
      </c>
      <c r="B65" s="758" t="s">
        <v>62</v>
      </c>
      <c r="C65" s="758"/>
      <c r="E65" s="759">
        <f>SUM(E62:E64)</f>
        <v>846495.39999999991</v>
      </c>
      <c r="F65" s="775">
        <f t="shared" ref="F65:N65" si="170">SUM(F62:F64)</f>
        <v>0</v>
      </c>
      <c r="G65" s="775">
        <f t="shared" si="170"/>
        <v>0</v>
      </c>
      <c r="H65" s="775">
        <f t="shared" si="170"/>
        <v>0</v>
      </c>
      <c r="I65" s="775">
        <f t="shared" si="170"/>
        <v>0</v>
      </c>
      <c r="J65" s="775">
        <f>SUM(J62:J64)</f>
        <v>0</v>
      </c>
      <c r="K65" s="775">
        <f t="shared" si="170"/>
        <v>0</v>
      </c>
      <c r="L65" s="775">
        <f t="shared" si="170"/>
        <v>0</v>
      </c>
      <c r="M65" s="775">
        <f t="shared" si="170"/>
        <v>0</v>
      </c>
      <c r="N65" s="775">
        <f t="shared" si="170"/>
        <v>0</v>
      </c>
      <c r="O65" s="775">
        <f t="shared" ref="O65:Y65" si="171">SUM(O62:O64)</f>
        <v>0</v>
      </c>
      <c r="P65" s="775">
        <f t="shared" si="171"/>
        <v>0</v>
      </c>
      <c r="Q65" s="775">
        <f t="shared" ref="Q65:U65" si="172">SUM(Q62:Q64)</f>
        <v>0</v>
      </c>
      <c r="R65" s="775">
        <f t="shared" si="172"/>
        <v>0</v>
      </c>
      <c r="S65" s="775">
        <f t="shared" si="172"/>
        <v>0</v>
      </c>
      <c r="T65" s="776">
        <f t="shared" si="172"/>
        <v>0</v>
      </c>
      <c r="U65" s="776">
        <f t="shared" si="172"/>
        <v>0</v>
      </c>
      <c r="V65" s="775">
        <f t="shared" ref="V65" si="173">SUM(V62:V64)</f>
        <v>0</v>
      </c>
      <c r="W65" s="775">
        <f t="shared" ref="W65:X65" si="174">SUM(W62:W64)</f>
        <v>24607</v>
      </c>
      <c r="X65" s="776">
        <f t="shared" si="174"/>
        <v>0</v>
      </c>
      <c r="Y65" s="761">
        <f t="shared" si="171"/>
        <v>871102.39999999991</v>
      </c>
      <c r="Z65" s="775">
        <f>SUM(Z62:Z64)</f>
        <v>0</v>
      </c>
      <c r="AA65" s="775">
        <f>SUM(AA62:AA64)</f>
        <v>0</v>
      </c>
      <c r="AB65" s="775">
        <f>SUM(AB62:AB64)</f>
        <v>0</v>
      </c>
      <c r="AC65" s="775">
        <f t="shared" ref="AC65:AI65" si="175">SUM(AC62:AC64)</f>
        <v>0</v>
      </c>
      <c r="AD65" s="777">
        <f t="shared" si="175"/>
        <v>0</v>
      </c>
      <c r="AE65" s="775">
        <f t="shared" si="175"/>
        <v>0</v>
      </c>
      <c r="AF65" s="775">
        <f t="shared" si="175"/>
        <v>0</v>
      </c>
      <c r="AG65" s="775">
        <f t="shared" ref="AG65" si="176">SUM(AG62:AG64)</f>
        <v>0</v>
      </c>
      <c r="AH65" s="775">
        <f t="shared" si="175"/>
        <v>0</v>
      </c>
      <c r="AI65" s="775">
        <f t="shared" si="175"/>
        <v>0</v>
      </c>
      <c r="AJ65" s="775">
        <f t="shared" ref="AJ65:AK65" si="177">SUM(AJ62:AJ64)</f>
        <v>0</v>
      </c>
      <c r="AK65" s="775">
        <f t="shared" si="177"/>
        <v>0</v>
      </c>
      <c r="AL65" s="775">
        <f>SUM(AL62:AL64)</f>
        <v>0</v>
      </c>
      <c r="AM65" s="775">
        <f t="shared" ref="AM65:AO65" si="178">SUM(AM62:AM64)</f>
        <v>0</v>
      </c>
      <c r="AN65" s="775">
        <f t="shared" si="178"/>
        <v>24668</v>
      </c>
      <c r="AO65" s="775">
        <f t="shared" si="178"/>
        <v>0</v>
      </c>
      <c r="AP65" s="775">
        <f t="shared" ref="AP65:AQ65" si="179">SUM(AP62:AP64)</f>
        <v>39763</v>
      </c>
      <c r="AQ65" s="775">
        <f t="shared" si="179"/>
        <v>0</v>
      </c>
      <c r="AR65" s="775">
        <f t="shared" ref="AR65:AS65" si="180">SUM(AR62:AR64)</f>
        <v>0</v>
      </c>
      <c r="AS65" s="775">
        <f t="shared" si="180"/>
        <v>0</v>
      </c>
      <c r="AT65" s="775">
        <f>SUM(AT62:AT64)</f>
        <v>16641</v>
      </c>
      <c r="AU65" s="778">
        <f>SUM(AU62:AU64)</f>
        <v>0</v>
      </c>
      <c r="AV65" s="778">
        <f t="shared" ref="AV65" si="181">SUM(AV62:AV64)</f>
        <v>0</v>
      </c>
      <c r="AW65" s="764">
        <f t="shared" ref="AW65" si="182">SUM(AW62:AW64)</f>
        <v>952174.39999999991</v>
      </c>
      <c r="AX65" s="765"/>
      <c r="AY65" s="775">
        <f>SUM(AY62:AY64)</f>
        <v>0</v>
      </c>
      <c r="AZ65" s="775">
        <f t="shared" ref="AZ65" si="183">SUM(AZ62:AZ64)</f>
        <v>0</v>
      </c>
      <c r="BA65" s="777">
        <f t="shared" ref="BA65:BB65" si="184">SUM(BA62:BA64)</f>
        <v>0</v>
      </c>
      <c r="BB65" s="775">
        <f t="shared" si="184"/>
        <v>0</v>
      </c>
      <c r="BC65" s="775">
        <f>SUM(BC62:BC64)</f>
        <v>0</v>
      </c>
      <c r="BD65" s="775">
        <f>SUM(BD62:BD64)</f>
        <v>0</v>
      </c>
      <c r="BE65" s="775">
        <f t="shared" ref="BE65" si="185">SUM(BE62:BE64)</f>
        <v>0</v>
      </c>
      <c r="BF65" s="775">
        <f>SUM(BF62:BF64)</f>
        <v>35842</v>
      </c>
      <c r="BG65" s="778">
        <f>SUM(BG62:BG64)</f>
        <v>0</v>
      </c>
      <c r="BH65" s="778">
        <f>SUM(BH62:BH64)</f>
        <v>0</v>
      </c>
      <c r="BI65" s="779">
        <f>SUM(BI62:BI64)</f>
        <v>988016.39999999991</v>
      </c>
      <c r="BJ65" s="775">
        <f>SUM(BJ62:BJ64)</f>
        <v>35842</v>
      </c>
    </row>
    <row r="66" spans="1:71" ht="3.75" customHeight="1">
      <c r="B66" s="758"/>
      <c r="C66" s="758"/>
      <c r="E66" s="759"/>
      <c r="F66" s="775"/>
      <c r="G66" s="775"/>
      <c r="H66" s="775"/>
      <c r="I66" s="775"/>
      <c r="J66" s="775"/>
      <c r="K66" s="775"/>
      <c r="L66" s="775"/>
      <c r="M66" s="775"/>
      <c r="N66" s="775"/>
      <c r="O66" s="775"/>
      <c r="P66" s="775"/>
      <c r="Q66" s="775"/>
      <c r="R66" s="775"/>
      <c r="S66" s="775"/>
      <c r="T66" s="776"/>
      <c r="U66" s="776"/>
      <c r="V66" s="775"/>
      <c r="W66" s="775"/>
      <c r="X66" s="776"/>
      <c r="Y66" s="761"/>
      <c r="Z66" s="775"/>
      <c r="AA66" s="775"/>
      <c r="AB66" s="775"/>
      <c r="AC66" s="775"/>
      <c r="AD66" s="777"/>
      <c r="AE66" s="775"/>
      <c r="AF66" s="775"/>
      <c r="AG66" s="775"/>
      <c r="AH66" s="775"/>
      <c r="AI66" s="775"/>
      <c r="AJ66" s="775"/>
      <c r="AK66" s="775"/>
      <c r="AL66" s="775"/>
      <c r="AM66" s="775"/>
      <c r="AN66" s="775"/>
      <c r="AO66" s="775"/>
      <c r="AP66" s="775"/>
      <c r="AQ66" s="775"/>
      <c r="AR66" s="775"/>
      <c r="AS66" s="775"/>
      <c r="AT66" s="775"/>
      <c r="AU66" s="778"/>
      <c r="AV66" s="778"/>
      <c r="AW66" s="764"/>
      <c r="AX66" s="765"/>
      <c r="AY66" s="775"/>
      <c r="AZ66" s="775"/>
      <c r="BA66" s="777"/>
      <c r="BB66" s="775"/>
      <c r="BC66" s="775"/>
      <c r="BD66" s="775"/>
      <c r="BE66" s="775"/>
      <c r="BF66" s="775"/>
      <c r="BG66" s="778"/>
      <c r="BH66" s="778"/>
      <c r="BI66" s="779"/>
      <c r="BJ66" s="775"/>
    </row>
    <row r="67" spans="1:71">
      <c r="B67" s="758" t="s">
        <v>190</v>
      </c>
      <c r="C67" s="758"/>
      <c r="D67" s="758"/>
      <c r="E67" s="759"/>
      <c r="F67" s="749"/>
      <c r="G67" s="749"/>
      <c r="H67" s="749"/>
      <c r="I67" s="749"/>
      <c r="J67" s="749"/>
      <c r="K67" s="749"/>
      <c r="L67" s="749"/>
      <c r="M67" s="749"/>
      <c r="N67" s="749"/>
      <c r="O67" s="749"/>
      <c r="P67" s="749"/>
      <c r="Q67" s="749"/>
      <c r="R67" s="749"/>
      <c r="S67" s="749"/>
      <c r="T67" s="760"/>
      <c r="U67" s="760"/>
      <c r="V67" s="749"/>
      <c r="W67" s="749"/>
      <c r="X67" s="760"/>
      <c r="Y67" s="761"/>
      <c r="Z67" s="749"/>
      <c r="AA67" s="749"/>
      <c r="AB67" s="749"/>
      <c r="AC67" s="749"/>
      <c r="AD67" s="762"/>
      <c r="AE67" s="749"/>
      <c r="AF67" s="749"/>
      <c r="AG67" s="749"/>
      <c r="AH67" s="749"/>
      <c r="AI67" s="749"/>
      <c r="AJ67" s="749"/>
      <c r="AK67" s="749"/>
      <c r="AL67" s="749"/>
      <c r="AM67" s="749"/>
      <c r="AN67" s="749"/>
      <c r="AO67" s="749"/>
      <c r="AP67" s="749"/>
      <c r="AQ67" s="749"/>
      <c r="AR67" s="749"/>
      <c r="AS67" s="749"/>
      <c r="AT67" s="749"/>
      <c r="AU67" s="763"/>
      <c r="AV67" s="763"/>
      <c r="AW67" s="764"/>
      <c r="AX67" s="765"/>
      <c r="AY67" s="749"/>
      <c r="AZ67" s="749"/>
      <c r="BA67" s="762"/>
      <c r="BB67" s="749"/>
      <c r="BC67" s="749"/>
      <c r="BD67" s="749"/>
      <c r="BE67" s="749"/>
      <c r="BF67" s="749"/>
      <c r="BG67" s="763"/>
      <c r="BH67" s="763"/>
      <c r="BI67" s="780"/>
      <c r="BJ67" s="749"/>
    </row>
    <row r="68" spans="1:71">
      <c r="A68" s="622">
        <v>36</v>
      </c>
      <c r="B68" s="758"/>
      <c r="C68" s="758" t="s">
        <v>41</v>
      </c>
      <c r="D68" s="758"/>
      <c r="E68" s="759">
        <f>'ROO INPUT 1.00'!$F69</f>
        <v>-13149</v>
      </c>
      <c r="F68" s="749">
        <v>0</v>
      </c>
      <c r="G68" s="749">
        <v>0</v>
      </c>
      <c r="H68" s="749">
        <v>0</v>
      </c>
      <c r="I68" s="749">
        <v>0</v>
      </c>
      <c r="J68" s="749">
        <v>0</v>
      </c>
      <c r="K68" s="749">
        <v>0</v>
      </c>
      <c r="L68" s="749">
        <v>0</v>
      </c>
      <c r="M68" s="749">
        <v>0</v>
      </c>
      <c r="N68" s="749">
        <v>0</v>
      </c>
      <c r="O68" s="749">
        <v>0</v>
      </c>
      <c r="P68" s="749">
        <v>0</v>
      </c>
      <c r="Q68" s="749">
        <v>0</v>
      </c>
      <c r="R68" s="749">
        <v>0</v>
      </c>
      <c r="S68" s="749">
        <v>0</v>
      </c>
      <c r="T68" s="760">
        <v>0</v>
      </c>
      <c r="U68" s="760">
        <v>0</v>
      </c>
      <c r="V68" s="749">
        <v>0</v>
      </c>
      <c r="W68" s="749">
        <f>ROUND('G-2.15,3.15-3.17,4.01,5.07 CAP'!C31,)</f>
        <v>-258</v>
      </c>
      <c r="X68" s="760">
        <v>0</v>
      </c>
      <c r="Y68" s="761">
        <f>SUM(E68:X68)</f>
        <v>-13407</v>
      </c>
      <c r="Z68" s="749">
        <v>0</v>
      </c>
      <c r="AA68" s="749">
        <v>0</v>
      </c>
      <c r="AB68" s="749">
        <v>0</v>
      </c>
      <c r="AC68" s="749">
        <v>0</v>
      </c>
      <c r="AD68" s="762">
        <v>0</v>
      </c>
      <c r="AE68" s="749">
        <v>0</v>
      </c>
      <c r="AF68" s="749">
        <v>0</v>
      </c>
      <c r="AG68" s="749">
        <v>0</v>
      </c>
      <c r="AH68" s="749">
        <v>0</v>
      </c>
      <c r="AI68" s="749">
        <v>0</v>
      </c>
      <c r="AJ68" s="749">
        <v>0</v>
      </c>
      <c r="AK68" s="749">
        <v>0</v>
      </c>
      <c r="AL68" s="749">
        <v>0</v>
      </c>
      <c r="AM68" s="749">
        <v>0</v>
      </c>
      <c r="AN68" s="749">
        <f>ROUND('G-2.15,3.15-3.17,4.01,5.07 CAP'!J31,1)</f>
        <v>-263.5</v>
      </c>
      <c r="AO68" s="749">
        <v>0</v>
      </c>
      <c r="AP68" s="749">
        <f>ROUND('G-2.15,3.15-3.17,4.01,5.07 CAP'!V31,)</f>
        <v>-542</v>
      </c>
      <c r="AQ68" s="749">
        <v>0</v>
      </c>
      <c r="AR68" s="749">
        <v>0</v>
      </c>
      <c r="AS68" s="749">
        <v>0</v>
      </c>
      <c r="AT68" s="749">
        <f>ROUND('G-2.15,3.15-3.17,4.01,5.07 CAP'!AC31,)</f>
        <v>-280</v>
      </c>
      <c r="AU68" s="749">
        <v>0</v>
      </c>
      <c r="AV68" s="749">
        <v>0</v>
      </c>
      <c r="AW68" s="764">
        <f>SUM(Y68:AV68)</f>
        <v>-14492.5</v>
      </c>
      <c r="AX68" s="765"/>
      <c r="AY68" s="749">
        <v>0</v>
      </c>
      <c r="AZ68" s="749">
        <v>0</v>
      </c>
      <c r="BA68" s="762">
        <v>0</v>
      </c>
      <c r="BB68" s="749">
        <v>0</v>
      </c>
      <c r="BC68" s="749">
        <v>0</v>
      </c>
      <c r="BD68" s="749">
        <v>0</v>
      </c>
      <c r="BE68" s="749">
        <v>0</v>
      </c>
      <c r="BF68" s="749">
        <f>ROUND('G-2.15,3.15-3.17,4.01,5.07 CAP'!AJ31,)</f>
        <v>-574</v>
      </c>
      <c r="BG68" s="763">
        <v>0</v>
      </c>
      <c r="BH68" s="763">
        <v>0</v>
      </c>
      <c r="BI68" s="766">
        <f>SUM(AW68:BH68)</f>
        <v>-15066.5</v>
      </c>
      <c r="BJ68" s="540">
        <f>BI68-AW68</f>
        <v>-574</v>
      </c>
    </row>
    <row r="69" spans="1:71">
      <c r="A69" s="622">
        <v>37</v>
      </c>
      <c r="B69" s="758"/>
      <c r="C69" s="758" t="s">
        <v>60</v>
      </c>
      <c r="D69" s="758"/>
      <c r="E69" s="759">
        <f>'ROO INPUT 1.00'!$F70</f>
        <v>-188334</v>
      </c>
      <c r="F69" s="749">
        <v>0</v>
      </c>
      <c r="G69" s="749">
        <v>0</v>
      </c>
      <c r="H69" s="749">
        <v>0</v>
      </c>
      <c r="I69" s="749">
        <v>0</v>
      </c>
      <c r="J69" s="749">
        <v>0</v>
      </c>
      <c r="K69" s="749">
        <v>0</v>
      </c>
      <c r="L69" s="749">
        <v>0</v>
      </c>
      <c r="M69" s="749">
        <v>0</v>
      </c>
      <c r="N69" s="749">
        <v>0</v>
      </c>
      <c r="O69" s="749">
        <v>0</v>
      </c>
      <c r="P69" s="749">
        <v>0</v>
      </c>
      <c r="Q69" s="749">
        <v>0</v>
      </c>
      <c r="R69" s="749">
        <v>0</v>
      </c>
      <c r="S69" s="749">
        <v>0</v>
      </c>
      <c r="T69" s="760">
        <v>0</v>
      </c>
      <c r="U69" s="760">
        <v>0</v>
      </c>
      <c r="V69" s="749">
        <v>0</v>
      </c>
      <c r="W69" s="749">
        <f>ROUND('G-2.15,3.15-3.17,4.01,5.07 CAP'!C32,)</f>
        <v>-7739</v>
      </c>
      <c r="X69" s="760">
        <v>0</v>
      </c>
      <c r="Y69" s="761">
        <f>SUM(E69:X69)</f>
        <v>-196073</v>
      </c>
      <c r="Z69" s="749">
        <v>0</v>
      </c>
      <c r="AA69" s="749">
        <v>0</v>
      </c>
      <c r="AB69" s="749">
        <v>0</v>
      </c>
      <c r="AC69" s="749">
        <v>0</v>
      </c>
      <c r="AD69" s="762">
        <v>0</v>
      </c>
      <c r="AE69" s="749">
        <v>0</v>
      </c>
      <c r="AF69" s="749">
        <v>0</v>
      </c>
      <c r="AG69" s="749">
        <v>0</v>
      </c>
      <c r="AH69" s="749">
        <v>0</v>
      </c>
      <c r="AI69" s="749">
        <v>0</v>
      </c>
      <c r="AJ69" s="749">
        <v>0</v>
      </c>
      <c r="AK69" s="749">
        <v>0</v>
      </c>
      <c r="AL69" s="749">
        <v>0</v>
      </c>
      <c r="AM69" s="749">
        <v>0</v>
      </c>
      <c r="AN69" s="749">
        <f>ROUND('G-2.15,3.15-3.17,4.01,5.07 CAP'!J32,1)</f>
        <v>-7160.6</v>
      </c>
      <c r="AO69" s="749">
        <v>0</v>
      </c>
      <c r="AP69" s="749">
        <f>ROUND('G-2.15,3.15-3.17,4.01,5.07 CAP'!V32,)</f>
        <v>-15082</v>
      </c>
      <c r="AQ69" s="749">
        <v>0</v>
      </c>
      <c r="AR69" s="749">
        <v>0</v>
      </c>
      <c r="AS69" s="749">
        <v>0</v>
      </c>
      <c r="AT69" s="749">
        <f>ROUND('G-2.15,3.15-3.17,4.01,5.07 CAP'!AC32,1)</f>
        <v>-8157.8</v>
      </c>
      <c r="AU69" s="763">
        <v>0</v>
      </c>
      <c r="AV69" s="763">
        <v>0</v>
      </c>
      <c r="AW69" s="764">
        <f>SUM(Y69:AV69)</f>
        <v>-226473.4</v>
      </c>
      <c r="AX69" s="765"/>
      <c r="AY69" s="749">
        <v>0</v>
      </c>
      <c r="AZ69" s="749">
        <v>0</v>
      </c>
      <c r="BA69" s="762">
        <v>0</v>
      </c>
      <c r="BB69" s="749">
        <v>0</v>
      </c>
      <c r="BC69" s="749">
        <v>0</v>
      </c>
      <c r="BD69" s="749">
        <v>0</v>
      </c>
      <c r="BE69" s="749">
        <v>0</v>
      </c>
      <c r="BF69" s="749">
        <f>ROUND('G-2.15,3.15-3.17,4.01,5.07 CAP'!AJ32,)</f>
        <v>-16739</v>
      </c>
      <c r="BG69" s="763">
        <v>0</v>
      </c>
      <c r="BH69" s="763">
        <v>0</v>
      </c>
      <c r="BI69" s="766">
        <f>SUM(AW69:BH69)</f>
        <v>-243212.4</v>
      </c>
      <c r="BJ69" s="540">
        <f>BI69-AW69</f>
        <v>-16739</v>
      </c>
    </row>
    <row r="70" spans="1:71">
      <c r="A70" s="622">
        <v>38</v>
      </c>
      <c r="B70" s="758"/>
      <c r="C70" s="758" t="s">
        <v>61</v>
      </c>
      <c r="D70" s="758"/>
      <c r="E70" s="759">
        <f>'ROO INPUT 1.00'!$F71</f>
        <v>-62353</v>
      </c>
      <c r="F70" s="749">
        <v>0</v>
      </c>
      <c r="G70" s="749">
        <v>0</v>
      </c>
      <c r="H70" s="749">
        <v>0</v>
      </c>
      <c r="I70" s="749">
        <v>0</v>
      </c>
      <c r="J70" s="749">
        <v>0</v>
      </c>
      <c r="K70" s="749">
        <v>0</v>
      </c>
      <c r="L70" s="749">
        <v>0</v>
      </c>
      <c r="M70" s="749">
        <v>0</v>
      </c>
      <c r="N70" s="749">
        <v>0</v>
      </c>
      <c r="O70" s="749">
        <v>0</v>
      </c>
      <c r="P70" s="749">
        <v>0</v>
      </c>
      <c r="Q70" s="749">
        <v>0</v>
      </c>
      <c r="R70" s="749">
        <v>0</v>
      </c>
      <c r="S70" s="749">
        <v>0</v>
      </c>
      <c r="T70" s="760">
        <v>0</v>
      </c>
      <c r="U70" s="760">
        <v>0</v>
      </c>
      <c r="V70" s="749">
        <v>0</v>
      </c>
      <c r="W70" s="749">
        <f>ROUND(SUM('G-2.15,3.15-3.17,4.01,5.07 CAP'!C30,'G-2.15,3.15-3.17,4.01,5.07 CAP'!C33),)</f>
        <v>-4319</v>
      </c>
      <c r="X70" s="760">
        <v>0</v>
      </c>
      <c r="Y70" s="761">
        <f>SUM(E70:X70)</f>
        <v>-66672</v>
      </c>
      <c r="Z70" s="749">
        <v>0</v>
      </c>
      <c r="AA70" s="749">
        <v>0</v>
      </c>
      <c r="AB70" s="749">
        <v>0</v>
      </c>
      <c r="AC70" s="749"/>
      <c r="AD70" s="762">
        <v>0</v>
      </c>
      <c r="AE70" s="749">
        <v>0</v>
      </c>
      <c r="AF70" s="749">
        <v>0</v>
      </c>
      <c r="AG70" s="749">
        <v>0</v>
      </c>
      <c r="AH70" s="749">
        <v>0</v>
      </c>
      <c r="AI70" s="749">
        <v>0</v>
      </c>
      <c r="AJ70" s="749">
        <v>0</v>
      </c>
      <c r="AK70" s="749">
        <v>0</v>
      </c>
      <c r="AL70" s="749">
        <v>0</v>
      </c>
      <c r="AM70" s="749">
        <v>0</v>
      </c>
      <c r="AN70" s="749">
        <f>ROUND('G-2.15,3.15-3.17,4.01,5.07 CAP'!J30,)+ROUND('G-2.15,3.15-3.17,4.01,5.07 CAP'!J33,)</f>
        <v>2015</v>
      </c>
      <c r="AO70" s="749">
        <v>0</v>
      </c>
      <c r="AP70" s="749">
        <f>ROUND('G-2.15,3.15-3.17,4.01,5.07 CAP'!V30,)+ROUND('G-2.15,3.15-3.17,4.01,5.07 CAP'!V33,)</f>
        <v>-3656</v>
      </c>
      <c r="AQ70" s="749">
        <v>0</v>
      </c>
      <c r="AR70" s="749">
        <v>0</v>
      </c>
      <c r="AS70" s="749">
        <v>0</v>
      </c>
      <c r="AT70" s="749">
        <f>ROUND('G-2.15,3.15-3.17,4.01,5.07 CAP'!AC30,1)+ROUND('G-2.15,3.15-3.17,4.01,5.07 CAP'!AC33,1)</f>
        <v>-3603.3</v>
      </c>
      <c r="AU70" s="768">
        <v>0</v>
      </c>
      <c r="AV70" s="768">
        <v>0</v>
      </c>
      <c r="AW70" s="764">
        <f>SUM(Y70:AV70)</f>
        <v>-71916.3</v>
      </c>
      <c r="AX70" s="765"/>
      <c r="AY70" s="749">
        <v>0</v>
      </c>
      <c r="AZ70" s="749">
        <v>0</v>
      </c>
      <c r="BA70" s="762">
        <v>0</v>
      </c>
      <c r="BB70" s="749">
        <v>0</v>
      </c>
      <c r="BC70" s="749">
        <v>0</v>
      </c>
      <c r="BD70" s="749">
        <v>0</v>
      </c>
      <c r="BE70" s="749">
        <v>0</v>
      </c>
      <c r="BF70" s="749">
        <f>ROUND('G-2.15,3.15-3.17,4.01,5.07 CAP'!AJ30,1)+ROUND('G-2.15,3.15-3.17,4.01,5.07 CAP'!AJ33,1)</f>
        <v>-1513.1</v>
      </c>
      <c r="BG70" s="768">
        <v>0</v>
      </c>
      <c r="BH70" s="768">
        <v>0</v>
      </c>
      <c r="BI70" s="773">
        <f>SUM(AW70:BH70)</f>
        <v>-73429.400000000009</v>
      </c>
      <c r="BJ70" s="774">
        <f>BI70-AW70</f>
        <v>-1513.1000000000058</v>
      </c>
    </row>
    <row r="71" spans="1:71">
      <c r="A71" s="622">
        <v>39</v>
      </c>
      <c r="B71" s="758" t="s">
        <v>374</v>
      </c>
      <c r="C71" s="758"/>
      <c r="E71" s="805">
        <f>SUM(E68:E70)</f>
        <v>-263836</v>
      </c>
      <c r="F71" s="806">
        <f t="shared" ref="F71:N71" si="186">SUM(F68:F70)</f>
        <v>0</v>
      </c>
      <c r="G71" s="806">
        <f t="shared" si="186"/>
        <v>0</v>
      </c>
      <c r="H71" s="806">
        <f t="shared" si="186"/>
        <v>0</v>
      </c>
      <c r="I71" s="806">
        <f t="shared" si="186"/>
        <v>0</v>
      </c>
      <c r="J71" s="806">
        <f>SUM(J68:J70)</f>
        <v>0</v>
      </c>
      <c r="K71" s="806">
        <f t="shared" si="186"/>
        <v>0</v>
      </c>
      <c r="L71" s="806">
        <f t="shared" si="186"/>
        <v>0</v>
      </c>
      <c r="M71" s="806">
        <f t="shared" si="186"/>
        <v>0</v>
      </c>
      <c r="N71" s="806">
        <f t="shared" si="186"/>
        <v>0</v>
      </c>
      <c r="O71" s="806">
        <f t="shared" ref="O71:P71" si="187">SUM(O68:O70)</f>
        <v>0</v>
      </c>
      <c r="P71" s="806">
        <f t="shared" si="187"/>
        <v>0</v>
      </c>
      <c r="Q71" s="806">
        <f t="shared" ref="Q71:T71" si="188">SUM(Q68:Q70)</f>
        <v>0</v>
      </c>
      <c r="R71" s="806">
        <f t="shared" si="188"/>
        <v>0</v>
      </c>
      <c r="S71" s="806">
        <f t="shared" si="188"/>
        <v>0</v>
      </c>
      <c r="T71" s="807">
        <f t="shared" si="188"/>
        <v>0</v>
      </c>
      <c r="U71" s="807">
        <f t="shared" ref="U71" si="189">SUM(U68:U70)</f>
        <v>0</v>
      </c>
      <c r="V71" s="806">
        <f>SUM(V68:V70)</f>
        <v>0</v>
      </c>
      <c r="W71" s="806">
        <f t="shared" ref="W71:X71" si="190">SUM(W68:W70)</f>
        <v>-12316</v>
      </c>
      <c r="X71" s="807">
        <f t="shared" si="190"/>
        <v>0</v>
      </c>
      <c r="Y71" s="808">
        <f t="shared" ref="Y71" si="191">SUM(Y68:Y70)</f>
        <v>-276152</v>
      </c>
      <c r="Z71" s="806">
        <f>SUM(Z68:Z70)</f>
        <v>0</v>
      </c>
      <c r="AA71" s="806">
        <f>SUM(AA68:AA70)</f>
        <v>0</v>
      </c>
      <c r="AB71" s="806">
        <f>SUM(AB68:AB70)</f>
        <v>0</v>
      </c>
      <c r="AC71" s="806">
        <f t="shared" ref="AC71:AI71" si="192">SUM(AC68:AC70)</f>
        <v>0</v>
      </c>
      <c r="AD71" s="809">
        <f t="shared" si="192"/>
        <v>0</v>
      </c>
      <c r="AE71" s="806">
        <f t="shared" si="192"/>
        <v>0</v>
      </c>
      <c r="AF71" s="806">
        <f t="shared" si="192"/>
        <v>0</v>
      </c>
      <c r="AG71" s="806">
        <f t="shared" ref="AG71" si="193">SUM(AG68:AG70)</f>
        <v>0</v>
      </c>
      <c r="AH71" s="806">
        <f t="shared" si="192"/>
        <v>0</v>
      </c>
      <c r="AI71" s="806">
        <f t="shared" si="192"/>
        <v>0</v>
      </c>
      <c r="AJ71" s="806">
        <f t="shared" ref="AJ71:AK71" si="194">SUM(AJ68:AJ70)</f>
        <v>0</v>
      </c>
      <c r="AK71" s="806">
        <f t="shared" si="194"/>
        <v>0</v>
      </c>
      <c r="AL71" s="806">
        <f>SUM(AL68:AL70)</f>
        <v>0</v>
      </c>
      <c r="AM71" s="806">
        <f t="shared" ref="AM71:AO71" si="195">SUM(AM68:AM70)</f>
        <v>0</v>
      </c>
      <c r="AN71" s="806">
        <f t="shared" si="195"/>
        <v>-5409.1</v>
      </c>
      <c r="AO71" s="806">
        <f t="shared" si="195"/>
        <v>0</v>
      </c>
      <c r="AP71" s="806">
        <f t="shared" ref="AP71:AQ71" si="196">SUM(AP68:AP70)</f>
        <v>-19280</v>
      </c>
      <c r="AQ71" s="806">
        <f t="shared" si="196"/>
        <v>0</v>
      </c>
      <c r="AR71" s="806">
        <f t="shared" ref="AR71:AS71" si="197">SUM(AR68:AR70)</f>
        <v>0</v>
      </c>
      <c r="AS71" s="806">
        <f t="shared" si="197"/>
        <v>0</v>
      </c>
      <c r="AT71" s="806">
        <f>SUM(AT68:AT70)</f>
        <v>-12041.099999999999</v>
      </c>
      <c r="AU71" s="806">
        <f>SUM(AU68:AU70)</f>
        <v>0</v>
      </c>
      <c r="AV71" s="806">
        <f t="shared" ref="AV71" si="198">SUM(AV68:AV70)</f>
        <v>0</v>
      </c>
      <c r="AW71" s="810">
        <f t="shared" ref="AW71" si="199">SUM(AW68:AW70)</f>
        <v>-312882.2</v>
      </c>
      <c r="AX71" s="765"/>
      <c r="AY71" s="806">
        <f>SUM(AY68:AY70)</f>
        <v>0</v>
      </c>
      <c r="AZ71" s="806">
        <f t="shared" ref="AZ71" si="200">SUM(AZ68:AZ70)</f>
        <v>0</v>
      </c>
      <c r="BA71" s="809">
        <f t="shared" ref="BA71:BB71" si="201">SUM(BA68:BA70)</f>
        <v>0</v>
      </c>
      <c r="BB71" s="806">
        <f t="shared" si="201"/>
        <v>0</v>
      </c>
      <c r="BC71" s="806">
        <f>SUM(BC68:BC70)</f>
        <v>0</v>
      </c>
      <c r="BD71" s="806">
        <f>SUM(BD68:BD70)</f>
        <v>0</v>
      </c>
      <c r="BE71" s="806">
        <f t="shared" ref="BE71" si="202">SUM(BE68:BE70)</f>
        <v>0</v>
      </c>
      <c r="BF71" s="806">
        <f>SUM(BF68:BF70)</f>
        <v>-18826.099999999999</v>
      </c>
      <c r="BG71" s="806">
        <f>SUM(BG68:BG70)</f>
        <v>0</v>
      </c>
      <c r="BH71" s="806">
        <f>SUM(BH68:BH70)</f>
        <v>0</v>
      </c>
      <c r="BI71" s="811">
        <f>SUM(BI68:BI70)</f>
        <v>-331708.3</v>
      </c>
      <c r="BJ71" s="806">
        <f>SUM(BJ68:BJ70)</f>
        <v>-18826.100000000006</v>
      </c>
    </row>
    <row r="72" spans="1:71">
      <c r="A72" s="622">
        <v>40</v>
      </c>
      <c r="B72" s="758" t="s">
        <v>164</v>
      </c>
      <c r="C72" s="758"/>
      <c r="D72" s="758"/>
      <c r="E72" s="812">
        <f>E65+E71</f>
        <v>582659.39999999991</v>
      </c>
      <c r="F72" s="778">
        <f t="shared" ref="F72:AW72" si="203">F65+F71</f>
        <v>0</v>
      </c>
      <c r="G72" s="778">
        <f t="shared" si="203"/>
        <v>0</v>
      </c>
      <c r="H72" s="778">
        <f t="shared" si="203"/>
        <v>0</v>
      </c>
      <c r="I72" s="778">
        <f t="shared" si="203"/>
        <v>0</v>
      </c>
      <c r="J72" s="778">
        <f t="shared" si="203"/>
        <v>0</v>
      </c>
      <c r="K72" s="778">
        <f t="shared" si="203"/>
        <v>0</v>
      </c>
      <c r="L72" s="778">
        <f t="shared" si="203"/>
        <v>0</v>
      </c>
      <c r="M72" s="778">
        <f t="shared" si="203"/>
        <v>0</v>
      </c>
      <c r="N72" s="778">
        <f t="shared" si="203"/>
        <v>0</v>
      </c>
      <c r="O72" s="778">
        <f t="shared" si="203"/>
        <v>0</v>
      </c>
      <c r="P72" s="778">
        <f t="shared" si="203"/>
        <v>0</v>
      </c>
      <c r="Q72" s="778">
        <f t="shared" si="203"/>
        <v>0</v>
      </c>
      <c r="R72" s="778">
        <f t="shared" si="203"/>
        <v>0</v>
      </c>
      <c r="S72" s="778">
        <f t="shared" ref="S72" si="204">S65+S71</f>
        <v>0</v>
      </c>
      <c r="T72" s="813">
        <f>T65+T71</f>
        <v>0</v>
      </c>
      <c r="U72" s="813">
        <f>U65+U71</f>
        <v>0</v>
      </c>
      <c r="V72" s="778">
        <f>V65+V71</f>
        <v>0</v>
      </c>
      <c r="W72" s="778">
        <f>W65+W71</f>
        <v>12291</v>
      </c>
      <c r="X72" s="813">
        <f>X65+X71</f>
        <v>0</v>
      </c>
      <c r="Y72" s="814">
        <f t="shared" si="203"/>
        <v>594950.39999999991</v>
      </c>
      <c r="Z72" s="778">
        <f t="shared" ref="Z72" si="205">Z65+Z71</f>
        <v>0</v>
      </c>
      <c r="AA72" s="778">
        <f>AA65+AA71</f>
        <v>0</v>
      </c>
      <c r="AB72" s="778">
        <f>AB65+AB71</f>
        <v>0</v>
      </c>
      <c r="AC72" s="778">
        <f t="shared" ref="AC72:AI72" si="206">AC65+AC71</f>
        <v>0</v>
      </c>
      <c r="AD72" s="815">
        <f t="shared" si="206"/>
        <v>0</v>
      </c>
      <c r="AE72" s="778">
        <f t="shared" si="206"/>
        <v>0</v>
      </c>
      <c r="AF72" s="778">
        <f t="shared" si="206"/>
        <v>0</v>
      </c>
      <c r="AG72" s="778">
        <f t="shared" ref="AG72" si="207">AG65+AG71</f>
        <v>0</v>
      </c>
      <c r="AH72" s="778">
        <f t="shared" si="206"/>
        <v>0</v>
      </c>
      <c r="AI72" s="778">
        <f t="shared" si="206"/>
        <v>0</v>
      </c>
      <c r="AJ72" s="778">
        <f t="shared" ref="AJ72:AK72" si="208">AJ65+AJ71</f>
        <v>0</v>
      </c>
      <c r="AK72" s="778">
        <f t="shared" si="208"/>
        <v>0</v>
      </c>
      <c r="AL72" s="778">
        <f>AL65+AL71</f>
        <v>0</v>
      </c>
      <c r="AM72" s="778">
        <f t="shared" ref="AM72" si="209">AM65+AM71</f>
        <v>0</v>
      </c>
      <c r="AN72" s="778">
        <f>AN65+AN71</f>
        <v>19258.900000000001</v>
      </c>
      <c r="AO72" s="778">
        <f t="shared" ref="AO72" si="210">AO65+AO71</f>
        <v>0</v>
      </c>
      <c r="AP72" s="778">
        <f t="shared" ref="AP72:AQ72" si="211">AP65+AP71</f>
        <v>20483</v>
      </c>
      <c r="AQ72" s="778">
        <f t="shared" si="211"/>
        <v>0</v>
      </c>
      <c r="AR72" s="778">
        <f>AR65+AR71</f>
        <v>0</v>
      </c>
      <c r="AS72" s="778">
        <f>AS65+AS71</f>
        <v>0</v>
      </c>
      <c r="AT72" s="778">
        <f t="shared" ref="AT72:AU72" si="212">AT65+AT71</f>
        <v>4599.9000000000015</v>
      </c>
      <c r="AU72" s="778">
        <f t="shared" si="212"/>
        <v>0</v>
      </c>
      <c r="AV72" s="778">
        <f t="shared" ref="AV72" si="213">AV65+AV71</f>
        <v>0</v>
      </c>
      <c r="AW72" s="764">
        <f t="shared" si="203"/>
        <v>639292.19999999995</v>
      </c>
      <c r="AX72" s="765"/>
      <c r="AY72" s="778">
        <f>AY65+AY71</f>
        <v>0</v>
      </c>
      <c r="AZ72" s="778">
        <f t="shared" ref="AZ72:BC72" si="214">AZ65+AZ71</f>
        <v>0</v>
      </c>
      <c r="BA72" s="815">
        <f t="shared" si="214"/>
        <v>0</v>
      </c>
      <c r="BB72" s="778">
        <f t="shared" si="214"/>
        <v>0</v>
      </c>
      <c r="BC72" s="778">
        <f t="shared" si="214"/>
        <v>0</v>
      </c>
      <c r="BD72" s="778">
        <f>BD65+BD71</f>
        <v>0</v>
      </c>
      <c r="BE72" s="778">
        <f t="shared" ref="BE72" si="215">BE65+BE71</f>
        <v>0</v>
      </c>
      <c r="BF72" s="778">
        <f t="shared" ref="BF72" si="216">BF65+BF71</f>
        <v>17015.900000000001</v>
      </c>
      <c r="BG72" s="778">
        <f t="shared" ref="BG72:BH72" si="217">BG65+BG71</f>
        <v>0</v>
      </c>
      <c r="BH72" s="778">
        <f t="shared" si="217"/>
        <v>0</v>
      </c>
      <c r="BI72" s="816">
        <f>BI65+BI71</f>
        <v>656308.09999999986</v>
      </c>
      <c r="BJ72" s="778">
        <f>BJ65+BJ71</f>
        <v>17015.899999999994</v>
      </c>
    </row>
    <row r="73" spans="1:71" s="819" customFormat="1" ht="13.5" customHeight="1">
      <c r="A73" s="817">
        <v>41</v>
      </c>
      <c r="B73" s="818" t="s">
        <v>109</v>
      </c>
      <c r="C73" s="818"/>
      <c r="D73" s="818"/>
      <c r="E73" s="767">
        <f>'ROO INPUT 1.00'!$F74</f>
        <v>-84772</v>
      </c>
      <c r="F73" s="768">
        <f>ROUND(('G-1.01 DFIT'!E28/1000),)</f>
        <v>-224</v>
      </c>
      <c r="G73" s="768">
        <v>0</v>
      </c>
      <c r="H73" s="768">
        <v>0</v>
      </c>
      <c r="I73" s="768">
        <v>0</v>
      </c>
      <c r="J73" s="768">
        <v>0</v>
      </c>
      <c r="K73" s="768">
        <v>0</v>
      </c>
      <c r="L73" s="768">
        <v>0</v>
      </c>
      <c r="M73" s="768">
        <v>0</v>
      </c>
      <c r="N73" s="768">
        <v>0</v>
      </c>
      <c r="O73" s="768">
        <v>0</v>
      </c>
      <c r="P73" s="768">
        <v>0</v>
      </c>
      <c r="Q73" s="768">
        <v>0</v>
      </c>
      <c r="R73" s="768">
        <v>0</v>
      </c>
      <c r="S73" s="768">
        <v>0</v>
      </c>
      <c r="T73" s="769">
        <v>0</v>
      </c>
      <c r="U73" s="769">
        <v>0</v>
      </c>
      <c r="V73" s="768">
        <v>0</v>
      </c>
      <c r="W73" s="768">
        <f>ROUND('G-2.15,3.15-3.17,4.01,5.07 CAP'!C41,)</f>
        <v>117</v>
      </c>
      <c r="X73" s="769">
        <v>0</v>
      </c>
      <c r="Y73" s="770">
        <f>SUM(E73:X73)</f>
        <v>-84879</v>
      </c>
      <c r="Z73" s="768">
        <v>0</v>
      </c>
      <c r="AA73" s="768"/>
      <c r="AB73" s="768"/>
      <c r="AC73" s="768">
        <v>0</v>
      </c>
      <c r="AD73" s="771"/>
      <c r="AE73" s="768"/>
      <c r="AF73" s="768"/>
      <c r="AG73" s="768"/>
      <c r="AH73" s="768"/>
      <c r="AI73" s="768">
        <v>0</v>
      </c>
      <c r="AJ73" s="768">
        <v>0</v>
      </c>
      <c r="AK73" s="768"/>
      <c r="AL73" s="768"/>
      <c r="AM73" s="768"/>
      <c r="AN73" s="768">
        <f>ROUND('G-2.15,3.15-3.17,4.01,5.07 CAP'!J41,)</f>
        <v>229</v>
      </c>
      <c r="AO73" s="768"/>
      <c r="AP73" s="768">
        <f>ROUND('G-2.15,3.15-3.17,4.01,5.07 CAP'!V41,)</f>
        <v>85</v>
      </c>
      <c r="AQ73" s="768">
        <v>0</v>
      </c>
      <c r="AR73" s="768">
        <v>0</v>
      </c>
      <c r="AS73" s="768">
        <v>0</v>
      </c>
      <c r="AT73" s="768">
        <f>ROUND('G-2.15,3.15-3.17,4.01,5.07 CAP'!AC41,)</f>
        <v>-1396</v>
      </c>
      <c r="AU73" s="768"/>
      <c r="AV73" s="768"/>
      <c r="AW73" s="772">
        <f>SUM(Y73:AV73)</f>
        <v>-85961</v>
      </c>
      <c r="AX73" s="765"/>
      <c r="AY73" s="768"/>
      <c r="AZ73" s="768">
        <v>0</v>
      </c>
      <c r="BA73" s="771"/>
      <c r="BB73" s="768"/>
      <c r="BC73" s="768">
        <v>0</v>
      </c>
      <c r="BD73" s="768"/>
      <c r="BE73" s="768">
        <v>0</v>
      </c>
      <c r="BF73" s="768">
        <f>ROUND('G-2.15,3.15-3.17,4.01,5.07 CAP'!AJ41,)</f>
        <v>73</v>
      </c>
      <c r="BG73" s="768"/>
      <c r="BH73" s="768"/>
      <c r="BI73" s="773">
        <f>SUM(AW73:BH73)</f>
        <v>-85888</v>
      </c>
      <c r="BJ73" s="774">
        <f>BI73-AW73</f>
        <v>73</v>
      </c>
      <c r="BK73" s="633"/>
      <c r="BL73" s="634"/>
      <c r="BM73" s="634"/>
      <c r="BN73" s="634"/>
      <c r="BO73" s="634"/>
      <c r="BP73" s="634"/>
      <c r="BQ73" s="634"/>
      <c r="BR73" s="634"/>
      <c r="BS73" s="634"/>
    </row>
    <row r="74" spans="1:71" s="819" customFormat="1">
      <c r="A74" s="817">
        <v>42</v>
      </c>
      <c r="B74" s="818" t="s">
        <v>191</v>
      </c>
      <c r="C74" s="818"/>
      <c r="D74" s="818"/>
      <c r="E74" s="812">
        <f>E72+E73</f>
        <v>497887.39999999991</v>
      </c>
      <c r="F74" s="778">
        <f>F72+F73</f>
        <v>-224</v>
      </c>
      <c r="G74" s="778">
        <f t="shared" ref="G74:P74" si="218">G72+G73</f>
        <v>0</v>
      </c>
      <c r="H74" s="778">
        <f t="shared" si="218"/>
        <v>0</v>
      </c>
      <c r="I74" s="778">
        <f t="shared" si="218"/>
        <v>0</v>
      </c>
      <c r="J74" s="778">
        <f>J72+J73</f>
        <v>0</v>
      </c>
      <c r="K74" s="778">
        <f t="shared" si="218"/>
        <v>0</v>
      </c>
      <c r="L74" s="778">
        <f t="shared" si="218"/>
        <v>0</v>
      </c>
      <c r="M74" s="778">
        <f t="shared" si="218"/>
        <v>0</v>
      </c>
      <c r="N74" s="778">
        <f t="shared" si="218"/>
        <v>0</v>
      </c>
      <c r="O74" s="778">
        <f t="shared" si="218"/>
        <v>0</v>
      </c>
      <c r="P74" s="778">
        <f t="shared" si="218"/>
        <v>0</v>
      </c>
      <c r="Q74" s="778">
        <f t="shared" ref="Q74:Y74" si="219">Q72+Q73</f>
        <v>0</v>
      </c>
      <c r="R74" s="778">
        <f t="shared" si="219"/>
        <v>0</v>
      </c>
      <c r="S74" s="778">
        <f t="shared" si="219"/>
        <v>0</v>
      </c>
      <c r="T74" s="813">
        <f t="shared" si="219"/>
        <v>0</v>
      </c>
      <c r="U74" s="813">
        <f>U72+U73</f>
        <v>0</v>
      </c>
      <c r="V74" s="778">
        <f>V72+V73</f>
        <v>0</v>
      </c>
      <c r="W74" s="778">
        <f>W72+W73</f>
        <v>12408</v>
      </c>
      <c r="X74" s="813">
        <f>X72+X73</f>
        <v>0</v>
      </c>
      <c r="Y74" s="814">
        <f t="shared" si="219"/>
        <v>510071.39999999991</v>
      </c>
      <c r="Z74" s="778">
        <f>Z72+Z73</f>
        <v>0</v>
      </c>
      <c r="AA74" s="778">
        <f>AA72+AA73</f>
        <v>0</v>
      </c>
      <c r="AB74" s="778">
        <f>AB72+AB73</f>
        <v>0</v>
      </c>
      <c r="AC74" s="778">
        <f t="shared" ref="AC74:AI74" si="220">AC72+AC73</f>
        <v>0</v>
      </c>
      <c r="AD74" s="815">
        <f t="shared" si="220"/>
        <v>0</v>
      </c>
      <c r="AE74" s="778">
        <f t="shared" si="220"/>
        <v>0</v>
      </c>
      <c r="AF74" s="778">
        <f t="shared" si="220"/>
        <v>0</v>
      </c>
      <c r="AG74" s="778">
        <f t="shared" ref="AG74" si="221">AG72+AG73</f>
        <v>0</v>
      </c>
      <c r="AH74" s="778">
        <f t="shared" si="220"/>
        <v>0</v>
      </c>
      <c r="AI74" s="778">
        <f t="shared" si="220"/>
        <v>0</v>
      </c>
      <c r="AJ74" s="778">
        <f t="shared" ref="AJ74:AK74" si="222">AJ72+AJ73</f>
        <v>0</v>
      </c>
      <c r="AK74" s="778">
        <f t="shared" si="222"/>
        <v>0</v>
      </c>
      <c r="AL74" s="778">
        <f>AL72+AL73</f>
        <v>0</v>
      </c>
      <c r="AM74" s="778">
        <f t="shared" ref="AM74" si="223">AM72+AM73</f>
        <v>0</v>
      </c>
      <c r="AN74" s="778">
        <f>AN72+AN73</f>
        <v>19487.900000000001</v>
      </c>
      <c r="AO74" s="778">
        <f t="shared" ref="AO74" si="224">AO72+AO73</f>
        <v>0</v>
      </c>
      <c r="AP74" s="778">
        <f t="shared" ref="AP74:AQ74" si="225">AP72+AP73</f>
        <v>20568</v>
      </c>
      <c r="AQ74" s="778">
        <f t="shared" si="225"/>
        <v>0</v>
      </c>
      <c r="AR74" s="778">
        <f>AR72+AR73</f>
        <v>0</v>
      </c>
      <c r="AS74" s="778">
        <f>AS72+AS73</f>
        <v>0</v>
      </c>
      <c r="AT74" s="778">
        <f>AT72+AT73</f>
        <v>3203.9000000000015</v>
      </c>
      <c r="AU74" s="778">
        <f>AU72+AU73</f>
        <v>0</v>
      </c>
      <c r="AV74" s="778">
        <f t="shared" ref="AV74" si="226">AV72+AV73</f>
        <v>0</v>
      </c>
      <c r="AW74" s="764">
        <f t="shared" ref="AW74" si="227">AW72+AW73</f>
        <v>553331.19999999995</v>
      </c>
      <c r="AX74" s="765"/>
      <c r="AY74" s="778">
        <f>AY72+AY73</f>
        <v>0</v>
      </c>
      <c r="AZ74" s="778">
        <f t="shared" ref="AZ74" si="228">AZ72+AZ73</f>
        <v>0</v>
      </c>
      <c r="BA74" s="778">
        <f t="shared" ref="BA74:BJ74" si="229">BA72+BA73</f>
        <v>0</v>
      </c>
      <c r="BB74" s="778">
        <f t="shared" si="229"/>
        <v>0</v>
      </c>
      <c r="BC74" s="778">
        <f t="shared" si="229"/>
        <v>0</v>
      </c>
      <c r="BD74" s="778">
        <f t="shared" ref="BD74:BG74" si="230">BD72+BD73</f>
        <v>0</v>
      </c>
      <c r="BE74" s="778">
        <f t="shared" si="230"/>
        <v>0</v>
      </c>
      <c r="BF74" s="778">
        <f t="shared" si="230"/>
        <v>17088.900000000001</v>
      </c>
      <c r="BG74" s="778">
        <f t="shared" si="230"/>
        <v>0</v>
      </c>
      <c r="BH74" s="778">
        <f t="shared" si="229"/>
        <v>0</v>
      </c>
      <c r="BI74" s="816">
        <f t="shared" si="229"/>
        <v>570420.09999999986</v>
      </c>
      <c r="BJ74" s="778">
        <f t="shared" si="229"/>
        <v>17088.899999999994</v>
      </c>
      <c r="BK74" s="633"/>
      <c r="BL74" s="634"/>
      <c r="BM74" s="634"/>
      <c r="BN74" s="634"/>
      <c r="BO74" s="634"/>
      <c r="BP74" s="634"/>
      <c r="BQ74" s="634"/>
      <c r="BR74" s="634"/>
      <c r="BS74" s="634"/>
    </row>
    <row r="75" spans="1:71">
      <c r="A75" s="622">
        <v>43</v>
      </c>
      <c r="B75" s="758" t="s">
        <v>65</v>
      </c>
      <c r="C75" s="758"/>
      <c r="D75" s="758"/>
      <c r="E75" s="759">
        <f>'ROO INPUT 1.00'!$F76</f>
        <v>19552</v>
      </c>
      <c r="F75" s="749">
        <v>0</v>
      </c>
      <c r="G75" s="749">
        <v>0</v>
      </c>
      <c r="H75" s="749">
        <v>0</v>
      </c>
      <c r="I75" s="749">
        <v>0</v>
      </c>
      <c r="J75" s="749">
        <v>0</v>
      </c>
      <c r="K75" s="749">
        <v>0</v>
      </c>
      <c r="L75" s="749">
        <v>0</v>
      </c>
      <c r="M75" s="749">
        <v>0</v>
      </c>
      <c r="N75" s="749">
        <v>0</v>
      </c>
      <c r="O75" s="749">
        <v>0</v>
      </c>
      <c r="P75" s="749">
        <v>0</v>
      </c>
      <c r="Q75" s="749">
        <v>0</v>
      </c>
      <c r="R75" s="749">
        <v>0</v>
      </c>
      <c r="S75" s="749">
        <v>0</v>
      </c>
      <c r="T75" s="760">
        <v>0</v>
      </c>
      <c r="U75" s="760">
        <v>0</v>
      </c>
      <c r="V75" s="749">
        <v>0</v>
      </c>
      <c r="W75" s="749">
        <v>0</v>
      </c>
      <c r="X75" s="760">
        <v>0</v>
      </c>
      <c r="Y75" s="761">
        <f>SUM(E75:X75)</f>
        <v>19552</v>
      </c>
      <c r="Z75" s="749">
        <v>0</v>
      </c>
      <c r="AA75" s="749">
        <v>0</v>
      </c>
      <c r="AB75" s="749">
        <v>0</v>
      </c>
      <c r="AC75" s="749">
        <v>0</v>
      </c>
      <c r="AD75" s="749">
        <v>0</v>
      </c>
      <c r="AE75" s="749">
        <v>0</v>
      </c>
      <c r="AF75" s="749">
        <v>0</v>
      </c>
      <c r="AG75" s="749">
        <v>0</v>
      </c>
      <c r="AH75" s="749">
        <v>0</v>
      </c>
      <c r="AI75" s="749">
        <v>0</v>
      </c>
      <c r="AJ75" s="749">
        <v>0</v>
      </c>
      <c r="AK75" s="749">
        <v>0</v>
      </c>
      <c r="AL75" s="749">
        <v>0</v>
      </c>
      <c r="AM75" s="749">
        <v>0</v>
      </c>
      <c r="AN75" s="749">
        <v>0</v>
      </c>
      <c r="AO75" s="749">
        <v>0</v>
      </c>
      <c r="AP75" s="749">
        <v>0</v>
      </c>
      <c r="AQ75" s="749">
        <v>0</v>
      </c>
      <c r="AR75" s="749">
        <v>0</v>
      </c>
      <c r="AS75" s="749">
        <v>0</v>
      </c>
      <c r="AT75" s="763">
        <v>0</v>
      </c>
      <c r="AU75" s="763">
        <v>0</v>
      </c>
      <c r="AV75" s="763"/>
      <c r="AW75" s="764">
        <f>SUM(Y75:AV75)</f>
        <v>19552</v>
      </c>
      <c r="AX75" s="765"/>
      <c r="AY75" s="749">
        <v>0</v>
      </c>
      <c r="AZ75" s="749">
        <v>0</v>
      </c>
      <c r="BA75" s="749">
        <v>0</v>
      </c>
      <c r="BB75" s="749">
        <v>0</v>
      </c>
      <c r="BC75" s="749">
        <v>0</v>
      </c>
      <c r="BD75" s="749">
        <v>0</v>
      </c>
      <c r="BE75" s="749">
        <v>0</v>
      </c>
      <c r="BF75" s="749">
        <v>0</v>
      </c>
      <c r="BG75" s="749">
        <v>0</v>
      </c>
      <c r="BH75" s="749">
        <v>0</v>
      </c>
      <c r="BI75" s="766">
        <f>SUM(AW75:BH75)</f>
        <v>19552</v>
      </c>
      <c r="BJ75" s="540">
        <f>BI75-AW75</f>
        <v>0</v>
      </c>
    </row>
    <row r="76" spans="1:71" s="819" customFormat="1">
      <c r="A76" s="817">
        <v>44</v>
      </c>
      <c r="B76" s="818" t="s">
        <v>66</v>
      </c>
      <c r="C76" s="818"/>
      <c r="D76" s="818"/>
      <c r="E76" s="759">
        <f>'ROO INPUT 1.00'!$F77</f>
        <v>0</v>
      </c>
      <c r="F76" s="763">
        <v>0</v>
      </c>
      <c r="G76" s="763">
        <v>0</v>
      </c>
      <c r="H76" s="763">
        <v>0</v>
      </c>
      <c r="I76" s="763">
        <v>0</v>
      </c>
      <c r="J76" s="763">
        <v>0</v>
      </c>
      <c r="K76" s="763">
        <v>0</v>
      </c>
      <c r="L76" s="763">
        <v>0</v>
      </c>
      <c r="M76" s="763">
        <v>0</v>
      </c>
      <c r="N76" s="763">
        <v>0</v>
      </c>
      <c r="O76" s="763">
        <v>0</v>
      </c>
      <c r="P76" s="763">
        <v>0</v>
      </c>
      <c r="Q76" s="763">
        <v>0</v>
      </c>
      <c r="R76" s="763">
        <v>0</v>
      </c>
      <c r="S76" s="763">
        <v>0</v>
      </c>
      <c r="T76" s="820">
        <v>0</v>
      </c>
      <c r="U76" s="820">
        <v>0</v>
      </c>
      <c r="V76" s="763">
        <v>0</v>
      </c>
      <c r="W76" s="763">
        <v>0</v>
      </c>
      <c r="X76" s="820">
        <v>0</v>
      </c>
      <c r="Y76" s="814">
        <f>SUM(E76:X76)</f>
        <v>0</v>
      </c>
      <c r="Z76" s="763">
        <v>0</v>
      </c>
      <c r="AA76" s="749">
        <v>0</v>
      </c>
      <c r="AB76" s="763">
        <v>0</v>
      </c>
      <c r="AC76" s="763">
        <v>0</v>
      </c>
      <c r="AD76" s="763">
        <v>0</v>
      </c>
      <c r="AE76" s="763">
        <v>0</v>
      </c>
      <c r="AF76" s="763">
        <v>0</v>
      </c>
      <c r="AG76" s="763">
        <v>0</v>
      </c>
      <c r="AH76" s="763">
        <v>0</v>
      </c>
      <c r="AI76" s="763">
        <v>0</v>
      </c>
      <c r="AJ76" s="763">
        <v>0</v>
      </c>
      <c r="AK76" s="763">
        <v>0</v>
      </c>
      <c r="AL76" s="763">
        <v>0</v>
      </c>
      <c r="AM76" s="763">
        <v>0</v>
      </c>
      <c r="AN76" s="763">
        <v>0</v>
      </c>
      <c r="AO76" s="763">
        <v>0</v>
      </c>
      <c r="AP76" s="763">
        <v>0</v>
      </c>
      <c r="AQ76" s="763">
        <v>0</v>
      </c>
      <c r="AR76" s="763">
        <v>0</v>
      </c>
      <c r="AS76" s="763">
        <v>0</v>
      </c>
      <c r="AT76" s="763">
        <v>0</v>
      </c>
      <c r="AU76" s="763">
        <v>0</v>
      </c>
      <c r="AV76" s="763"/>
      <c r="AW76" s="764">
        <f>SUM(Y76:AV76)</f>
        <v>0</v>
      </c>
      <c r="AX76" s="765"/>
      <c r="AY76" s="763">
        <v>0</v>
      </c>
      <c r="AZ76" s="763">
        <v>0</v>
      </c>
      <c r="BA76" s="763">
        <v>0</v>
      </c>
      <c r="BB76" s="763">
        <v>0</v>
      </c>
      <c r="BC76" s="763">
        <v>0</v>
      </c>
      <c r="BD76" s="763">
        <v>0</v>
      </c>
      <c r="BE76" s="763">
        <v>0</v>
      </c>
      <c r="BF76" s="763">
        <v>0</v>
      </c>
      <c r="BG76" s="763">
        <v>0</v>
      </c>
      <c r="BH76" s="763">
        <v>0</v>
      </c>
      <c r="BI76" s="766">
        <f>SUM(AW76:BH76)</f>
        <v>0</v>
      </c>
      <c r="BJ76" s="540">
        <f>BI76-AW76</f>
        <v>0</v>
      </c>
      <c r="BK76" s="633"/>
      <c r="BL76" s="634"/>
      <c r="BM76" s="634"/>
      <c r="BN76" s="634"/>
      <c r="BO76" s="634"/>
      <c r="BP76" s="634"/>
      <c r="BQ76" s="634"/>
      <c r="BR76" s="634"/>
      <c r="BS76" s="634"/>
    </row>
    <row r="77" spans="1:71" s="819" customFormat="1">
      <c r="A77" s="817">
        <v>45</v>
      </c>
      <c r="B77" s="818" t="s">
        <v>377</v>
      </c>
      <c r="C77" s="818"/>
      <c r="D77" s="818"/>
      <c r="E77" s="759">
        <f>'ROO INPUT 1.00'!$F78</f>
        <v>943</v>
      </c>
      <c r="F77" s="763">
        <v>0</v>
      </c>
      <c r="G77" s="763">
        <v>0</v>
      </c>
      <c r="H77" s="763">
        <v>0</v>
      </c>
      <c r="I77" s="763">
        <v>0</v>
      </c>
      <c r="J77" s="763">
        <v>0</v>
      </c>
      <c r="K77" s="763">
        <v>0</v>
      </c>
      <c r="L77" s="763">
        <v>0</v>
      </c>
      <c r="M77" s="763">
        <v>0</v>
      </c>
      <c r="N77" s="763">
        <v>0</v>
      </c>
      <c r="O77" s="763">
        <v>0</v>
      </c>
      <c r="P77" s="763">
        <v>0</v>
      </c>
      <c r="Q77" s="763">
        <v>0</v>
      </c>
      <c r="R77" s="763">
        <v>0</v>
      </c>
      <c r="S77" s="763">
        <v>0</v>
      </c>
      <c r="T77" s="763">
        <v>0</v>
      </c>
      <c r="U77" s="763">
        <v>0</v>
      </c>
      <c r="V77" s="763">
        <v>0</v>
      </c>
      <c r="W77" s="763">
        <v>0</v>
      </c>
      <c r="X77" s="763">
        <v>0</v>
      </c>
      <c r="Y77" s="814">
        <f>SUM(E77:X77)</f>
        <v>943</v>
      </c>
      <c r="Z77" s="763">
        <v>0</v>
      </c>
      <c r="AA77" s="763">
        <v>0</v>
      </c>
      <c r="AB77" s="749">
        <v>0</v>
      </c>
      <c r="AC77" s="763">
        <f>ROUND('G-3.04,5.01 PF AMI'!D6/1000,)</f>
        <v>-2141</v>
      </c>
      <c r="AD77" s="763">
        <v>0</v>
      </c>
      <c r="AE77" s="763">
        <v>0</v>
      </c>
      <c r="AF77" s="763">
        <v>0</v>
      </c>
      <c r="AG77" s="763">
        <v>0</v>
      </c>
      <c r="AH77" s="763">
        <v>0</v>
      </c>
      <c r="AI77" s="763">
        <v>0</v>
      </c>
      <c r="AJ77" s="763">
        <v>0</v>
      </c>
      <c r="AK77" s="763">
        <v>0</v>
      </c>
      <c r="AL77" s="763">
        <v>0</v>
      </c>
      <c r="AM77" s="763">
        <v>0</v>
      </c>
      <c r="AN77" s="763">
        <v>0</v>
      </c>
      <c r="AO77" s="763">
        <v>0</v>
      </c>
      <c r="AP77" s="763">
        <v>0</v>
      </c>
      <c r="AQ77" s="763">
        <v>0</v>
      </c>
      <c r="AR77" s="763">
        <v>0</v>
      </c>
      <c r="AS77" s="763">
        <v>0</v>
      </c>
      <c r="AT77" s="763">
        <v>0</v>
      </c>
      <c r="AU77" s="763">
        <v>0</v>
      </c>
      <c r="AV77" s="763"/>
      <c r="AW77" s="764">
        <f>SUM(Y77:AV77)</f>
        <v>-1198</v>
      </c>
      <c r="AX77" s="765"/>
      <c r="AY77" s="763">
        <v>0</v>
      </c>
      <c r="AZ77" s="763">
        <f>ROUND('G-3.04,5.01 PF AMI'!D27/1000,)</f>
        <v>-848</v>
      </c>
      <c r="BA77" s="763">
        <v>0</v>
      </c>
      <c r="BB77" s="763">
        <v>0</v>
      </c>
      <c r="BC77" s="763">
        <v>0</v>
      </c>
      <c r="BD77" s="763">
        <v>0</v>
      </c>
      <c r="BE77" s="763">
        <v>0</v>
      </c>
      <c r="BF77" s="763">
        <v>0</v>
      </c>
      <c r="BG77" s="763">
        <v>0</v>
      </c>
      <c r="BH77" s="763">
        <v>0</v>
      </c>
      <c r="BI77" s="766">
        <f>SUM(AW77:BH77)</f>
        <v>-2046</v>
      </c>
      <c r="BJ77" s="540">
        <f>BI77-AW77</f>
        <v>-848</v>
      </c>
      <c r="BK77" s="633"/>
      <c r="BL77" s="634"/>
      <c r="BM77" s="634"/>
      <c r="BN77" s="634"/>
      <c r="BO77" s="634"/>
      <c r="BP77" s="634"/>
      <c r="BQ77" s="634"/>
      <c r="BR77" s="634"/>
      <c r="BS77" s="634"/>
    </row>
    <row r="78" spans="1:71">
      <c r="A78" s="622">
        <v>46</v>
      </c>
      <c r="B78" s="758" t="s">
        <v>165</v>
      </c>
      <c r="C78" s="758"/>
      <c r="D78" s="758"/>
      <c r="E78" s="767">
        <f>'ROO INPUT 1.00'!$F79</f>
        <v>15047</v>
      </c>
      <c r="F78" s="768">
        <v>0</v>
      </c>
      <c r="G78" s="768">
        <v>0</v>
      </c>
      <c r="H78" s="768">
        <f>ROUND(('G-1.03 WC'!AG63/1000),)</f>
        <v>-648</v>
      </c>
      <c r="I78" s="768">
        <v>0</v>
      </c>
      <c r="J78" s="768">
        <v>0</v>
      </c>
      <c r="K78" s="768">
        <v>0</v>
      </c>
      <c r="L78" s="768">
        <v>0</v>
      </c>
      <c r="M78" s="768">
        <v>0</v>
      </c>
      <c r="N78" s="768">
        <v>0</v>
      </c>
      <c r="O78" s="768">
        <v>0</v>
      </c>
      <c r="P78" s="768">
        <v>0</v>
      </c>
      <c r="Q78" s="768">
        <v>0</v>
      </c>
      <c r="R78" s="768">
        <v>0</v>
      </c>
      <c r="S78" s="768">
        <v>0</v>
      </c>
      <c r="T78" s="769">
        <v>0</v>
      </c>
      <c r="U78" s="769">
        <v>0</v>
      </c>
      <c r="V78" s="768">
        <v>0</v>
      </c>
      <c r="W78" s="768">
        <v>0</v>
      </c>
      <c r="X78" s="769">
        <v>0</v>
      </c>
      <c r="Y78" s="770">
        <f>SUM(E78:X78)</f>
        <v>14399</v>
      </c>
      <c r="Z78" s="768">
        <v>0</v>
      </c>
      <c r="AA78" s="768">
        <v>0</v>
      </c>
      <c r="AB78" s="768">
        <v>0</v>
      </c>
      <c r="AC78" s="768">
        <v>0</v>
      </c>
      <c r="AD78" s="768">
        <v>0</v>
      </c>
      <c r="AE78" s="768">
        <v>0</v>
      </c>
      <c r="AF78" s="768">
        <v>0</v>
      </c>
      <c r="AG78" s="768">
        <v>0</v>
      </c>
      <c r="AH78" s="768">
        <v>0</v>
      </c>
      <c r="AI78" s="768">
        <v>0</v>
      </c>
      <c r="AJ78" s="768">
        <v>0</v>
      </c>
      <c r="AK78" s="768">
        <v>0</v>
      </c>
      <c r="AL78" s="768">
        <v>0</v>
      </c>
      <c r="AM78" s="768">
        <v>0</v>
      </c>
      <c r="AN78" s="768">
        <v>0</v>
      </c>
      <c r="AO78" s="768">
        <v>0</v>
      </c>
      <c r="AP78" s="768">
        <v>0</v>
      </c>
      <c r="AQ78" s="768">
        <v>0</v>
      </c>
      <c r="AR78" s="768">
        <v>0</v>
      </c>
      <c r="AS78" s="768">
        <v>0</v>
      </c>
      <c r="AT78" s="768">
        <v>0</v>
      </c>
      <c r="AU78" s="768">
        <v>0</v>
      </c>
      <c r="AV78" s="768"/>
      <c r="AW78" s="772">
        <f>SUM(Y78:AV78)</f>
        <v>14399</v>
      </c>
      <c r="AX78" s="765"/>
      <c r="AY78" s="768">
        <v>0</v>
      </c>
      <c r="AZ78" s="768">
        <v>0</v>
      </c>
      <c r="BA78" s="768">
        <v>0</v>
      </c>
      <c r="BB78" s="768">
        <v>0</v>
      </c>
      <c r="BC78" s="768">
        <v>0</v>
      </c>
      <c r="BD78" s="768">
        <v>0</v>
      </c>
      <c r="BE78" s="768">
        <v>0</v>
      </c>
      <c r="BF78" s="768">
        <v>0</v>
      </c>
      <c r="BG78" s="768">
        <v>0</v>
      </c>
      <c r="BH78" s="768">
        <v>0</v>
      </c>
      <c r="BI78" s="773">
        <f>SUM(AW78:BH78)</f>
        <v>14399</v>
      </c>
      <c r="BJ78" s="774">
        <f>BI78-AW78</f>
        <v>0</v>
      </c>
    </row>
    <row r="79" spans="1:71" ht="4.5" customHeight="1">
      <c r="Y79" s="741"/>
      <c r="AT79" s="743"/>
      <c r="AU79" s="743"/>
      <c r="AV79" s="743"/>
      <c r="AW79" s="744"/>
      <c r="BF79" s="743"/>
      <c r="BG79" s="743"/>
      <c r="BH79" s="743"/>
      <c r="BI79" s="745"/>
    </row>
    <row r="80" spans="1:71" ht="2.25" customHeight="1">
      <c r="E80" s="759"/>
      <c r="F80" s="775"/>
      <c r="G80" s="775"/>
      <c r="H80" s="775"/>
      <c r="I80" s="775"/>
      <c r="J80" s="775"/>
      <c r="K80" s="775"/>
      <c r="L80" s="775"/>
      <c r="M80" s="775"/>
      <c r="N80" s="775"/>
      <c r="O80" s="775"/>
      <c r="P80" s="775"/>
      <c r="Q80" s="775"/>
      <c r="R80" s="775"/>
      <c r="S80" s="775"/>
      <c r="T80" s="776"/>
      <c r="U80" s="776"/>
      <c r="V80" s="775"/>
      <c r="W80" s="775"/>
      <c r="X80" s="776"/>
      <c r="Y80" s="761"/>
      <c r="Z80" s="775"/>
      <c r="AA80" s="775"/>
      <c r="AB80" s="775"/>
      <c r="AC80" s="775"/>
      <c r="AD80" s="777"/>
      <c r="AE80" s="775"/>
      <c r="AF80" s="775"/>
      <c r="AG80" s="775"/>
      <c r="AH80" s="775"/>
      <c r="AI80" s="775"/>
      <c r="AJ80" s="775"/>
      <c r="AK80" s="775"/>
      <c r="AL80" s="775"/>
      <c r="AM80" s="775"/>
      <c r="AN80" s="775"/>
      <c r="AO80" s="775"/>
      <c r="AP80" s="775"/>
      <c r="AQ80" s="775"/>
      <c r="AR80" s="775"/>
      <c r="AS80" s="775"/>
      <c r="AT80" s="778"/>
      <c r="AU80" s="778"/>
      <c r="AV80" s="778"/>
      <c r="AW80" s="764"/>
      <c r="AX80" s="765"/>
      <c r="AY80" s="775"/>
      <c r="AZ80" s="775"/>
      <c r="BA80" s="777"/>
      <c r="BB80" s="775"/>
      <c r="BC80" s="775"/>
      <c r="BD80" s="775"/>
      <c r="BE80" s="775"/>
      <c r="BF80" s="778"/>
      <c r="BG80" s="778"/>
      <c r="BH80" s="778"/>
      <c r="BI80" s="779"/>
      <c r="BJ80" s="775"/>
    </row>
    <row r="81" spans="1:71" s="822" customFormat="1" ht="13.5" thickBot="1">
      <c r="A81" s="821">
        <v>47</v>
      </c>
      <c r="B81" s="822" t="s">
        <v>67</v>
      </c>
      <c r="E81" s="823">
        <f>E74+E75+E76+E78+E77</f>
        <v>533429.39999999991</v>
      </c>
      <c r="F81" s="824">
        <f t="shared" ref="F81:Y81" si="231">F74+F75+F76+F78+F77</f>
        <v>-224</v>
      </c>
      <c r="G81" s="824">
        <f>G74+G75+G76+G78+G77</f>
        <v>0</v>
      </c>
      <c r="H81" s="824">
        <f t="shared" si="231"/>
        <v>-648</v>
      </c>
      <c r="I81" s="824">
        <f t="shared" si="231"/>
        <v>0</v>
      </c>
      <c r="J81" s="824">
        <f>J74+J75+J76+J78+J77</f>
        <v>0</v>
      </c>
      <c r="K81" s="824">
        <f t="shared" si="231"/>
        <v>0</v>
      </c>
      <c r="L81" s="824">
        <f t="shared" si="231"/>
        <v>0</v>
      </c>
      <c r="M81" s="824">
        <f t="shared" si="231"/>
        <v>0</v>
      </c>
      <c r="N81" s="824">
        <f t="shared" si="231"/>
        <v>0</v>
      </c>
      <c r="O81" s="824">
        <f t="shared" si="231"/>
        <v>0</v>
      </c>
      <c r="P81" s="824">
        <f t="shared" si="231"/>
        <v>0</v>
      </c>
      <c r="Q81" s="824">
        <f t="shared" ref="Q81:T81" si="232">Q74+Q75+Q76+Q78+Q77</f>
        <v>0</v>
      </c>
      <c r="R81" s="824">
        <f t="shared" si="232"/>
        <v>0</v>
      </c>
      <c r="S81" s="824">
        <f t="shared" si="232"/>
        <v>0</v>
      </c>
      <c r="T81" s="825">
        <f t="shared" si="232"/>
        <v>0</v>
      </c>
      <c r="U81" s="825">
        <f>U74+U75+U76+U78+U77</f>
        <v>0</v>
      </c>
      <c r="V81" s="824">
        <f>V74+V75+V76+V78+V77</f>
        <v>0</v>
      </c>
      <c r="W81" s="824">
        <f>W74+W75+W76+W78+W77</f>
        <v>12408</v>
      </c>
      <c r="X81" s="825">
        <f>X74+X75+X76+X78+X77</f>
        <v>0</v>
      </c>
      <c r="Y81" s="789">
        <f t="shared" si="231"/>
        <v>544965.39999999991</v>
      </c>
      <c r="Z81" s="824">
        <f t="shared" ref="Z81:AC81" si="233">Z74+Z75+Z76+Z78+Z77</f>
        <v>0</v>
      </c>
      <c r="AA81" s="824">
        <f t="shared" si="233"/>
        <v>0</v>
      </c>
      <c r="AB81" s="824">
        <f t="shared" si="233"/>
        <v>0</v>
      </c>
      <c r="AC81" s="824">
        <f t="shared" si="233"/>
        <v>-2141</v>
      </c>
      <c r="AD81" s="826">
        <f t="shared" ref="AD81:AI81" si="234">AD74+AD75+AD76+AD78+AD77</f>
        <v>0</v>
      </c>
      <c r="AE81" s="824">
        <f t="shared" si="234"/>
        <v>0</v>
      </c>
      <c r="AF81" s="824">
        <f t="shared" si="234"/>
        <v>0</v>
      </c>
      <c r="AG81" s="824">
        <f t="shared" ref="AG81" si="235">AG74+AG75+AG76+AG78+AG77</f>
        <v>0</v>
      </c>
      <c r="AH81" s="824">
        <f t="shared" si="234"/>
        <v>0</v>
      </c>
      <c r="AI81" s="824">
        <f t="shared" si="234"/>
        <v>0</v>
      </c>
      <c r="AJ81" s="824">
        <f t="shared" ref="AJ81:AK81" si="236">AJ74+AJ75+AJ76+AJ78+AJ77</f>
        <v>0</v>
      </c>
      <c r="AK81" s="824">
        <f t="shared" si="236"/>
        <v>0</v>
      </c>
      <c r="AL81" s="824">
        <f>AL74+AL75+AL76+AL78+AL77</f>
        <v>0</v>
      </c>
      <c r="AM81" s="824">
        <f t="shared" ref="AM81" si="237">AM74+AM75+AM76+AM78+AM77</f>
        <v>0</v>
      </c>
      <c r="AN81" s="824">
        <f>AN74+AN75+AN76+AN78+AN77</f>
        <v>19487.900000000001</v>
      </c>
      <c r="AO81" s="824">
        <f t="shared" ref="AO81" si="238">AO74+AO75+AO76+AO78+AO77</f>
        <v>0</v>
      </c>
      <c r="AP81" s="824">
        <f t="shared" ref="AP81:AQ81" si="239">AP74+AP75+AP76+AP78+AP77</f>
        <v>20568</v>
      </c>
      <c r="AQ81" s="824">
        <f t="shared" si="239"/>
        <v>0</v>
      </c>
      <c r="AR81" s="824">
        <f>AR74+AR75+AR76+AR78+AR77</f>
        <v>0</v>
      </c>
      <c r="AS81" s="824">
        <f>AS74+AS75+AS76+AS78+AS77</f>
        <v>0</v>
      </c>
      <c r="AT81" s="824">
        <f>AT74+AT75+AT76+AT78+AT77</f>
        <v>3203.9000000000015</v>
      </c>
      <c r="AU81" s="824">
        <f>AU74+AU75+AU76+AU78+AU77</f>
        <v>0</v>
      </c>
      <c r="AV81" s="824">
        <f t="shared" ref="AV81" si="240">AV74+AV75+AV76+AV78+AV77</f>
        <v>0</v>
      </c>
      <c r="AW81" s="791">
        <f t="shared" ref="AW81" si="241">AW74+AW75+AW76+AW78+AW77</f>
        <v>586084.19999999995</v>
      </c>
      <c r="AX81" s="755"/>
      <c r="AY81" s="824">
        <f t="shared" ref="AY81" si="242">AY74+AY75+AY76+AY78+AY77</f>
        <v>0</v>
      </c>
      <c r="AZ81" s="824">
        <f>AZ74+AZ75+AZ76+AZ78+AZ77</f>
        <v>-848</v>
      </c>
      <c r="BA81" s="826">
        <f>BA74+BA75+BA76+BA78+BA77</f>
        <v>0</v>
      </c>
      <c r="BB81" s="824">
        <f t="shared" ref="BB81" si="243">BB74+BB75+BB76+BB78+BB77</f>
        <v>0</v>
      </c>
      <c r="BC81" s="824">
        <f>BC74+BC75+BC76+BC78+BC77</f>
        <v>0</v>
      </c>
      <c r="BD81" s="824">
        <f>BD74+BD75+BD76+BD78+BD77</f>
        <v>0</v>
      </c>
      <c r="BE81" s="824">
        <f t="shared" ref="BE81" si="244">BE74+BE75+BE76+BE78+BE77</f>
        <v>0</v>
      </c>
      <c r="BF81" s="824">
        <f>BF74+BF75+BF76+BF78+BF77</f>
        <v>17088.900000000001</v>
      </c>
      <c r="BG81" s="824">
        <f>BG74+BG75+BG76+BG78+BG77</f>
        <v>0</v>
      </c>
      <c r="BH81" s="824">
        <f>BH74+BH75+BH76+BH78+BH77</f>
        <v>0</v>
      </c>
      <c r="BI81" s="792">
        <f>BI74+BI75+BI76+BI78+BI77</f>
        <v>602325.09999999986</v>
      </c>
      <c r="BJ81" s="824">
        <f>BJ74+BJ75+BJ76+BJ78+BJ77</f>
        <v>16240.899999999994</v>
      </c>
      <c r="BK81" s="827"/>
      <c r="BL81" s="531"/>
      <c r="BM81" s="531"/>
      <c r="BN81" s="531"/>
      <c r="BO81" s="531"/>
      <c r="BP81" s="531"/>
      <c r="BQ81" s="531"/>
      <c r="BR81" s="531"/>
      <c r="BS81" s="531"/>
    </row>
    <row r="82" spans="1:71" ht="12" customHeight="1" thickTop="1">
      <c r="A82" s="622">
        <v>48</v>
      </c>
      <c r="B82" s="623" t="s">
        <v>409</v>
      </c>
      <c r="E82" s="828">
        <f>ROUND(E58/E81,4)</f>
        <v>6.8199999999999997E-2</v>
      </c>
      <c r="F82" s="775"/>
      <c r="G82" s="775"/>
      <c r="H82" s="775"/>
      <c r="I82" s="775"/>
      <c r="J82" s="775"/>
      <c r="K82" s="775"/>
      <c r="L82" s="775"/>
      <c r="M82" s="775"/>
      <c r="N82" s="775"/>
      <c r="O82" s="775"/>
      <c r="P82" s="775"/>
      <c r="Q82" s="775"/>
      <c r="R82" s="775"/>
      <c r="S82" s="775"/>
      <c r="T82" s="776"/>
      <c r="U82" s="793"/>
      <c r="V82" s="775"/>
      <c r="W82" s="775"/>
      <c r="X82" s="793"/>
      <c r="Y82" s="829" t="s">
        <v>396</v>
      </c>
      <c r="Z82" s="775"/>
      <c r="AA82" s="775"/>
      <c r="AB82" s="775"/>
      <c r="AC82" s="775"/>
      <c r="AD82" s="794"/>
      <c r="AE82" s="795"/>
      <c r="AF82" s="795"/>
      <c r="AG82" s="795"/>
      <c r="AH82" s="795"/>
      <c r="AI82" s="775"/>
      <c r="AJ82" s="775"/>
      <c r="AK82" s="775"/>
      <c r="AL82" s="775"/>
      <c r="AM82" s="775"/>
      <c r="AN82" s="775"/>
      <c r="AO82" s="775"/>
      <c r="AP82" s="775"/>
      <c r="AQ82" s="775"/>
      <c r="AR82" s="775"/>
      <c r="AS82" s="775"/>
      <c r="AT82" s="765"/>
      <c r="AU82" s="765"/>
      <c r="AV82" s="765"/>
      <c r="AW82" s="830"/>
      <c r="AX82" s="831"/>
      <c r="AY82" s="775"/>
      <c r="AZ82" s="775"/>
      <c r="BA82" s="794"/>
      <c r="BB82" s="795"/>
      <c r="BC82" s="775"/>
      <c r="BD82" s="775"/>
      <c r="BE82" s="775"/>
      <c r="BF82" s="765"/>
      <c r="BG82" s="765"/>
      <c r="BH82" s="765"/>
      <c r="BI82" s="779"/>
      <c r="BJ82" s="775"/>
    </row>
    <row r="83" spans="1:71">
      <c r="A83" s="622">
        <v>50</v>
      </c>
      <c r="B83" s="623" t="s">
        <v>158</v>
      </c>
      <c r="E83" s="626">
        <f>E89</f>
        <v>5582.9175884110527</v>
      </c>
      <c r="F83" s="626">
        <f t="shared" ref="F83:Y83" si="245">F89</f>
        <v>-21.042307901824088</v>
      </c>
      <c r="G83" s="626">
        <f t="shared" si="245"/>
        <v>0</v>
      </c>
      <c r="H83" s="626">
        <f t="shared" si="245"/>
        <v>-60.872390715991123</v>
      </c>
      <c r="I83" s="626">
        <f t="shared" si="245"/>
        <v>-44.084294272629073</v>
      </c>
      <c r="J83" s="626">
        <f t="shared" ref="J83" si="246">J89</f>
        <v>302.29230358374224</v>
      </c>
      <c r="K83" s="626">
        <f t="shared" si="245"/>
        <v>973.00335216017027</v>
      </c>
      <c r="L83" s="626">
        <f t="shared" si="245"/>
        <v>417.75116953586598</v>
      </c>
      <c r="M83" s="626">
        <f t="shared" si="245"/>
        <v>-18.89326897398389</v>
      </c>
      <c r="N83" s="626">
        <f t="shared" si="245"/>
        <v>-134.19269805712889</v>
      </c>
      <c r="O83" s="626">
        <f t="shared" si="245"/>
        <v>-10.496260541102162</v>
      </c>
      <c r="P83" s="626">
        <f t="shared" si="245"/>
        <v>-4.1985042164408641</v>
      </c>
      <c r="Q83" s="626">
        <f t="shared" ref="Q83:T83" si="247">Q89</f>
        <v>-11.545886595212375</v>
      </c>
      <c r="R83" s="626">
        <f t="shared" si="247"/>
        <v>45.133920326739286</v>
      </c>
      <c r="S83" s="626">
        <f t="shared" si="247"/>
        <v>-10.695556627324653</v>
      </c>
      <c r="T83" s="627">
        <f t="shared" si="247"/>
        <v>-435.80473766656166</v>
      </c>
      <c r="U83" s="627">
        <f>U89</f>
        <v>262.70355770086718</v>
      </c>
      <c r="V83" s="626">
        <f>V89</f>
        <v>75.732512764914318</v>
      </c>
      <c r="W83" s="626">
        <f>W89</f>
        <v>1165.5935555617559</v>
      </c>
      <c r="X83" s="627">
        <f>X89</f>
        <v>0</v>
      </c>
      <c r="Y83" s="626">
        <f t="shared" si="245"/>
        <v>8073.3020544769261</v>
      </c>
      <c r="Z83" s="626">
        <f>Z89</f>
        <v>-2553.7401896501556</v>
      </c>
      <c r="AA83" s="626">
        <f>AA89</f>
        <v>-256.10875720289272</v>
      </c>
      <c r="AB83" s="626">
        <f>AB89</f>
        <v>180.69511817593593</v>
      </c>
      <c r="AC83" s="626">
        <f t="shared" ref="AC83:AI83" si="248">AC89</f>
        <v>-1043.9728518871348</v>
      </c>
      <c r="AD83" s="742">
        <f t="shared" si="248"/>
        <v>1915.8824365673775</v>
      </c>
      <c r="AE83" s="626">
        <f t="shared" si="248"/>
        <v>19.948143158364655</v>
      </c>
      <c r="AF83" s="626">
        <f t="shared" si="248"/>
        <v>-1773.0283306029771</v>
      </c>
      <c r="AG83" s="626">
        <f t="shared" ref="AG83" si="249">AG89</f>
        <v>387.10208875584766</v>
      </c>
      <c r="AH83" s="626">
        <f t="shared" si="248"/>
        <v>81.870832220596853</v>
      </c>
      <c r="AI83" s="626">
        <f t="shared" si="248"/>
        <v>118.51222814353041</v>
      </c>
      <c r="AJ83" s="626">
        <f t="shared" ref="AJ83:AK83" si="250">AJ89</f>
        <v>992.94624718826446</v>
      </c>
      <c r="AK83" s="626">
        <f t="shared" si="250"/>
        <v>627.67638035790924</v>
      </c>
      <c r="AL83" s="626">
        <f>AL89</f>
        <v>21.622296714670451</v>
      </c>
      <c r="AM83" s="626">
        <f t="shared" ref="AM83" si="251">AM89</f>
        <v>1714.7341988098035</v>
      </c>
      <c r="AN83" s="626">
        <f>AN89</f>
        <v>3163.6964822912146</v>
      </c>
      <c r="AO83" s="626">
        <f t="shared" ref="AO83" si="252">AO89</f>
        <v>-949.07187812645736</v>
      </c>
      <c r="AP83" s="626">
        <f t="shared" ref="AP83:AQ83" si="253">AP89</f>
        <v>3986.2529598790402</v>
      </c>
      <c r="AQ83" s="626">
        <f t="shared" si="253"/>
        <v>314.88781623306483</v>
      </c>
      <c r="AR83" s="626">
        <f>AR89</f>
        <v>186.83343763161847</v>
      </c>
      <c r="AS83" s="626">
        <f>AS89</f>
        <v>157.44390811653241</v>
      </c>
      <c r="AT83" s="626">
        <f>AT89</f>
        <v>2578.6592976274464</v>
      </c>
      <c r="AU83" s="626">
        <f>AU89</f>
        <v>-653.60949127681033</v>
      </c>
      <c r="AV83" s="626">
        <f t="shared" ref="AV83" si="254">AV89</f>
        <v>0</v>
      </c>
      <c r="AW83" s="832">
        <f>AW89</f>
        <v>17292.53442760168</v>
      </c>
      <c r="AY83" s="626">
        <f>AY89</f>
        <v>0</v>
      </c>
      <c r="AZ83" s="626">
        <f t="shared" ref="AZ83" si="255">AZ89</f>
        <v>-189.87090130990671</v>
      </c>
      <c r="BA83" s="742">
        <f t="shared" ref="BA83:BB83" si="256">BA89</f>
        <v>771.37018716559783</v>
      </c>
      <c r="BB83" s="626">
        <f t="shared" si="256"/>
        <v>154.08510474337973</v>
      </c>
      <c r="BC83" s="626">
        <f>BC89</f>
        <v>31.48878162330648</v>
      </c>
      <c r="BD83" s="626">
        <f>BD89</f>
        <v>-68.225693517164046</v>
      </c>
      <c r="BE83" s="626">
        <f t="shared" ref="BE83" si="257">BE89</f>
        <v>685.89493907518647</v>
      </c>
      <c r="BF83" s="626">
        <f>BF89</f>
        <v>3431.6613676494621</v>
      </c>
      <c r="BG83" s="626">
        <f>BG89</f>
        <v>-251.78324823390452</v>
      </c>
      <c r="BH83" s="626">
        <f>BH89</f>
        <v>0</v>
      </c>
      <c r="BI83" s="833">
        <f>BI89</f>
        <v>21857.154964797639</v>
      </c>
      <c r="BJ83" s="834">
        <f>BJ89</f>
        <v>4564.6205371959586</v>
      </c>
    </row>
    <row r="84" spans="1:71" s="740" customFormat="1" ht="58.5" customHeight="1">
      <c r="A84" s="662"/>
      <c r="E84" s="775"/>
      <c r="F84" s="775"/>
      <c r="G84" s="775"/>
      <c r="H84" s="775"/>
      <c r="I84" s="775"/>
      <c r="J84" s="775"/>
      <c r="K84" s="775"/>
      <c r="L84" s="775"/>
      <c r="M84" s="775"/>
      <c r="N84" s="775"/>
      <c r="O84" s="775"/>
      <c r="P84" s="775"/>
      <c r="Q84" s="775"/>
      <c r="R84" s="775"/>
      <c r="S84" s="775"/>
      <c r="T84" s="776"/>
      <c r="U84" s="835"/>
      <c r="V84" s="835"/>
      <c r="W84" s="835"/>
      <c r="X84" s="835"/>
      <c r="Y84" s="836"/>
      <c r="Z84" s="775"/>
      <c r="AA84" s="775"/>
      <c r="AB84" s="775"/>
      <c r="AC84" s="775"/>
      <c r="AD84" s="794"/>
      <c r="AE84" s="795"/>
      <c r="AF84" s="795"/>
      <c r="AG84" s="795"/>
      <c r="AH84" s="795"/>
      <c r="AI84" s="775"/>
      <c r="AJ84" s="775"/>
      <c r="AK84" s="775"/>
      <c r="AL84" s="775"/>
      <c r="AM84" s="775"/>
      <c r="AN84" s="775"/>
      <c r="AO84" s="775"/>
      <c r="AP84" s="775"/>
      <c r="AQ84" s="775"/>
      <c r="AR84" s="775"/>
      <c r="AS84" s="775"/>
      <c r="AT84" s="775"/>
      <c r="AU84" s="775"/>
      <c r="AV84" s="775"/>
      <c r="AW84" s="795"/>
      <c r="AX84" s="765"/>
      <c r="AY84" s="775"/>
      <c r="AZ84" s="775"/>
      <c r="BA84" s="794"/>
      <c r="BB84" s="795"/>
      <c r="BC84" s="775"/>
      <c r="BD84" s="775"/>
      <c r="BE84" s="775"/>
      <c r="BF84" s="775"/>
      <c r="BG84" s="775"/>
      <c r="BH84" s="775"/>
      <c r="BI84" s="795"/>
      <c r="BJ84" s="775"/>
      <c r="BK84" s="633"/>
      <c r="BL84" s="634"/>
      <c r="BM84" s="634"/>
      <c r="BN84" s="634"/>
      <c r="BO84" s="634"/>
      <c r="BP84" s="634"/>
      <c r="BQ84" s="634"/>
      <c r="BR84" s="634"/>
      <c r="BS84" s="634"/>
    </row>
    <row r="85" spans="1:71" s="740" customFormat="1" ht="21.75" customHeight="1">
      <c r="A85" s="662"/>
      <c r="E85" s="837"/>
      <c r="F85" s="775"/>
      <c r="G85" s="775"/>
      <c r="H85" s="775"/>
      <c r="I85" s="775"/>
      <c r="J85" s="775"/>
      <c r="K85" s="775"/>
      <c r="L85" s="775"/>
      <c r="M85" s="775"/>
      <c r="N85" s="775"/>
      <c r="O85" s="775"/>
      <c r="P85" s="775"/>
      <c r="Q85" s="775"/>
      <c r="R85" s="775"/>
      <c r="S85" s="775"/>
      <c r="T85" s="776"/>
      <c r="U85" s="564"/>
      <c r="V85" s="775"/>
      <c r="W85" s="775"/>
      <c r="X85" s="793"/>
      <c r="Y85" s="795"/>
      <c r="Z85" s="775"/>
      <c r="AA85" s="778"/>
      <c r="AB85" s="775"/>
      <c r="AC85" s="778"/>
      <c r="AD85" s="794"/>
      <c r="AE85" s="795"/>
      <c r="AF85" s="795"/>
      <c r="AG85" s="795"/>
      <c r="AH85" s="795"/>
      <c r="AI85" s="775"/>
      <c r="AJ85" s="775"/>
      <c r="AK85" s="775"/>
      <c r="AL85" s="775"/>
      <c r="AM85" s="778"/>
      <c r="AN85" s="775"/>
      <c r="AO85" s="778"/>
      <c r="AP85" s="778"/>
      <c r="AQ85" s="778"/>
      <c r="AR85" s="778"/>
      <c r="AS85" s="778"/>
      <c r="AT85" s="775"/>
      <c r="AU85" s="775"/>
      <c r="AV85" s="775"/>
      <c r="AW85" s="765"/>
      <c r="AX85" s="765"/>
      <c r="AY85" s="775"/>
      <c r="AZ85" s="778"/>
      <c r="BA85" s="794"/>
      <c r="BB85" s="795"/>
      <c r="BC85" s="775"/>
      <c r="BD85" s="778"/>
      <c r="BE85" s="775"/>
      <c r="BF85" s="775"/>
      <c r="BG85" s="775"/>
      <c r="BH85" s="775"/>
      <c r="BI85" s="795"/>
      <c r="BJ85" s="775"/>
      <c r="BK85" s="633"/>
      <c r="BL85" s="634"/>
      <c r="BM85" s="634"/>
      <c r="BN85" s="634"/>
      <c r="BO85" s="634"/>
      <c r="BP85" s="634"/>
      <c r="BQ85" s="634"/>
      <c r="BR85" s="634"/>
      <c r="BS85" s="634"/>
    </row>
    <row r="86" spans="1:71" s="740" customFormat="1" ht="16.5" customHeight="1">
      <c r="A86" s="838"/>
      <c r="D86" s="839" t="s">
        <v>382</v>
      </c>
      <c r="E86" s="840">
        <f>'RR SUMMARY'!O15</f>
        <v>7.6100000000000001E-2</v>
      </c>
      <c r="F86" s="775"/>
      <c r="G86" s="775"/>
      <c r="H86" s="775"/>
      <c r="I86" s="775"/>
      <c r="J86" s="775"/>
      <c r="K86" s="775"/>
      <c r="L86" s="775"/>
      <c r="M86" s="775"/>
      <c r="N86" s="775"/>
      <c r="O86" s="775"/>
      <c r="P86" s="775"/>
      <c r="Q86" s="775"/>
      <c r="R86" s="775"/>
      <c r="S86" s="775"/>
      <c r="T86" s="776"/>
      <c r="U86" s="793"/>
      <c r="V86" s="775"/>
      <c r="W86" s="775"/>
      <c r="X86" s="793"/>
      <c r="Y86" s="795"/>
      <c r="Z86" s="775"/>
      <c r="AA86" s="778"/>
      <c r="AB86" s="775"/>
      <c r="AC86" s="778"/>
      <c r="AD86" s="794"/>
      <c r="AE86" s="795"/>
      <c r="AF86" s="795"/>
      <c r="AG86" s="795"/>
      <c r="AH86" s="795"/>
      <c r="AI86" s="775"/>
      <c r="AJ86" s="775"/>
      <c r="AK86" s="775"/>
      <c r="AL86" s="775"/>
      <c r="AM86" s="778"/>
      <c r="AN86" s="775"/>
      <c r="AO86" s="778"/>
      <c r="AP86" s="778"/>
      <c r="AQ86" s="778"/>
      <c r="AR86" s="778"/>
      <c r="AS86" s="778"/>
      <c r="AT86" s="775"/>
      <c r="AU86" s="775"/>
      <c r="AV86" s="775"/>
      <c r="AW86" s="765"/>
      <c r="AX86" s="765"/>
      <c r="AY86" s="775"/>
      <c r="AZ86" s="778"/>
      <c r="BA86" s="794"/>
      <c r="BB86" s="795"/>
      <c r="BC86" s="775"/>
      <c r="BD86" s="778"/>
      <c r="BE86" s="775"/>
      <c r="BF86" s="775"/>
      <c r="BG86" s="775"/>
      <c r="BH86" s="775"/>
      <c r="BI86" s="795"/>
      <c r="BJ86" s="775"/>
      <c r="BK86" s="633"/>
      <c r="BL86" s="634"/>
      <c r="BM86" s="634"/>
      <c r="BN86" s="634"/>
      <c r="BO86" s="634"/>
      <c r="BP86" s="634"/>
      <c r="BQ86" s="634"/>
      <c r="BR86" s="634"/>
      <c r="BS86" s="634"/>
    </row>
    <row r="87" spans="1:71" s="740" customFormat="1" ht="17.25" customHeight="1">
      <c r="A87" s="662"/>
      <c r="D87" s="839" t="s">
        <v>533</v>
      </c>
      <c r="E87" s="841">
        <f>CF!E27</f>
        <v>0.75264900000000001</v>
      </c>
      <c r="F87" s="775"/>
      <c r="G87" s="775"/>
      <c r="H87" s="775"/>
      <c r="I87" s="775"/>
      <c r="J87" s="775"/>
      <c r="K87" s="775"/>
      <c r="L87" s="775"/>
      <c r="M87" s="775"/>
      <c r="N87" s="775"/>
      <c r="O87" s="775"/>
      <c r="P87" s="775"/>
      <c r="Q87" s="775"/>
      <c r="R87" s="775"/>
      <c r="S87" s="775"/>
      <c r="T87" s="776"/>
      <c r="U87" s="793"/>
      <c r="V87" s="775"/>
      <c r="W87" s="775"/>
      <c r="X87" s="793"/>
      <c r="Y87" s="795"/>
      <c r="Z87" s="775"/>
      <c r="AA87" s="775"/>
      <c r="AB87" s="775"/>
      <c r="AC87" s="775"/>
      <c r="AD87" s="794"/>
      <c r="AE87" s="795"/>
      <c r="AF87" s="795"/>
      <c r="AG87" s="795"/>
      <c r="AH87" s="795"/>
      <c r="AI87" s="775"/>
      <c r="AJ87" s="775"/>
      <c r="AK87" s="775"/>
      <c r="AL87" s="775"/>
      <c r="AM87" s="775"/>
      <c r="AN87" s="775"/>
      <c r="AO87" s="775"/>
      <c r="AP87" s="775"/>
      <c r="AQ87" s="775"/>
      <c r="AR87" s="775"/>
      <c r="AS87" s="775"/>
      <c r="AT87" s="775"/>
      <c r="AU87" s="775"/>
      <c r="AV87" s="775"/>
      <c r="AW87" s="795"/>
      <c r="AX87" s="765"/>
      <c r="AY87" s="775"/>
      <c r="AZ87" s="775"/>
      <c r="BA87" s="794"/>
      <c r="BB87" s="795"/>
      <c r="BC87" s="775"/>
      <c r="BD87" s="775"/>
      <c r="BE87" s="775"/>
      <c r="BF87" s="775"/>
      <c r="BG87" s="775"/>
      <c r="BH87" s="775"/>
      <c r="BI87" s="795"/>
      <c r="BJ87" s="775"/>
      <c r="BK87" s="633"/>
      <c r="BL87" s="634"/>
      <c r="BM87" s="634"/>
      <c r="BN87" s="634"/>
      <c r="BO87" s="634"/>
      <c r="BP87" s="634"/>
      <c r="BQ87" s="634"/>
      <c r="BR87" s="634"/>
      <c r="BS87" s="634"/>
    </row>
    <row r="88" spans="1:71" s="740" customFormat="1">
      <c r="A88" s="662"/>
      <c r="D88" s="839" t="s">
        <v>153</v>
      </c>
      <c r="E88" s="625">
        <f t="shared" ref="E88:AV88" si="258">E81*$E$86-E58</f>
        <v>4201.9773399999904</v>
      </c>
      <c r="F88" s="625">
        <f t="shared" si="258"/>
        <v>-15.837471999999998</v>
      </c>
      <c r="G88" s="625">
        <f t="shared" si="258"/>
        <v>0</v>
      </c>
      <c r="H88" s="625">
        <f t="shared" si="258"/>
        <v>-45.815544000000003</v>
      </c>
      <c r="I88" s="625">
        <f t="shared" si="258"/>
        <v>-33.18</v>
      </c>
      <c r="J88" s="625">
        <f t="shared" si="258"/>
        <v>227.52</v>
      </c>
      <c r="K88" s="625">
        <f t="shared" si="258"/>
        <v>732.33</v>
      </c>
      <c r="L88" s="625">
        <f t="shared" si="258"/>
        <v>314.42</v>
      </c>
      <c r="M88" s="625">
        <f t="shared" si="258"/>
        <v>-14.22</v>
      </c>
      <c r="N88" s="625">
        <f t="shared" si="258"/>
        <v>-101</v>
      </c>
      <c r="O88" s="625">
        <f t="shared" si="258"/>
        <v>-7.9</v>
      </c>
      <c r="P88" s="625">
        <f t="shared" si="258"/>
        <v>-3.16</v>
      </c>
      <c r="Q88" s="625">
        <f t="shared" si="258"/>
        <v>-8.69</v>
      </c>
      <c r="R88" s="625">
        <f t="shared" si="258"/>
        <v>33.97</v>
      </c>
      <c r="S88" s="625">
        <f t="shared" si="258"/>
        <v>-8.0499999999992724</v>
      </c>
      <c r="T88" s="842">
        <f t="shared" si="258"/>
        <v>-328.00799999999998</v>
      </c>
      <c r="U88" s="842">
        <f t="shared" si="258"/>
        <v>197.72357</v>
      </c>
      <c r="V88" s="625">
        <f t="shared" si="258"/>
        <v>57</v>
      </c>
      <c r="W88" s="625">
        <f>W81*$E$86-W58</f>
        <v>877.28282400000001</v>
      </c>
      <c r="X88" s="842">
        <f t="shared" ref="X88" si="259">X81*$E$86-X58</f>
        <v>0</v>
      </c>
      <c r="Y88" s="625">
        <f t="shared" si="258"/>
        <v>6076.362718000004</v>
      </c>
      <c r="Z88" s="625">
        <f t="shared" si="258"/>
        <v>-1922.07</v>
      </c>
      <c r="AA88" s="625">
        <f t="shared" ref="AA88:AB88" si="260">AA81*$E$86-AA58</f>
        <v>-192.76</v>
      </c>
      <c r="AB88" s="625">
        <f t="shared" si="260"/>
        <v>136</v>
      </c>
      <c r="AC88" s="625">
        <f t="shared" ref="AC88:AH88" si="261">AC81*$E$86-AC58</f>
        <v>-785.74512300000004</v>
      </c>
      <c r="AD88" s="843">
        <f t="shared" si="261"/>
        <v>1441.9870000000001</v>
      </c>
      <c r="AE88" s="625">
        <f t="shared" si="261"/>
        <v>15.013949999999999</v>
      </c>
      <c r="AF88" s="625">
        <f t="shared" si="261"/>
        <v>-1334.4680000000001</v>
      </c>
      <c r="AG88" s="625">
        <f t="shared" ref="AG88" si="262">AG81*$E$86-AG58</f>
        <v>291.35199999999998</v>
      </c>
      <c r="AH88" s="625">
        <f t="shared" si="261"/>
        <v>61.620000000000005</v>
      </c>
      <c r="AI88" s="625">
        <f>AI81*$E$86-AI58</f>
        <v>89.198110000000014</v>
      </c>
      <c r="AJ88" s="625">
        <f>AJ81*$E$86-AJ58</f>
        <v>747.34</v>
      </c>
      <c r="AK88" s="625">
        <f t="shared" ref="AK88:AO88" si="263">AK81*$E$86-AK58</f>
        <v>472.42</v>
      </c>
      <c r="AL88" s="625">
        <f t="shared" si="263"/>
        <v>16.274000000000001</v>
      </c>
      <c r="AM88" s="625">
        <f t="shared" si="263"/>
        <v>1290.5929799999999</v>
      </c>
      <c r="AN88" s="625">
        <f t="shared" si="263"/>
        <v>2381.1529937000005</v>
      </c>
      <c r="AO88" s="625">
        <f t="shared" si="263"/>
        <v>-714.31799999999998</v>
      </c>
      <c r="AP88" s="625">
        <f t="shared" ref="AP88:AQ88" si="264">AP81*$E$86-AP58</f>
        <v>3000.2493039999999</v>
      </c>
      <c r="AQ88" s="625">
        <f t="shared" si="264"/>
        <v>237</v>
      </c>
      <c r="AR88" s="625">
        <f t="shared" ref="AR88:AS88" si="265">AR81*$E$86-AR58</f>
        <v>140.62</v>
      </c>
      <c r="AS88" s="625">
        <f t="shared" si="265"/>
        <v>118.5</v>
      </c>
      <c r="AT88" s="625">
        <f t="shared" ref="AT88:AU88" si="266">AT81*$E$86-AT58</f>
        <v>1940.8253417000001</v>
      </c>
      <c r="AU88" s="625">
        <f t="shared" si="266"/>
        <v>-491.93853000000001</v>
      </c>
      <c r="AV88" s="625">
        <f t="shared" si="258"/>
        <v>0</v>
      </c>
      <c r="AW88" s="844">
        <f>AW81*$E$86-AW58</f>
        <v>13015.208744399977</v>
      </c>
      <c r="AX88" s="845"/>
      <c r="AY88" s="625">
        <f>AY81*$E$86-AY58</f>
        <v>0</v>
      </c>
      <c r="AZ88" s="625">
        <f t="shared" ref="AZ88:BC88" si="267">AZ81*$E$86-AZ58</f>
        <v>-142.90614399999998</v>
      </c>
      <c r="BA88" s="843">
        <f t="shared" si="267"/>
        <v>580.57100000000003</v>
      </c>
      <c r="BB88" s="625">
        <f t="shared" si="267"/>
        <v>115.97200000000001</v>
      </c>
      <c r="BC88" s="625">
        <f t="shared" si="267"/>
        <v>23.7</v>
      </c>
      <c r="BD88" s="625">
        <f>BD81*$E$86-BD58</f>
        <v>-51.35</v>
      </c>
      <c r="BE88" s="625">
        <f t="shared" ref="BE88" si="268">BE81*$E$86-BE58</f>
        <v>516.23814000000004</v>
      </c>
      <c r="BF88" s="625">
        <f t="shared" ref="BF88" si="269">BF81*$E$86-BF58</f>
        <v>2582.8364967000002</v>
      </c>
      <c r="BG88" s="625">
        <f t="shared" ref="BG88:BH88" si="270">BG81*$E$86-BG58</f>
        <v>-189.50441000000001</v>
      </c>
      <c r="BH88" s="625">
        <f t="shared" si="270"/>
        <v>0</v>
      </c>
      <c r="BI88" s="844">
        <f>BI81*$E$86-BI58</f>
        <v>16450.765827099978</v>
      </c>
      <c r="BJ88" s="625">
        <f>BJ81*$E$86-BJ58</f>
        <v>3435.557082700001</v>
      </c>
      <c r="BK88" s="633"/>
      <c r="BL88" s="634"/>
      <c r="BM88" s="634"/>
      <c r="BN88" s="634"/>
      <c r="BO88" s="634"/>
      <c r="BP88" s="634"/>
      <c r="BQ88" s="634"/>
      <c r="BR88" s="634"/>
      <c r="BS88" s="634"/>
    </row>
    <row r="89" spans="1:71" s="740" customFormat="1">
      <c r="A89" s="662"/>
      <c r="D89" s="839" t="s">
        <v>470</v>
      </c>
      <c r="E89" s="625">
        <f>E88/$E$87</f>
        <v>5582.9175884110527</v>
      </c>
      <c r="F89" s="625">
        <f>F88/$E$87</f>
        <v>-21.042307901824088</v>
      </c>
      <c r="G89" s="625">
        <f>G88/$E$87</f>
        <v>0</v>
      </c>
      <c r="H89" s="625">
        <f>H88/$E$87</f>
        <v>-60.872390715991123</v>
      </c>
      <c r="I89" s="625">
        <f t="shared" ref="I89:P89" si="271">I88/$E$87</f>
        <v>-44.084294272629073</v>
      </c>
      <c r="J89" s="625">
        <f>J88/$E$87</f>
        <v>302.29230358374224</v>
      </c>
      <c r="K89" s="625">
        <f t="shared" si="271"/>
        <v>973.00335216017027</v>
      </c>
      <c r="L89" s="625">
        <f t="shared" si="271"/>
        <v>417.75116953586598</v>
      </c>
      <c r="M89" s="625">
        <f t="shared" si="271"/>
        <v>-18.89326897398389</v>
      </c>
      <c r="N89" s="625">
        <f t="shared" si="271"/>
        <v>-134.19269805712889</v>
      </c>
      <c r="O89" s="625">
        <f t="shared" si="271"/>
        <v>-10.496260541102162</v>
      </c>
      <c r="P89" s="625">
        <f t="shared" si="271"/>
        <v>-4.1985042164408641</v>
      </c>
      <c r="Q89" s="625">
        <f t="shared" ref="Q89:R89" si="272">Q88/$E$87</f>
        <v>-11.545886595212375</v>
      </c>
      <c r="R89" s="625">
        <f t="shared" si="272"/>
        <v>45.133920326739286</v>
      </c>
      <c r="S89" s="625">
        <f t="shared" ref="S89" si="273">S88/$E$87</f>
        <v>-10.695556627324653</v>
      </c>
      <c r="T89" s="842">
        <f>T88/$E$87</f>
        <v>-435.80473766656166</v>
      </c>
      <c r="U89" s="842">
        <f>U88/$E$87</f>
        <v>262.70355770086718</v>
      </c>
      <c r="V89" s="625">
        <f>V88/$E$87</f>
        <v>75.732512764914318</v>
      </c>
      <c r="W89" s="625">
        <f>W88/$E$87</f>
        <v>1165.5935555617559</v>
      </c>
      <c r="X89" s="842">
        <f>X88/$E$87</f>
        <v>0</v>
      </c>
      <c r="Y89" s="625">
        <f t="shared" ref="Y89" si="274">Y88/$E$87</f>
        <v>8073.3020544769261</v>
      </c>
      <c r="Z89" s="625">
        <f>Z88/$E$87</f>
        <v>-2553.7401896501556</v>
      </c>
      <c r="AA89" s="625">
        <f>AA88/$E$87</f>
        <v>-256.10875720289272</v>
      </c>
      <c r="AB89" s="625">
        <f>AB88/$E$87</f>
        <v>180.69511817593593</v>
      </c>
      <c r="AC89" s="625">
        <f t="shared" ref="AC89:AI89" si="275">AC88/$E$87</f>
        <v>-1043.9728518871348</v>
      </c>
      <c r="AD89" s="843">
        <f t="shared" si="275"/>
        <v>1915.8824365673775</v>
      </c>
      <c r="AE89" s="625">
        <f t="shared" si="275"/>
        <v>19.948143158364655</v>
      </c>
      <c r="AF89" s="625">
        <f t="shared" si="275"/>
        <v>-1773.0283306029771</v>
      </c>
      <c r="AG89" s="625">
        <f t="shared" ref="AG89" si="276">AG88/$E$87</f>
        <v>387.10208875584766</v>
      </c>
      <c r="AH89" s="625">
        <f t="shared" si="275"/>
        <v>81.870832220596853</v>
      </c>
      <c r="AI89" s="625">
        <f t="shared" si="275"/>
        <v>118.51222814353041</v>
      </c>
      <c r="AJ89" s="625">
        <f t="shared" ref="AJ89:AK89" si="277">AJ88/$E$87</f>
        <v>992.94624718826446</v>
      </c>
      <c r="AK89" s="625">
        <f t="shared" si="277"/>
        <v>627.67638035790924</v>
      </c>
      <c r="AL89" s="625">
        <f>AL88/$E$87</f>
        <v>21.622296714670451</v>
      </c>
      <c r="AM89" s="625">
        <f t="shared" ref="AM89" si="278">AM88/$E$87</f>
        <v>1714.7341988098035</v>
      </c>
      <c r="AN89" s="625">
        <f>AN88/$E$87</f>
        <v>3163.6964822912146</v>
      </c>
      <c r="AO89" s="625">
        <f t="shared" ref="AO89" si="279">AO88/$E$87</f>
        <v>-949.07187812645736</v>
      </c>
      <c r="AP89" s="625">
        <f t="shared" ref="AP89:AQ89" si="280">AP88/$E$87</f>
        <v>3986.2529598790402</v>
      </c>
      <c r="AQ89" s="625">
        <f t="shared" si="280"/>
        <v>314.88781623306483</v>
      </c>
      <c r="AR89" s="625">
        <f>AR88/$E$87</f>
        <v>186.83343763161847</v>
      </c>
      <c r="AS89" s="625">
        <f>AS88/$E$87</f>
        <v>157.44390811653241</v>
      </c>
      <c r="AT89" s="625">
        <f>AT88/$E$87</f>
        <v>2578.6592976274464</v>
      </c>
      <c r="AU89" s="625">
        <f>AU88/$E$87</f>
        <v>-653.60949127681033</v>
      </c>
      <c r="AV89" s="625">
        <f t="shared" ref="AV89" si="281">AV88/$E$87</f>
        <v>0</v>
      </c>
      <c r="AW89" s="844">
        <f>AW88/$E$87</f>
        <v>17292.53442760168</v>
      </c>
      <c r="AX89" s="845"/>
      <c r="AY89" s="625">
        <f>AY88/$E$87</f>
        <v>0</v>
      </c>
      <c r="AZ89" s="625">
        <f t="shared" ref="AZ89" si="282">AZ88/$E$87</f>
        <v>-189.87090130990671</v>
      </c>
      <c r="BA89" s="843">
        <f t="shared" ref="BA89:BB89" si="283">BA88/$E$87</f>
        <v>771.37018716559783</v>
      </c>
      <c r="BB89" s="625">
        <f t="shared" si="283"/>
        <v>154.08510474337973</v>
      </c>
      <c r="BC89" s="625">
        <f>BC88/$E$87</f>
        <v>31.48878162330648</v>
      </c>
      <c r="BD89" s="625">
        <f>BD88/$E$87</f>
        <v>-68.225693517164046</v>
      </c>
      <c r="BE89" s="625">
        <f t="shared" ref="BE89" si="284">BE88/$E$87</f>
        <v>685.89493907518647</v>
      </c>
      <c r="BF89" s="625">
        <f>BF88/$E$87</f>
        <v>3431.6613676494621</v>
      </c>
      <c r="BG89" s="625">
        <f>BG88/$E$87</f>
        <v>-251.78324823390452</v>
      </c>
      <c r="BH89" s="625">
        <f>BH88/$E$87</f>
        <v>0</v>
      </c>
      <c r="BI89" s="844">
        <f>BI88/$E$87</f>
        <v>21857.154964797639</v>
      </c>
      <c r="BJ89" s="625">
        <f>BJ88/$E$87</f>
        <v>4564.6205371959586</v>
      </c>
      <c r="BK89" s="633"/>
      <c r="BL89" s="634"/>
      <c r="BM89" s="634"/>
      <c r="BN89" s="634"/>
      <c r="BO89" s="634"/>
      <c r="BP89" s="634"/>
      <c r="BQ89" s="634"/>
      <c r="BR89" s="634"/>
      <c r="BS89" s="634"/>
    </row>
    <row r="90" spans="1:71" s="740" customFormat="1">
      <c r="A90" s="662"/>
      <c r="E90" s="846"/>
      <c r="F90" s="846"/>
      <c r="G90" s="846"/>
      <c r="H90" s="846"/>
      <c r="I90" s="846"/>
      <c r="J90" s="846"/>
      <c r="K90" s="846"/>
      <c r="L90" s="846"/>
      <c r="M90" s="846"/>
      <c r="N90" s="846"/>
      <c r="O90" s="846"/>
      <c r="P90" s="846"/>
      <c r="Q90" s="846"/>
      <c r="R90" s="846"/>
      <c r="S90" s="846"/>
      <c r="T90" s="847"/>
      <c r="U90" s="847"/>
      <c r="V90" s="846"/>
      <c r="W90" s="846"/>
      <c r="X90" s="847"/>
      <c r="Y90" s="629"/>
      <c r="Z90" s="846"/>
      <c r="AA90" s="846"/>
      <c r="AB90" s="846"/>
      <c r="AC90" s="846"/>
      <c r="AD90" s="848"/>
      <c r="AE90" s="846"/>
      <c r="AF90" s="846"/>
      <c r="AG90" s="846"/>
      <c r="AH90" s="846"/>
      <c r="AI90" s="846"/>
      <c r="AJ90" s="846"/>
      <c r="AK90" s="846"/>
      <c r="AL90" s="846"/>
      <c r="AM90" s="846"/>
      <c r="AN90" s="846"/>
      <c r="AO90" s="846"/>
      <c r="AP90" s="846"/>
      <c r="AQ90" s="846"/>
      <c r="AR90" s="846"/>
      <c r="AS90" s="846"/>
      <c r="AT90" s="846"/>
      <c r="AU90" s="846"/>
      <c r="AV90" s="846"/>
      <c r="AW90" s="849"/>
      <c r="AX90" s="850"/>
      <c r="AY90" s="846"/>
      <c r="AZ90" s="846"/>
      <c r="BA90" s="848"/>
      <c r="BB90" s="846"/>
      <c r="BC90" s="846"/>
      <c r="BD90" s="846"/>
      <c r="BE90" s="846"/>
      <c r="BF90" s="846"/>
      <c r="BG90" s="846"/>
      <c r="BH90" s="846"/>
      <c r="BI90" s="849"/>
      <c r="BJ90" s="846"/>
      <c r="BK90" s="633"/>
      <c r="BL90" s="634"/>
      <c r="BM90" s="634"/>
      <c r="BN90" s="634"/>
      <c r="BO90" s="634"/>
      <c r="BP90" s="634"/>
      <c r="BQ90" s="634"/>
      <c r="BR90" s="634"/>
      <c r="BS90" s="634"/>
    </row>
    <row r="91" spans="1:71" s="740" customFormat="1">
      <c r="A91" s="662"/>
      <c r="D91" s="839"/>
      <c r="E91" s="846"/>
      <c r="F91" s="846"/>
      <c r="G91" s="846"/>
      <c r="H91" s="846"/>
      <c r="I91" s="846"/>
      <c r="J91" s="846"/>
      <c r="K91" s="846"/>
      <c r="L91" s="846"/>
      <c r="M91" s="846"/>
      <c r="N91" s="846"/>
      <c r="O91" s="846"/>
      <c r="P91" s="846"/>
      <c r="Q91" s="846"/>
      <c r="R91" s="846"/>
      <c r="S91" s="846"/>
      <c r="T91" s="847"/>
      <c r="U91" s="847"/>
      <c r="V91" s="846"/>
      <c r="W91" s="846"/>
      <c r="X91" s="847"/>
      <c r="Y91" s="629"/>
      <c r="Z91" s="846"/>
      <c r="AA91" s="846"/>
      <c r="AB91" s="846"/>
      <c r="AC91" s="846"/>
      <c r="AD91" s="848"/>
      <c r="AE91" s="846"/>
      <c r="AF91" s="846"/>
      <c r="AG91" s="846"/>
      <c r="AH91" s="846"/>
      <c r="AI91" s="846"/>
      <c r="AJ91" s="846"/>
      <c r="AK91" s="846"/>
      <c r="AL91" s="846"/>
      <c r="AM91" s="846"/>
      <c r="AN91" s="846"/>
      <c r="AO91" s="846"/>
      <c r="AP91" s="846"/>
      <c r="AQ91" s="846"/>
      <c r="AR91" s="846"/>
      <c r="AS91" s="846"/>
      <c r="AT91" s="846"/>
      <c r="AU91" s="846"/>
      <c r="AV91" s="846"/>
      <c r="AW91" s="849"/>
      <c r="AX91" s="850"/>
      <c r="AY91" s="846"/>
      <c r="AZ91" s="846"/>
      <c r="BA91" s="848"/>
      <c r="BB91" s="846"/>
      <c r="BC91" s="846"/>
      <c r="BD91" s="634"/>
      <c r="BE91" s="634"/>
      <c r="BF91" s="634"/>
      <c r="BG91" s="846"/>
      <c r="BH91" s="846"/>
      <c r="BI91" s="849"/>
      <c r="BJ91" s="846"/>
      <c r="BK91" s="633"/>
      <c r="BL91" s="634"/>
      <c r="BM91" s="634"/>
      <c r="BN91" s="634"/>
      <c r="BO91" s="634"/>
      <c r="BP91" s="634"/>
      <c r="BQ91" s="634"/>
      <c r="BR91" s="634"/>
      <c r="BS91" s="634"/>
    </row>
    <row r="92" spans="1:71" s="633" customFormat="1">
      <c r="A92" s="851"/>
      <c r="D92" s="852"/>
      <c r="E92" s="853"/>
      <c r="F92" s="853"/>
      <c r="G92" s="853"/>
      <c r="H92" s="853"/>
      <c r="I92" s="853"/>
      <c r="J92" s="853"/>
      <c r="K92" s="853"/>
      <c r="L92" s="853"/>
      <c r="M92" s="853"/>
      <c r="N92" s="853"/>
      <c r="O92" s="853"/>
      <c r="P92" s="853"/>
      <c r="Q92" s="853"/>
      <c r="R92" s="853"/>
      <c r="S92" s="853"/>
      <c r="T92" s="854"/>
      <c r="U92" s="854"/>
      <c r="V92" s="853"/>
      <c r="W92" s="853"/>
      <c r="X92" s="854"/>
      <c r="Y92" s="632"/>
      <c r="Z92" s="853"/>
      <c r="AA92" s="853"/>
      <c r="AB92" s="853"/>
      <c r="AC92" s="853"/>
      <c r="AD92" s="855"/>
      <c r="AE92" s="853"/>
      <c r="AF92" s="853"/>
      <c r="AG92" s="853"/>
      <c r="AH92" s="853"/>
      <c r="AI92" s="853"/>
      <c r="AJ92" s="853"/>
      <c r="AK92" s="853"/>
      <c r="AL92" s="853"/>
      <c r="AM92" s="853"/>
      <c r="AN92" s="853"/>
      <c r="AO92" s="853"/>
      <c r="AP92" s="853"/>
      <c r="AQ92" s="853"/>
      <c r="AR92" s="853"/>
      <c r="AS92" s="853"/>
      <c r="AT92" s="856"/>
      <c r="AU92" s="634"/>
      <c r="AV92" s="634"/>
      <c r="AW92" s="634"/>
      <c r="AX92" s="634"/>
      <c r="AY92" s="634"/>
      <c r="AZ92" s="634"/>
      <c r="BA92" s="855"/>
      <c r="BB92" s="853"/>
      <c r="BC92" s="853"/>
      <c r="BD92" s="634"/>
      <c r="BE92" s="634"/>
      <c r="BF92" s="634"/>
      <c r="BG92" s="856"/>
      <c r="BH92" s="856"/>
      <c r="BI92" s="850"/>
      <c r="BJ92" s="853"/>
      <c r="BL92" s="634"/>
      <c r="BM92" s="634"/>
      <c r="BN92" s="634"/>
      <c r="BO92" s="634"/>
      <c r="BP92" s="634"/>
      <c r="BQ92" s="634"/>
      <c r="BR92" s="634"/>
      <c r="BS92" s="634"/>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2">
    <mergeCell ref="AW4:AW5"/>
    <mergeCell ref="BI4:BI5"/>
  </mergeCells>
  <phoneticPr fontId="0" type="noConversion"/>
  <pageMargins left="0.8" right="0.75" top="0.9" bottom="0.5" header="0.5" footer="0.5"/>
  <pageSetup scale="66" firstPageNumber="4" fitToWidth="7" orientation="portrait" r:id="rId3"/>
  <headerFooter scaleWithDoc="0" alignWithMargins="0">
    <oddHeader>&amp;RExh. KJS-3</oddHeader>
    <oddFooter>&amp;RPage &amp;P of &amp;N</oddFooter>
  </headerFooter>
  <colBreaks count="7" manualBreakCount="7">
    <brk id="12" min="1" max="83" man="1"/>
    <brk id="19" min="1" max="83" man="1"/>
    <brk id="25" min="1" max="83" man="1"/>
    <brk id="32" min="1" max="83" man="1"/>
    <brk id="39" min="1" max="83" man="1"/>
    <brk id="49" min="1" max="83" man="1"/>
    <brk id="57" min="1" max="83" man="1"/>
  </colBreaks>
  <ignoredErrors>
    <ignoredError sqref="AW7 BI7" numberStoredAsText="1"/>
    <ignoredError sqref="Y50:Y85 V53" formula="1"/>
  </ignoredError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M70"/>
  <sheetViews>
    <sheetView zoomScaleNormal="100" workbookViewId="0">
      <pane xSplit="3" ySplit="6" topLeftCell="D7" activePane="bottomRight" state="frozen"/>
      <selection pane="topRight"/>
      <selection pane="bottomLeft"/>
      <selection pane="bottomRight" sqref="A1:G1"/>
    </sheetView>
  </sheetViews>
  <sheetFormatPr defaultColWidth="11.42578125" defaultRowHeight="12.75" outlineLevelRow="1"/>
  <cols>
    <col min="1" max="1" width="10" style="11" customWidth="1"/>
    <col min="2" max="2" width="12.5703125" style="157" customWidth="1"/>
    <col min="3" max="3" width="41.7109375" style="11" customWidth="1"/>
    <col min="4" max="5" width="11.42578125" style="11" customWidth="1"/>
    <col min="6" max="6" width="11.42578125" style="247" customWidth="1"/>
    <col min="7" max="7" width="8.42578125" style="216" customWidth="1"/>
    <col min="8" max="8" width="8.42578125" style="494" bestFit="1" customWidth="1"/>
    <col min="9" max="9" width="16.28515625" style="25" bestFit="1" customWidth="1"/>
    <col min="10" max="10" width="10.28515625" style="478" bestFit="1" customWidth="1"/>
    <col min="11" max="11" width="8.42578125" customWidth="1"/>
    <col min="12" max="12" width="8.42578125" style="11" customWidth="1"/>
    <col min="13" max="16384" width="11.42578125" style="11"/>
  </cols>
  <sheetData>
    <row r="1" spans="1:13">
      <c r="A1" s="3753" t="str">
        <f>'ADJ DETAIL INPUT'!A2</f>
        <v>AVISTA UTILITIES</v>
      </c>
      <c r="B1" s="3753"/>
      <c r="C1" s="3753"/>
      <c r="D1" s="3753"/>
      <c r="E1" s="3753"/>
      <c r="F1" s="3753"/>
      <c r="G1" s="3753"/>
      <c r="J1" s="497"/>
    </row>
    <row r="2" spans="1:13">
      <c r="A2" s="3754" t="s">
        <v>68</v>
      </c>
      <c r="B2" s="3754"/>
      <c r="C2" s="3754"/>
      <c r="D2" s="3754"/>
      <c r="E2" s="3754"/>
      <c r="F2" s="3754"/>
      <c r="G2" s="3754"/>
      <c r="J2" s="497"/>
    </row>
    <row r="3" spans="1:13" s="18" customFormat="1">
      <c r="A3" s="3755" t="s">
        <v>142</v>
      </c>
      <c r="B3" s="3755"/>
      <c r="C3" s="3755"/>
      <c r="D3" s="3755"/>
      <c r="E3" s="3755"/>
      <c r="F3" s="3755"/>
      <c r="G3" s="3755"/>
      <c r="H3" s="495"/>
      <c r="I3" s="500"/>
      <c r="J3" s="498"/>
      <c r="K3"/>
    </row>
    <row r="4" spans="1:13" s="18" customFormat="1">
      <c r="A4" s="3752" t="str">
        <f>'PROPOSED RATES-12.2024'!A3</f>
        <v>TWELVE MONTHS ENDED JUNE 30, 2023</v>
      </c>
      <c r="B4" s="3752"/>
      <c r="C4" s="3752"/>
      <c r="D4" s="3752"/>
      <c r="E4" s="3752"/>
      <c r="F4" s="3752"/>
      <c r="G4" s="3752"/>
      <c r="H4" s="495"/>
      <c r="I4" s="500"/>
      <c r="J4" s="498"/>
      <c r="K4"/>
    </row>
    <row r="5" spans="1:13" s="18" customFormat="1">
      <c r="A5" s="11"/>
      <c r="B5" s="157"/>
      <c r="C5" s="11"/>
      <c r="D5" s="3756" t="s">
        <v>68</v>
      </c>
      <c r="E5" s="3756"/>
      <c r="F5" s="3756"/>
      <c r="G5" s="450">
        <f>'RR SUMMARY'!O15</f>
        <v>7.6100000000000001E-2</v>
      </c>
      <c r="H5" s="495"/>
      <c r="I5" s="500"/>
      <c r="J5" s="498"/>
      <c r="K5"/>
    </row>
    <row r="6" spans="1:13" ht="25.5">
      <c r="A6" s="218" t="s">
        <v>69</v>
      </c>
      <c r="B6" s="218" t="s">
        <v>199</v>
      </c>
      <c r="C6" s="218" t="s">
        <v>70</v>
      </c>
      <c r="D6" s="218" t="s">
        <v>71</v>
      </c>
      <c r="E6" s="218" t="s">
        <v>18</v>
      </c>
      <c r="F6" s="452" t="s">
        <v>534</v>
      </c>
      <c r="G6" s="451" t="s">
        <v>72</v>
      </c>
      <c r="H6" s="501" t="s">
        <v>169</v>
      </c>
      <c r="I6" s="268" t="s">
        <v>168</v>
      </c>
      <c r="J6" s="499" t="s">
        <v>378</v>
      </c>
    </row>
    <row r="7" spans="1:13">
      <c r="A7" s="251" t="s">
        <v>415</v>
      </c>
      <c r="B7" s="217"/>
      <c r="C7" s="217"/>
      <c r="D7" s="217"/>
      <c r="E7" s="217"/>
      <c r="F7" s="446"/>
      <c r="G7" s="217"/>
      <c r="H7" s="495"/>
      <c r="I7" s="500"/>
      <c r="J7" s="462"/>
    </row>
    <row r="8" spans="1:13">
      <c r="A8" s="220">
        <f>'ADJ DETAIL INPUT'!E$10</f>
        <v>1</v>
      </c>
      <c r="B8" s="159" t="str">
        <f>'ADJ DETAIL INPUT'!E$11</f>
        <v>G-ROO</v>
      </c>
      <c r="C8" s="23" t="str">
        <f>TRIM(CONCATENATE('ADJ DETAIL INPUT'!E$7," ",'ADJ DETAIL INPUT'!E$8," ",'ADJ DETAIL INPUT'!E$9))</f>
        <v>Results of Operations</v>
      </c>
      <c r="D8" s="24">
        <f>'ADJ DETAIL INPUT'!E$58</f>
        <v>36392</v>
      </c>
      <c r="E8" s="24">
        <f>'ADJ DETAIL INPUT'!E$81</f>
        <v>533429.39999999991</v>
      </c>
      <c r="F8" s="463">
        <f>((E8*$G$5)-D8)/$G$54</f>
        <v>5582.9175884110527</v>
      </c>
      <c r="G8" s="262">
        <f>D8/E8</f>
        <v>6.8222711384111942E-2</v>
      </c>
      <c r="I8" s="494" t="s">
        <v>573</v>
      </c>
      <c r="J8" s="496" t="s">
        <v>619</v>
      </c>
      <c r="L8" s="250"/>
      <c r="M8" s="250"/>
    </row>
    <row r="9" spans="1:13">
      <c r="A9" s="220">
        <f>'ADJ DETAIL INPUT'!F$10</f>
        <v>1.01</v>
      </c>
      <c r="B9" s="159" t="str">
        <f>'ADJ DETAIL INPUT'!F$11</f>
        <v>G-DFIT</v>
      </c>
      <c r="C9" s="23" t="str">
        <f>TRIM(CONCATENATE('ADJ DETAIL INPUT'!F$7," ",'ADJ DETAIL INPUT'!F$8," ",'ADJ DETAIL INPUT'!F$9))</f>
        <v>Deferred FIT Rate Base</v>
      </c>
      <c r="D9" s="80">
        <f>'ADJ DETAIL INPUT'!F$58</f>
        <v>-1.208928</v>
      </c>
      <c r="E9" s="80">
        <f>'ADJ DETAIL INPUT'!F$81</f>
        <v>-224</v>
      </c>
      <c r="F9" s="466">
        <f>((E9*$G$5)-D9)/$G$54</f>
        <v>-21.042307901824088</v>
      </c>
      <c r="I9" s="525" t="s">
        <v>627</v>
      </c>
      <c r="J9" s="529" t="s">
        <v>619</v>
      </c>
      <c r="L9" s="250"/>
      <c r="M9" s="250"/>
    </row>
    <row r="10" spans="1:13">
      <c r="A10" s="220">
        <f>'ADJ DETAIL INPUT'!G$10</f>
        <v>1.02</v>
      </c>
      <c r="B10" s="159" t="str">
        <f>'ADJ DETAIL INPUT'!G$11</f>
        <v>G-DDC</v>
      </c>
      <c r="C10" s="23" t="str">
        <f>TRIM(CONCATENATE('ADJ DETAIL INPUT'!G$7," ",'ADJ DETAIL INPUT'!G$8," ",'ADJ DETAIL INPUT'!G$9))</f>
        <v>Deferred Debits and Credits</v>
      </c>
      <c r="D10" s="80">
        <f>'ADJ DETAIL INPUT'!G$58</f>
        <v>0</v>
      </c>
      <c r="E10" s="80">
        <f>'ADJ DETAIL INPUT'!G$81</f>
        <v>0</v>
      </c>
      <c r="F10" s="466">
        <f t="shared" ref="F10:F27" si="0">((E10*$G$5)-D10)/$G$54</f>
        <v>0</v>
      </c>
      <c r="I10" s="527" t="s">
        <v>421</v>
      </c>
      <c r="J10" s="539" t="s">
        <v>619</v>
      </c>
      <c r="L10" s="250"/>
      <c r="M10" s="250"/>
    </row>
    <row r="11" spans="1:13">
      <c r="A11" s="220">
        <f>'ADJ DETAIL INPUT'!H$10</f>
        <v>1.03</v>
      </c>
      <c r="B11" s="159" t="str">
        <f>'ADJ DETAIL INPUT'!H$11</f>
        <v>G-WC</v>
      </c>
      <c r="C11" s="23" t="str">
        <f>TRIM(CONCATENATE('ADJ DETAIL INPUT'!H$7," ",'ADJ DETAIL INPUT'!H$8," ",'ADJ DETAIL INPUT'!H$9))</f>
        <v>Working Capital</v>
      </c>
      <c r="D11" s="80">
        <f>'ADJ DETAIL INPUT'!H$58</f>
        <v>-3.4972560000000001</v>
      </c>
      <c r="E11" s="80">
        <f>'ADJ DETAIL INPUT'!H$81</f>
        <v>-648</v>
      </c>
      <c r="F11" s="466">
        <f t="shared" si="0"/>
        <v>-60.872390715991123</v>
      </c>
      <c r="I11" s="494" t="s">
        <v>621</v>
      </c>
      <c r="J11" s="539" t="s">
        <v>619</v>
      </c>
    </row>
    <row r="12" spans="1:13">
      <c r="A12" s="220">
        <f>'ADJ DETAIL INPUT'!I$10</f>
        <v>2.0099999999999998</v>
      </c>
      <c r="B12" s="159" t="str">
        <f>'ADJ DETAIL INPUT'!I$11</f>
        <v>G-EBO</v>
      </c>
      <c r="C12" s="23" t="str">
        <f>TRIM(CONCATENATE('ADJ DETAIL INPUT'!I$7," ",'ADJ DETAIL INPUT'!I$8," ",'ADJ DETAIL INPUT'!I$9))</f>
        <v>Eliminate B &amp; O Taxes</v>
      </c>
      <c r="D12" s="80">
        <f>'ADJ DETAIL INPUT'!I$58</f>
        <v>33.18</v>
      </c>
      <c r="E12" s="80">
        <f>'ADJ DETAIL INPUT'!I$81</f>
        <v>0</v>
      </c>
      <c r="F12" s="466">
        <f t="shared" si="0"/>
        <v>-44.084294272629073</v>
      </c>
      <c r="I12" s="524" t="s">
        <v>499</v>
      </c>
      <c r="J12" s="529" t="s">
        <v>619</v>
      </c>
    </row>
    <row r="13" spans="1:13">
      <c r="A13" s="220">
        <f>'ADJ DETAIL INPUT'!J$10</f>
        <v>2.0199999999999996</v>
      </c>
      <c r="B13" s="159" t="str">
        <f>'ADJ DETAIL INPUT'!J$11</f>
        <v>G-RPT</v>
      </c>
      <c r="C13" s="23" t="str">
        <f>TRIM(CONCATENATE('ADJ DETAIL INPUT'!J$7," ",'ADJ DETAIL INPUT'!J$8," ",'ADJ DETAIL INPUT'!J$9))</f>
        <v>Restate Property Tax</v>
      </c>
      <c r="D13" s="80">
        <f>'ADJ DETAIL INPUT'!J$58</f>
        <v>-227.52</v>
      </c>
      <c r="E13" s="80">
        <f>'ADJ DETAIL INPUT'!J$81</f>
        <v>0</v>
      </c>
      <c r="F13" s="466">
        <f t="shared" si="0"/>
        <v>302.29230358374224</v>
      </c>
      <c r="I13" s="532" t="s">
        <v>499</v>
      </c>
      <c r="J13" s="537" t="s">
        <v>619</v>
      </c>
    </row>
    <row r="14" spans="1:13">
      <c r="A14" s="220">
        <f>'ADJ DETAIL INPUT'!K$10</f>
        <v>2.0299999999999994</v>
      </c>
      <c r="B14" s="159" t="str">
        <f>'ADJ DETAIL INPUT'!K$11</f>
        <v>G-UE</v>
      </c>
      <c r="C14" s="23" t="str">
        <f>TRIM(CONCATENATE('ADJ DETAIL INPUT'!K$7," ",'ADJ DETAIL INPUT'!K$8," ",'ADJ DETAIL INPUT'!K$9))</f>
        <v>Uncollectible Expense</v>
      </c>
      <c r="D14" s="80">
        <f>'ADJ DETAIL INPUT'!K$58</f>
        <v>-732.33</v>
      </c>
      <c r="E14" s="80">
        <f>'ADJ DETAIL INPUT'!K$81</f>
        <v>0</v>
      </c>
      <c r="F14" s="466">
        <f t="shared" si="0"/>
        <v>973.00335216017027</v>
      </c>
      <c r="I14" s="494" t="s">
        <v>499</v>
      </c>
      <c r="J14" s="529" t="s">
        <v>619</v>
      </c>
    </row>
    <row r="15" spans="1:13">
      <c r="A15" s="220">
        <f>'ADJ DETAIL INPUT'!L$10</f>
        <v>2.0399999999999991</v>
      </c>
      <c r="B15" s="159" t="str">
        <f>'ADJ DETAIL INPUT'!L$11</f>
        <v>G-RE</v>
      </c>
      <c r="C15" s="23" t="str">
        <f>TRIM(CONCATENATE('ADJ DETAIL INPUT'!L$7," ",'ADJ DETAIL INPUT'!L$8," ",'ADJ DETAIL INPUT'!L$9))</f>
        <v>Regulatory Expense</v>
      </c>
      <c r="D15" s="80">
        <f>'ADJ DETAIL INPUT'!L$58</f>
        <v>-314.42</v>
      </c>
      <c r="E15" s="80">
        <f>'ADJ DETAIL INPUT'!L$81</f>
        <v>0</v>
      </c>
      <c r="F15" s="466">
        <f t="shared" si="0"/>
        <v>417.75116953586598</v>
      </c>
      <c r="I15" s="25" t="s">
        <v>421</v>
      </c>
      <c r="J15" s="529" t="s">
        <v>619</v>
      </c>
    </row>
    <row r="16" spans="1:13">
      <c r="A16" s="220">
        <f>'ADJ DETAIL INPUT'!M$10</f>
        <v>2.0499999999999989</v>
      </c>
      <c r="B16" s="159" t="str">
        <f>'ADJ DETAIL INPUT'!M$11</f>
        <v>G-ID</v>
      </c>
      <c r="C16" s="23" t="str">
        <f>TRIM(CONCATENATE('ADJ DETAIL INPUT'!M$7," ",'ADJ DETAIL INPUT'!M$8," ",'ADJ DETAIL INPUT'!M$9))</f>
        <v>Injuries &amp; Damages</v>
      </c>
      <c r="D16" s="80">
        <f>'ADJ DETAIL INPUT'!M$58</f>
        <v>14.22</v>
      </c>
      <c r="E16" s="80">
        <f>'ADJ DETAIL INPUT'!M$81</f>
        <v>0</v>
      </c>
      <c r="F16" s="466">
        <f t="shared" si="0"/>
        <v>-18.89326897398389</v>
      </c>
      <c r="I16" s="25" t="s">
        <v>421</v>
      </c>
      <c r="J16" s="533" t="s">
        <v>619</v>
      </c>
    </row>
    <row r="17" spans="1:12">
      <c r="A17" s="220">
        <f>'ADJ DETAIL INPUT'!N$10</f>
        <v>2.0599999999999987</v>
      </c>
      <c r="B17" s="159" t="str">
        <f>'ADJ DETAIL INPUT'!N$11</f>
        <v>G-FIT</v>
      </c>
      <c r="C17" s="23" t="str">
        <f>TRIM(CONCATENATE('ADJ DETAIL INPUT'!N$7," ",'ADJ DETAIL INPUT'!N$8," ",'ADJ DETAIL INPUT'!N$9))</f>
        <v>FIT / DFIT Expense</v>
      </c>
      <c r="D17" s="221">
        <f>'ADJ DETAIL INPUT'!N$58</f>
        <v>101</v>
      </c>
      <c r="E17" s="80">
        <f>'ADJ DETAIL INPUT'!N$81</f>
        <v>0</v>
      </c>
      <c r="F17" s="466">
        <f t="shared" si="0"/>
        <v>-134.19269805712889</v>
      </c>
      <c r="I17" s="536" t="s">
        <v>499</v>
      </c>
      <c r="J17" s="546" t="s">
        <v>619</v>
      </c>
    </row>
    <row r="18" spans="1:12">
      <c r="A18" s="220">
        <f>'ADJ DETAIL INPUT'!O$10</f>
        <v>2.0699999999999985</v>
      </c>
      <c r="B18" s="159" t="str">
        <f>'ADJ DETAIL INPUT'!O$11</f>
        <v>G-OSC</v>
      </c>
      <c r="C18" s="23" t="str">
        <f>TRIM(CONCATENATE('ADJ DETAIL INPUT'!O$7," ",'ADJ DETAIL INPUT'!O$8," ",'ADJ DETAIL INPUT'!O$9))</f>
        <v>Office Space Charges to Non-Utility</v>
      </c>
      <c r="D18" s="80">
        <f>'ADJ DETAIL INPUT'!O$58</f>
        <v>7.9</v>
      </c>
      <c r="E18" s="80">
        <f>'ADJ DETAIL INPUT'!O$81</f>
        <v>0</v>
      </c>
      <c r="F18" s="466">
        <f t="shared" si="0"/>
        <v>-10.496260541102162</v>
      </c>
      <c r="I18" s="527" t="s">
        <v>421</v>
      </c>
      <c r="J18" s="533" t="s">
        <v>619</v>
      </c>
    </row>
    <row r="19" spans="1:12">
      <c r="A19" s="220">
        <f>'ADJ DETAIL INPUT'!P$10</f>
        <v>2.0799999999999983</v>
      </c>
      <c r="B19" s="159" t="str">
        <f>'ADJ DETAIL INPUT'!P$11</f>
        <v>G-RET</v>
      </c>
      <c r="C19" s="23" t="str">
        <f>TRIM(CONCATENATE('ADJ DETAIL INPUT'!P$7," ",'ADJ DETAIL INPUT'!P$8," ",'ADJ DETAIL INPUT'!P$9))</f>
        <v>Restate Excise Taxes</v>
      </c>
      <c r="D19" s="80">
        <f>'ADJ DETAIL INPUT'!P$58</f>
        <v>3.16</v>
      </c>
      <c r="E19" s="80">
        <f>'ADJ DETAIL INPUT'!P$81</f>
        <v>0</v>
      </c>
      <c r="F19" s="466">
        <f t="shared" si="0"/>
        <v>-4.1985042164408641</v>
      </c>
      <c r="I19" s="526" t="s">
        <v>499</v>
      </c>
      <c r="J19" s="533" t="s">
        <v>619</v>
      </c>
    </row>
    <row r="20" spans="1:12">
      <c r="A20" s="220">
        <f>'ADJ DETAIL INPUT'!Q$10</f>
        <v>2.0899999999999981</v>
      </c>
      <c r="B20" s="159" t="str">
        <f>'ADJ DETAIL INPUT'!Q$11</f>
        <v>G-NGL</v>
      </c>
      <c r="C20" s="23" t="str">
        <f>TRIM(CONCATENATE('ADJ DETAIL INPUT'!Q$7," ",'ADJ DETAIL INPUT'!Q$8," ",'ADJ DETAIL INPUT'!Q$9))</f>
        <v>Net Gains &amp; Losses</v>
      </c>
      <c r="D20" s="80">
        <f>'ADJ DETAIL INPUT'!Q$58</f>
        <v>8.69</v>
      </c>
      <c r="E20" s="80">
        <f>'ADJ DETAIL INPUT'!Q$81</f>
        <v>0</v>
      </c>
      <c r="F20" s="466">
        <f t="shared" si="0"/>
        <v>-11.545886595212375</v>
      </c>
      <c r="I20" s="25" t="s">
        <v>421</v>
      </c>
      <c r="J20" s="546" t="s">
        <v>619</v>
      </c>
    </row>
    <row r="21" spans="1:12">
      <c r="A21" s="220">
        <f>'ADJ DETAIL INPUT'!R$10</f>
        <v>2.0999999999999979</v>
      </c>
      <c r="B21" s="159" t="str">
        <f>'ADJ DETAIL INPUT'!R$11</f>
        <v>G-WNGC</v>
      </c>
      <c r="C21" s="23" t="str">
        <f>TRIM(CONCATENATE('ADJ DETAIL INPUT'!R$7," ",'ADJ DETAIL INPUT'!R$8," ",'ADJ DETAIL INPUT'!R$9))</f>
        <v>Weather Normalization / Gas Cost Adjust</v>
      </c>
      <c r="D21" s="80">
        <f>'ADJ DETAIL INPUT'!R$58</f>
        <v>-33.97</v>
      </c>
      <c r="E21" s="80">
        <f>'ADJ DETAIL INPUT'!R$81</f>
        <v>0</v>
      </c>
      <c r="F21" s="466">
        <f t="shared" si="0"/>
        <v>45.133920326739286</v>
      </c>
      <c r="I21" s="524" t="s">
        <v>499</v>
      </c>
      <c r="J21" s="546" t="s">
        <v>619</v>
      </c>
    </row>
    <row r="22" spans="1:12" s="225" customFormat="1">
      <c r="A22" s="237">
        <f>'ADJ DETAIL INPUT'!S$10</f>
        <v>2.1099999999999977</v>
      </c>
      <c r="B22" s="238" t="str">
        <f>'ADJ DETAIL INPUT'!S$11</f>
        <v>G-EAS</v>
      </c>
      <c r="C22" s="229" t="str">
        <f>TRIM(CONCATENATE('ADJ DETAIL INPUT'!S$7," ",'ADJ DETAIL INPUT'!S$8," ",'ADJ DETAIL INPUT'!S$9))</f>
        <v>Eliminate Adder Schedules</v>
      </c>
      <c r="D22" s="230">
        <f>'ADJ DETAIL INPUT'!S$58</f>
        <v>8.0499999999992724</v>
      </c>
      <c r="E22" s="230">
        <f>'ADJ DETAIL INPUT'!S$81</f>
        <v>0</v>
      </c>
      <c r="F22" s="466">
        <f t="shared" si="0"/>
        <v>-10.695556627324653</v>
      </c>
      <c r="G22" s="227"/>
      <c r="H22" s="25"/>
      <c r="I22" s="524" t="s">
        <v>499</v>
      </c>
      <c r="J22" s="546" t="s">
        <v>619</v>
      </c>
      <c r="K22"/>
    </row>
    <row r="23" spans="1:12" s="60" customFormat="1">
      <c r="A23" s="220">
        <f>'ADJ DETAIL INPUT'!T$10</f>
        <v>2.1199999999999974</v>
      </c>
      <c r="B23" s="159" t="str">
        <f>'ADJ DETAIL INPUT'!T$11</f>
        <v>G-MR</v>
      </c>
      <c r="C23" s="252" t="str">
        <f>TRIM(CONCATENATE('ADJ DETAIL INPUT'!T$7," ",'ADJ DETAIL INPUT'!T$8," ",'ADJ DETAIL INPUT'!T$9))</f>
        <v>Misc. Restating Non-Util / Non- Recurring Expense</v>
      </c>
      <c r="D23" s="221">
        <f>'ADJ DETAIL INPUT'!T$58</f>
        <v>328.00799999999998</v>
      </c>
      <c r="E23" s="221">
        <f>'ADJ DETAIL INPUT'!T$81</f>
        <v>0</v>
      </c>
      <c r="F23" s="466">
        <f t="shared" si="0"/>
        <v>-435.80473766656166</v>
      </c>
      <c r="G23" s="25"/>
      <c r="H23" s="494"/>
      <c r="I23" s="25" t="s">
        <v>421</v>
      </c>
      <c r="J23" s="547" t="s">
        <v>619</v>
      </c>
      <c r="K23"/>
    </row>
    <row r="24" spans="1:12" s="247" customFormat="1" ht="13.5" customHeight="1">
      <c r="A24" s="253">
        <f>'ADJ DETAIL INPUT'!U$10</f>
        <v>2.1299999999999972</v>
      </c>
      <c r="B24" s="254" t="str">
        <f>'ADJ DETAIL INPUT'!U$11</f>
        <v>G-RI</v>
      </c>
      <c r="C24" s="252" t="str">
        <f>TRIM(CONCATENATE('ADJ DETAIL INPUT'!U$7," ",'ADJ DETAIL INPUT'!U$8," ",'ADJ DETAIL INPUT'!U$9))</f>
        <v>Restating Incentives Expense</v>
      </c>
      <c r="D24" s="249">
        <f>'ADJ DETAIL INPUT'!U$58</f>
        <v>-197.72357</v>
      </c>
      <c r="E24" s="249">
        <f>'ADJ DETAIL INPUT'!U$81</f>
        <v>0</v>
      </c>
      <c r="F24" s="466">
        <f t="shared" si="0"/>
        <v>262.70355770086718</v>
      </c>
      <c r="G24" s="266"/>
      <c r="I24" s="494" t="s">
        <v>500</v>
      </c>
      <c r="J24" s="547" t="s">
        <v>619</v>
      </c>
      <c r="K24"/>
    </row>
    <row r="25" spans="1:12" s="60" customFormat="1" ht="13.5" customHeight="1">
      <c r="A25" s="220">
        <f>'ADJ DETAIL INPUT'!V$10</f>
        <v>2.139999999999997</v>
      </c>
      <c r="B25" s="159" t="str">
        <f>'ADJ DETAIL INPUT'!V$11</f>
        <v>G-RDI</v>
      </c>
      <c r="C25" s="222" t="str">
        <f>TRIM(CONCATENATE('ADJ DETAIL INPUT'!V$7," ",'ADJ DETAIL INPUT'!V$8," ",'ADJ DETAIL INPUT'!V$9))</f>
        <v>Restate Debt Interest</v>
      </c>
      <c r="D25" s="221">
        <f>'ADJ DETAIL INPUT'!V$58</f>
        <v>-57</v>
      </c>
      <c r="E25" s="221">
        <f>'ADJ DETAIL INPUT'!V$81</f>
        <v>0</v>
      </c>
      <c r="F25" s="466">
        <f t="shared" si="0"/>
        <v>75.732512764914318</v>
      </c>
      <c r="G25" s="25"/>
      <c r="I25" s="25" t="s">
        <v>573</v>
      </c>
      <c r="J25" s="25" t="s">
        <v>573</v>
      </c>
      <c r="K25"/>
    </row>
    <row r="26" spans="1:12" s="250" customFormat="1" ht="13.5" customHeight="1">
      <c r="A26" s="253">
        <f>'ADJ DETAIL INPUT'!W$10</f>
        <v>2.1499999999999968</v>
      </c>
      <c r="B26" s="254" t="str">
        <f>'ADJ DETAIL INPUT'!W$11</f>
        <v>G-RCAP</v>
      </c>
      <c r="C26" s="252" t="str">
        <f>TRIM(CONCATENATE('ADJ DETAIL INPUT'!W$7," ",'ADJ DETAIL INPUT'!W$8," ",'ADJ DETAIL INPUT'!W$9))</f>
        <v>Restate Capital 06.2023 EOP</v>
      </c>
      <c r="D26" s="221">
        <f>'ADJ DETAIL INPUT'!W$58</f>
        <v>66.965975999999998</v>
      </c>
      <c r="E26" s="221">
        <f>'ADJ DETAIL INPUT'!W$81</f>
        <v>12408</v>
      </c>
      <c r="F26" s="466">
        <f t="shared" si="0"/>
        <v>1165.5935555617559</v>
      </c>
      <c r="G26" s="25"/>
      <c r="I26" s="25" t="s">
        <v>500</v>
      </c>
      <c r="J26" s="538" t="s">
        <v>619</v>
      </c>
      <c r="K26"/>
    </row>
    <row r="27" spans="1:12" s="250" customFormat="1" ht="13.5" hidden="1" customHeight="1" outlineLevel="1">
      <c r="A27" s="253">
        <f>'ADJ DETAIL INPUT'!X$10</f>
        <v>0</v>
      </c>
      <c r="B27" s="254">
        <f>'ADJ DETAIL INPUT'!X$11</f>
        <v>0</v>
      </c>
      <c r="C27" s="252" t="str">
        <f>TRIM(CONCATENATE('ADJ DETAIL INPUT'!X$7," ",'ADJ DETAIL INPUT'!X$8," ",'ADJ DETAIL INPUT'!X$9))</f>
        <v/>
      </c>
      <c r="D27" s="221">
        <f>'ADJ DETAIL INPUT'!X$58</f>
        <v>0</v>
      </c>
      <c r="E27" s="221">
        <f>'ADJ DETAIL INPUT'!X$81</f>
        <v>0</v>
      </c>
      <c r="F27" s="466">
        <f t="shared" si="0"/>
        <v>0</v>
      </c>
      <c r="G27" s="25"/>
      <c r="I27" s="494"/>
      <c r="J27" s="494"/>
      <c r="K27"/>
    </row>
    <row r="28" spans="1:12" collapsed="1">
      <c r="A28" s="133"/>
      <c r="B28" s="158"/>
      <c r="C28" s="11" t="s">
        <v>74</v>
      </c>
      <c r="D28" s="455">
        <f>SUM(D8:D27)</f>
        <v>35395.50422200001</v>
      </c>
      <c r="E28" s="455">
        <f>SUM(E8:E27)</f>
        <v>544965.39999999991</v>
      </c>
      <c r="F28" s="455">
        <f>SUM(F8:F27)</f>
        <v>8073.3020544769097</v>
      </c>
      <c r="G28" s="454">
        <f>D28/E28</f>
        <v>6.4950002737788518E-2</v>
      </c>
      <c r="H28" s="495"/>
      <c r="I28" s="500"/>
      <c r="J28" s="462"/>
    </row>
    <row r="29" spans="1:12" ht="13.5" customHeight="1">
      <c r="A29" s="458" t="s">
        <v>575</v>
      </c>
      <c r="B29" s="159"/>
      <c r="D29" s="23"/>
      <c r="H29" s="495"/>
      <c r="J29" s="462"/>
    </row>
    <row r="30" spans="1:12" s="225" customFormat="1">
      <c r="A30" s="237">
        <f>'ADJ DETAIL INPUT'!Z$10</f>
        <v>3.01</v>
      </c>
      <c r="B30" s="238" t="str">
        <f>'ADJ DETAIL INPUT'!Z$11</f>
        <v>G-PREV</v>
      </c>
      <c r="C30" s="236" t="str">
        <f>TRIM(CONCATENATE('ADJ DETAIL INPUT'!Z$7," ",'ADJ DETAIL INPUT'!Z$8," ",'ADJ DETAIL INPUT'!Z$9))</f>
        <v>Pro Forma Revenue Normalization</v>
      </c>
      <c r="D30" s="230">
        <f>'ADJ DETAIL INPUT'!Z$58</f>
        <v>1922.07</v>
      </c>
      <c r="E30" s="230">
        <f>'ADJ DETAIL INPUT'!Z$81</f>
        <v>0</v>
      </c>
      <c r="F30" s="466">
        <f>((E30*$G$5)-D30)/$G$54</f>
        <v>-2553.7401896501556</v>
      </c>
      <c r="G30" s="267"/>
      <c r="I30" s="494" t="s">
        <v>626</v>
      </c>
      <c r="J30" s="547" t="s">
        <v>619</v>
      </c>
      <c r="K30"/>
      <c r="L30" s="232"/>
    </row>
    <row r="31" spans="1:12" s="247" customFormat="1">
      <c r="A31" s="253">
        <f>'ADJ DETAIL INPUT'!AA$10</f>
        <v>3.0199999999999996</v>
      </c>
      <c r="B31" s="158" t="str">
        <f>'ADJ DETAIL INPUT'!AA$11</f>
        <v>G-PRA</v>
      </c>
      <c r="C31" s="252" t="str">
        <f>TRIM(CONCATENATE('ADJ DETAIL INPUT'!AA$7," ",'ADJ DETAIL INPUT'!AA$8," ",'ADJ DETAIL INPUT'!AA$9))</f>
        <v>Pro Forma Def. Debits, Credits &amp; Regulatory Amorts</v>
      </c>
      <c r="D31" s="249">
        <f>'ADJ DETAIL INPUT'!AA$58</f>
        <v>192.76</v>
      </c>
      <c r="E31" s="249">
        <f>'ADJ DETAIL INPUT'!AA$81</f>
        <v>0</v>
      </c>
      <c r="F31" s="466">
        <f t="shared" ref="F31:F51" si="1">((E31*$G$5)-D31)/$G$54</f>
        <v>-256.10875720289272</v>
      </c>
      <c r="G31" s="267"/>
      <c r="H31" s="494"/>
      <c r="I31" s="494" t="s">
        <v>421</v>
      </c>
      <c r="J31" s="547" t="s">
        <v>619</v>
      </c>
      <c r="K31"/>
      <c r="L31" s="250"/>
    </row>
    <row r="32" spans="1:12" s="247" customFormat="1">
      <c r="A32" s="253">
        <f>'ADJ DETAIL INPUT'!AB$10</f>
        <v>3.0299999999999994</v>
      </c>
      <c r="B32" s="254" t="str">
        <f>'ADJ DETAIL INPUT'!AB$11</f>
        <v>G-EDIT</v>
      </c>
      <c r="C32" s="252" t="str">
        <f>TRIM(CONCATENATE('ADJ DETAIL INPUT'!AB$7," ",'ADJ DETAIL INPUT'!AB$8," ",'ADJ DETAIL INPUT'!AB$9))</f>
        <v>Pro Forma EDIT (RSGM)</v>
      </c>
      <c r="D32" s="249">
        <f>'ADJ DETAIL INPUT'!AB$58</f>
        <v>-136</v>
      </c>
      <c r="E32" s="249">
        <f>'ADJ DETAIL INPUT'!AB$81</f>
        <v>0</v>
      </c>
      <c r="F32" s="466">
        <f t="shared" si="1"/>
        <v>180.69511817593593</v>
      </c>
      <c r="G32" s="267"/>
      <c r="I32" s="494" t="s">
        <v>633</v>
      </c>
      <c r="J32" s="538" t="s">
        <v>619</v>
      </c>
      <c r="K32"/>
      <c r="L32" s="250"/>
    </row>
    <row r="33" spans="1:12" s="247" customFormat="1">
      <c r="A33" s="253">
        <f>'ADJ DETAIL INPUT'!AC$10</f>
        <v>3.0399999999999991</v>
      </c>
      <c r="B33" s="254" t="str">
        <f>'ADJ DETAIL INPUT'!AC$11</f>
        <v>G-PAMI</v>
      </c>
      <c r="C33" s="252" t="str">
        <f>TRIM(CONCATENATE('ADJ DETAIL INPUT'!AC$7," ",'ADJ DETAIL INPUT'!AC$8," ",'ADJ DETAIL INPUT'!AC$9))</f>
        <v>Pro Forma AMI Amortization</v>
      </c>
      <c r="D33" s="249">
        <f>'ADJ DETAIL INPUT'!AC$58</f>
        <v>622.815023</v>
      </c>
      <c r="E33" s="249">
        <f>'ADJ DETAIL INPUT'!AC$81</f>
        <v>-2141</v>
      </c>
      <c r="F33" s="466">
        <f t="shared" si="1"/>
        <v>-1043.9728518871348</v>
      </c>
      <c r="G33" s="339"/>
      <c r="I33" s="494" t="s">
        <v>462</v>
      </c>
      <c r="J33" s="530" t="s">
        <v>462</v>
      </c>
      <c r="K33"/>
      <c r="L33" s="250"/>
    </row>
    <row r="34" spans="1:12" s="247" customFormat="1">
      <c r="A34" s="253">
        <f>'ADJ DETAIL INPUT'!AD$10</f>
        <v>3.0499999999999989</v>
      </c>
      <c r="B34" s="254" t="str">
        <f>'ADJ DETAIL INPUT'!AD$11</f>
        <v>G-PLN</v>
      </c>
      <c r="C34" s="252" t="str">
        <f>TRIM(CONCATENATE('ADJ DETAIL INPUT'!AD$7," ",'ADJ DETAIL INPUT'!AD$8," ",'ADJ DETAIL INPUT'!AD$9))</f>
        <v>Pro Forma Labor Non-Exec</v>
      </c>
      <c r="D34" s="249">
        <f>'ADJ DETAIL INPUT'!AD$58</f>
        <v>-1441.9870000000001</v>
      </c>
      <c r="E34" s="249">
        <f>'ADJ DETAIL INPUT'!AD$81</f>
        <v>0</v>
      </c>
      <c r="F34" s="466">
        <f t="shared" si="1"/>
        <v>1915.8824365673775</v>
      </c>
      <c r="G34" s="248"/>
      <c r="I34" s="25" t="s">
        <v>574</v>
      </c>
      <c r="J34" s="548" t="s">
        <v>619</v>
      </c>
      <c r="K34"/>
      <c r="L34" s="250"/>
    </row>
    <row r="35" spans="1:12" s="247" customFormat="1">
      <c r="A35" s="253">
        <f>'ADJ DETAIL INPUT'!AE$10</f>
        <v>3.0599999999999987</v>
      </c>
      <c r="B35" s="158" t="str">
        <f>'ADJ DETAIL INPUT'!AE$11</f>
        <v>G-PLE</v>
      </c>
      <c r="C35" s="252" t="str">
        <f>TRIM(CONCATENATE('ADJ DETAIL INPUT'!AE$7," ",'ADJ DETAIL INPUT'!AE$8," ",'ADJ DETAIL INPUT'!AE$9))</f>
        <v>Pro Forma Labor Exec</v>
      </c>
      <c r="D35" s="249">
        <f>'ADJ DETAIL INPUT'!AE$58</f>
        <v>-15.013949999999999</v>
      </c>
      <c r="E35" s="249">
        <f>'ADJ DETAIL INPUT'!AE$81</f>
        <v>0</v>
      </c>
      <c r="F35" s="466">
        <f t="shared" si="1"/>
        <v>19.948143158364655</v>
      </c>
      <c r="G35" s="260"/>
      <c r="I35" s="494" t="s">
        <v>574</v>
      </c>
      <c r="J35" s="548" t="s">
        <v>619</v>
      </c>
      <c r="K35"/>
      <c r="L35" s="250"/>
    </row>
    <row r="36" spans="1:12">
      <c r="A36" s="220">
        <f>'ADJ DETAIL INPUT'!AF$10</f>
        <v>3.0699999999999985</v>
      </c>
      <c r="B36" s="159" t="str">
        <f>'ADJ DETAIL INPUT'!AF$11</f>
        <v>G-PEB</v>
      </c>
      <c r="C36" s="252" t="str">
        <f>TRIM(CONCATENATE('ADJ DETAIL INPUT'!AF$7," ",'ADJ DETAIL INPUT'!AF$8," ",'ADJ DETAIL INPUT'!AF$9))</f>
        <v>Pro Forma Employee Benefits</v>
      </c>
      <c r="D36" s="80">
        <f>'ADJ DETAIL INPUT'!AF$58</f>
        <v>1334.4680000000001</v>
      </c>
      <c r="E36" s="80">
        <f>'ADJ DETAIL INPUT'!AF$81</f>
        <v>0</v>
      </c>
      <c r="F36" s="466">
        <f t="shared" si="1"/>
        <v>-1773.0283306029771</v>
      </c>
      <c r="I36" s="494" t="s">
        <v>574</v>
      </c>
      <c r="J36" s="548" t="s">
        <v>619</v>
      </c>
    </row>
    <row r="37" spans="1:12" s="478" customFormat="1">
      <c r="A37" s="253">
        <f>'ADJ DETAIL INPUT'!AG$10</f>
        <v>3.0799999999999983</v>
      </c>
      <c r="B37" s="254" t="str">
        <f>'ADJ DETAIL INPUT'!AG$11</f>
        <v>G-PI</v>
      </c>
      <c r="C37" s="252" t="str">
        <f>TRIM(CONCATENATE('ADJ DETAIL INPUT'!AG$7," ",'ADJ DETAIL INPUT'!AG$8," ",'ADJ DETAIL INPUT'!AG$9))</f>
        <v>Pro Forma Incentives</v>
      </c>
      <c r="D37" s="249">
        <f>'ADJ DETAIL INPUT'!AG$58</f>
        <v>-291.35199999999998</v>
      </c>
      <c r="E37" s="249">
        <f>'ADJ DETAIL INPUT'!AG$81</f>
        <v>0</v>
      </c>
      <c r="F37" s="466">
        <f t="shared" ref="F37" si="2">((E37*$G$5)-D37)/$G$54</f>
        <v>387.10208875584766</v>
      </c>
      <c r="G37" s="545"/>
      <c r="H37" s="545"/>
      <c r="I37" s="545" t="s">
        <v>462</v>
      </c>
      <c r="J37" s="547" t="s">
        <v>619</v>
      </c>
      <c r="K37"/>
    </row>
    <row r="38" spans="1:12" ht="13.5" customHeight="1">
      <c r="A38" s="220">
        <f>'ADJ DETAIL INPUT'!AH$10</f>
        <v>3.0899999999999981</v>
      </c>
      <c r="B38" s="159" t="str">
        <f>'ADJ DETAIL INPUT'!AH$11</f>
        <v>G-LIRAP</v>
      </c>
      <c r="C38" s="252" t="str">
        <f>TRIM(CONCATENATE('ADJ DETAIL INPUT'!AH$7," ",'ADJ DETAIL INPUT'!AH$8," ",'ADJ DETAIL INPUT'!AH$9))</f>
        <v>Pro Forma LIRAP Labor</v>
      </c>
      <c r="D38" s="80">
        <f>'ADJ DETAIL INPUT'!AH$58</f>
        <v>-61.620000000000005</v>
      </c>
      <c r="E38" s="80">
        <f>'ADJ DETAIL INPUT'!AH$81</f>
        <v>0</v>
      </c>
      <c r="F38" s="466">
        <f t="shared" si="1"/>
        <v>81.870832220596853</v>
      </c>
      <c r="I38" s="25" t="s">
        <v>462</v>
      </c>
      <c r="J38" s="539" t="s">
        <v>619</v>
      </c>
    </row>
    <row r="39" spans="1:12">
      <c r="A39" s="220">
        <f>'ADJ DETAIL INPUT'!AI$10</f>
        <v>3.0999999999999979</v>
      </c>
      <c r="B39" s="159" t="str">
        <f>'ADJ DETAIL INPUT'!AI$11</f>
        <v>G-CCA</v>
      </c>
      <c r="C39" s="252" t="str">
        <f>TRIM(CONCATENATE('ADJ DETAIL INPUT'!AI$7," ",'ADJ DETAIL INPUT'!AI$8," ",'ADJ DETAIL INPUT'!AI$9))</f>
        <v>Pro Forma CCA Labor</v>
      </c>
      <c r="D39" s="80">
        <f>'ADJ DETAIL INPUT'!AI$58</f>
        <v>-89.198110000000014</v>
      </c>
      <c r="E39" s="80">
        <f>'ADJ DETAIL INPUT'!AI$81</f>
        <v>0</v>
      </c>
      <c r="F39" s="466">
        <f t="shared" si="1"/>
        <v>118.51222814353041</v>
      </c>
      <c r="I39" s="494" t="s">
        <v>618</v>
      </c>
      <c r="J39" s="537" t="s">
        <v>619</v>
      </c>
    </row>
    <row r="40" spans="1:12" s="247" customFormat="1">
      <c r="A40" s="253">
        <f>'ADJ DETAIL INPUT'!AJ$10</f>
        <v>3.1099999999999977</v>
      </c>
      <c r="B40" s="254" t="str">
        <f>'ADJ DETAIL INPUT'!AJ$11</f>
        <v>G-PPT</v>
      </c>
      <c r="C40" s="252" t="str">
        <f>TRIM(CONCATENATE('ADJ DETAIL INPUT'!AJ$7," ",'ADJ DETAIL INPUT'!AJ$8," ",'ADJ DETAIL INPUT'!AJ$9))</f>
        <v>Pro Forma Property Tax</v>
      </c>
      <c r="D40" s="249">
        <f>'ADJ DETAIL INPUT'!AJ$58</f>
        <v>-747.34</v>
      </c>
      <c r="E40" s="249">
        <f>'ADJ DETAIL INPUT'!AJ$81</f>
        <v>0</v>
      </c>
      <c r="F40" s="466">
        <f t="shared" si="1"/>
        <v>992.94624718826446</v>
      </c>
      <c r="G40" s="440"/>
      <c r="H40" s="494"/>
      <c r="I40" s="532" t="s">
        <v>499</v>
      </c>
      <c r="J40" s="537" t="s">
        <v>619</v>
      </c>
      <c r="K40"/>
    </row>
    <row r="41" spans="1:12">
      <c r="A41" s="220">
        <f>'ADJ DETAIL INPUT'!AK$10</f>
        <v>3.1199999999999974</v>
      </c>
      <c r="B41" s="159" t="str">
        <f>'ADJ DETAIL INPUT'!AK$11</f>
        <v>G-PINS</v>
      </c>
      <c r="C41" s="252" t="str">
        <f>TRIM(CONCATENATE('ADJ DETAIL INPUT'!AK$7," ",'ADJ DETAIL INPUT'!AK$8," ",'ADJ DETAIL INPUT'!AK$9))</f>
        <v>Pro Forma Insurance Expense</v>
      </c>
      <c r="D41" s="80">
        <f>'ADJ DETAIL INPUT'!AK$58</f>
        <v>-472.42</v>
      </c>
      <c r="E41" s="80">
        <f>'ADJ DETAIL INPUT'!AK$81</f>
        <v>0</v>
      </c>
      <c r="F41" s="466">
        <f t="shared" si="1"/>
        <v>627.67638035790924</v>
      </c>
      <c r="I41" s="25" t="s">
        <v>421</v>
      </c>
      <c r="J41" s="548" t="s">
        <v>619</v>
      </c>
      <c r="L41" s="60"/>
    </row>
    <row r="42" spans="1:12" s="60" customFormat="1" ht="14.25" customHeight="1">
      <c r="A42" s="220">
        <f>'ADJ DETAIL INPUT'!AL$10</f>
        <v>3.1299999999999972</v>
      </c>
      <c r="B42" s="159" t="str">
        <f>'ADJ DETAIL INPUT'!AL$11</f>
        <v>G-PIT</v>
      </c>
      <c r="C42" s="252" t="str">
        <f>TRIM(CONCATENATE('ADJ DETAIL INPUT'!AL$7," ",'ADJ DETAIL INPUT'!AL$8," ",'ADJ DETAIL INPUT'!AL$9))</f>
        <v>Pro Forma IS/IT Expense</v>
      </c>
      <c r="D42" s="221">
        <f>'ADJ DETAIL INPUT'!AL$58</f>
        <v>-16.274000000000001</v>
      </c>
      <c r="E42" s="221">
        <f>'ADJ DETAIL INPUT'!AL$81</f>
        <v>0</v>
      </c>
      <c r="F42" s="466">
        <f t="shared" si="1"/>
        <v>21.622296714670451</v>
      </c>
      <c r="G42" s="25"/>
      <c r="H42" s="494"/>
      <c r="I42" s="494" t="s">
        <v>421</v>
      </c>
      <c r="J42" s="548" t="s">
        <v>619</v>
      </c>
      <c r="K42"/>
    </row>
    <row r="43" spans="1:12" s="247" customFormat="1">
      <c r="A43" s="253">
        <f>'ADJ DETAIL INPUT'!AM$10</f>
        <v>3.139999999999997</v>
      </c>
      <c r="B43" s="254" t="str">
        <f>'ADJ DETAIL INPUT'!AM$11</f>
        <v>G-PMisc</v>
      </c>
      <c r="C43" s="252" t="str">
        <f>TRIM(CONCATENATE('ADJ DETAIL INPUT'!AM$7," ",'ADJ DETAIL INPUT'!AM$8," ",'ADJ DETAIL INPUT'!AM$9))</f>
        <v>Pro Forma Misc O&amp;M Exp</v>
      </c>
      <c r="D43" s="249">
        <f>'ADJ DETAIL INPUT'!AM$58</f>
        <v>-1290.5929799999999</v>
      </c>
      <c r="E43" s="249">
        <f>'ADJ DETAIL INPUT'!AM$81</f>
        <v>0</v>
      </c>
      <c r="F43" s="466">
        <f t="shared" si="1"/>
        <v>1714.7341988098035</v>
      </c>
      <c r="G43" s="248"/>
      <c r="I43" s="502" t="s">
        <v>462</v>
      </c>
      <c r="J43" s="534" t="s">
        <v>462</v>
      </c>
      <c r="K43"/>
      <c r="L43" s="250"/>
    </row>
    <row r="44" spans="1:12" s="247" customFormat="1">
      <c r="A44" s="253">
        <f>'ADJ DETAIL INPUT'!AN$10</f>
        <v>3.1499999999999968</v>
      </c>
      <c r="B44" s="254" t="str">
        <f>'ADJ DETAIL INPUT'!AN$11</f>
        <v>G-CAP23E</v>
      </c>
      <c r="C44" s="252" t="str">
        <f>TRIM(CONCATENATE('ADJ DETAIL INPUT'!AN$7," ",'ADJ DETAIL INPUT'!AN$8," ",'ADJ DETAIL INPUT'!AN$9))</f>
        <v>Pro Forma Capital Additions to 12.31.2023 EOP</v>
      </c>
      <c r="D44" s="249">
        <f>'ADJ DETAIL INPUT'!AN$58</f>
        <v>-898.12380370000005</v>
      </c>
      <c r="E44" s="249">
        <f>'ADJ DETAIL INPUT'!AN$81</f>
        <v>19487.900000000001</v>
      </c>
      <c r="F44" s="466">
        <f t="shared" si="1"/>
        <v>3163.6964822912146</v>
      </c>
      <c r="G44" s="407"/>
      <c r="I44" s="502" t="s">
        <v>500</v>
      </c>
      <c r="J44" s="25" t="s">
        <v>619</v>
      </c>
      <c r="K44"/>
      <c r="L44" s="250"/>
    </row>
    <row r="45" spans="1:12" s="478" customFormat="1">
      <c r="A45" s="253">
        <f>'ADJ DETAIL INPUT'!AO$10</f>
        <v>3.1599999999999966</v>
      </c>
      <c r="B45" s="254" t="str">
        <f>'ADJ DETAIL INPUT'!AO$11</f>
        <v>G-DEP</v>
      </c>
      <c r="C45" s="252" t="str">
        <f>TRIM(CONCATENATE('ADJ DETAIL INPUT'!AO$7," ",'ADJ DETAIL INPUT'!AO$8," ",'ADJ DETAIL INPUT'!AO$9))</f>
        <v>Pro Forma Depreciation Expense</v>
      </c>
      <c r="D45" s="249">
        <f>'ADJ DETAIL INPUT'!AO$58</f>
        <v>714.31799999999998</v>
      </c>
      <c r="E45" s="249">
        <f>'ADJ DETAIL INPUT'!AO$81</f>
        <v>0</v>
      </c>
      <c r="F45" s="466">
        <f t="shared" ref="F45:F47" si="3">((E45*$G$5)-D45)/$G$54</f>
        <v>-949.07187812645736</v>
      </c>
      <c r="G45" s="517"/>
      <c r="I45" s="502" t="s">
        <v>500</v>
      </c>
      <c r="J45" s="25" t="s">
        <v>619</v>
      </c>
      <c r="K45"/>
      <c r="L45" s="493"/>
    </row>
    <row r="46" spans="1:12" s="478" customFormat="1">
      <c r="A46" s="253">
        <f>'ADJ DETAIL INPUT'!AP$10</f>
        <v>3.1699999999999964</v>
      </c>
      <c r="B46" s="254" t="str">
        <f>'ADJ DETAIL INPUT'!AP$11</f>
        <v>G-CAP24E</v>
      </c>
      <c r="C46" s="252" t="str">
        <f>TRIM(CONCATENATE('ADJ DETAIL INPUT'!AP$7," ",'ADJ DETAIL INPUT'!AP$8," ",'ADJ DETAIL INPUT'!AP$9))</f>
        <v>Pro Forma Capital Additions to 12.31.2024 EOP</v>
      </c>
      <c r="D46" s="249">
        <f>'ADJ DETAIL INPUT'!AP$58</f>
        <v>-1435.024504</v>
      </c>
      <c r="E46" s="249">
        <f>'ADJ DETAIL INPUT'!AP$81</f>
        <v>20568</v>
      </c>
      <c r="F46" s="466">
        <f t="shared" si="3"/>
        <v>3986.2529598790402</v>
      </c>
      <c r="G46" s="517"/>
      <c r="I46" s="502" t="s">
        <v>500</v>
      </c>
      <c r="J46" s="25" t="s">
        <v>619</v>
      </c>
      <c r="K46"/>
      <c r="L46" s="493"/>
    </row>
    <row r="47" spans="1:12" s="478" customFormat="1">
      <c r="A47" s="253">
        <f>'ADJ DETAIL INPUT'!AQ$10</f>
        <v>3.1799999999999962</v>
      </c>
      <c r="B47" s="254" t="str">
        <f>'ADJ DETAIL INPUT'!AQ$11</f>
        <v>G-NRA</v>
      </c>
      <c r="C47" s="252" t="str">
        <f>TRIM(CONCATENATE('ADJ DETAIL INPUT'!AQ$7," ",'ADJ DETAIL INPUT'!AQ$8," ",'ADJ DETAIL INPUT'!AQ$9))</f>
        <v>Pro Forma New Regulatory Amortizations</v>
      </c>
      <c r="D47" s="249">
        <f>'ADJ DETAIL INPUT'!AQ$58</f>
        <v>-237</v>
      </c>
      <c r="E47" s="249">
        <f>'ADJ DETAIL INPUT'!AQ$81</f>
        <v>0</v>
      </c>
      <c r="F47" s="466">
        <f t="shared" si="3"/>
        <v>314.88781623306483</v>
      </c>
      <c r="G47" s="517"/>
      <c r="I47" s="517" t="s">
        <v>573</v>
      </c>
      <c r="J47" s="25" t="s">
        <v>619</v>
      </c>
      <c r="K47"/>
      <c r="L47" s="493"/>
    </row>
    <row r="48" spans="1:12" s="247" customFormat="1">
      <c r="A48" s="253">
        <f>'ADJ DETAIL INPUT'!AR$10</f>
        <v>3.1899999999999959</v>
      </c>
      <c r="B48" s="254" t="str">
        <f>'ADJ DETAIL INPUT'!AR$11</f>
        <v>G-ETRM</v>
      </c>
      <c r="C48" s="252" t="str">
        <f>TRIM(CONCATENATE('ADJ DETAIL INPUT'!AR$7," ",'ADJ DETAIL INPUT'!AR$8," ",'ADJ DETAIL INPUT'!AR$9))</f>
        <v>Pro Forma Nucleus/ETRM Expense</v>
      </c>
      <c r="D48" s="249">
        <f>'ADJ DETAIL INPUT'!AR$58</f>
        <v>-140.62</v>
      </c>
      <c r="E48" s="249">
        <f>'ADJ DETAIL INPUT'!AR$81</f>
        <v>0</v>
      </c>
      <c r="F48" s="466">
        <f t="shared" si="1"/>
        <v>186.83343763161847</v>
      </c>
      <c r="G48" s="267"/>
      <c r="I48" s="528" t="s">
        <v>462</v>
      </c>
      <c r="J48" s="548" t="s">
        <v>619</v>
      </c>
      <c r="K48"/>
      <c r="L48" s="250"/>
    </row>
    <row r="49" spans="1:12" s="247" customFormat="1">
      <c r="A49" s="253">
        <f>'ADJ DETAIL INPUT'!AS$10</f>
        <v>3.1999999999999957</v>
      </c>
      <c r="B49" s="254" t="str">
        <f>'ADJ DETAIL INPUT'!AS$11</f>
        <v>G-PBOD</v>
      </c>
      <c r="C49" s="252" t="str">
        <f>TRIM(CONCATENATE('ADJ DETAIL INPUT'!AS$7," ",'ADJ DETAIL INPUT'!AS$8," ",'ADJ DETAIL INPUT'!AS$9))</f>
        <v>Pro Forma BOD Fees Expense</v>
      </c>
      <c r="D49" s="249">
        <f>'ADJ DETAIL INPUT'!AS$58</f>
        <v>-118.5</v>
      </c>
      <c r="E49" s="249">
        <f>'ADJ DETAIL INPUT'!AS$81</f>
        <v>0</v>
      </c>
      <c r="F49" s="466">
        <f t="shared" si="1"/>
        <v>157.44390811653241</v>
      </c>
      <c r="G49" s="248"/>
      <c r="H49" s="494"/>
      <c r="I49" s="546" t="s">
        <v>573</v>
      </c>
      <c r="J49" s="546" t="s">
        <v>573</v>
      </c>
      <c r="K49"/>
      <c r="L49" s="250"/>
    </row>
    <row r="50" spans="1:12" s="247" customFormat="1">
      <c r="A50" s="253">
        <f>'ADJ DETAIL INPUT'!AT$10</f>
        <v>4.01</v>
      </c>
      <c r="B50" s="254" t="str">
        <f>'ADJ DETAIL INPUT'!AT$11</f>
        <v>G-CAP25A</v>
      </c>
      <c r="C50" s="252" t="str">
        <f>TRIM(CONCATENATE('ADJ DETAIL INPUT'!AT$7," ",'ADJ DETAIL INPUT'!AT$8," ",'ADJ DETAIL INPUT'!AT$9))</f>
        <v>Provisional Capital Additions to 12.31.2025 AMA</v>
      </c>
      <c r="D50" s="249">
        <f>'ADJ DETAIL INPUT'!AT$58</f>
        <v>-1697.0085517</v>
      </c>
      <c r="E50" s="249">
        <f>'ADJ DETAIL INPUT'!AT$81</f>
        <v>3203.9000000000015</v>
      </c>
      <c r="F50" s="466">
        <f t="shared" si="1"/>
        <v>2578.6592976274464</v>
      </c>
      <c r="G50" s="339"/>
      <c r="I50" s="494" t="s">
        <v>523</v>
      </c>
      <c r="J50" s="25" t="s">
        <v>619</v>
      </c>
      <c r="K50"/>
      <c r="L50" s="250"/>
    </row>
    <row r="51" spans="1:12" s="247" customFormat="1" ht="15" customHeight="1">
      <c r="A51" s="253">
        <f>'ADJ DETAIL INPUT'!AU$10</f>
        <v>4.0199999999999996</v>
      </c>
      <c r="B51" s="254" t="str">
        <f>'ADJ DETAIL INPUT'!AU$11</f>
        <v>G-Offsets25</v>
      </c>
      <c r="C51" s="252" t="str">
        <f>TRIM(CONCATENATE('ADJ DETAIL INPUT'!AU$7," ",'ADJ DETAIL INPUT'!AU$8," ",'ADJ DETAIL INPUT'!AU$9))</f>
        <v>2024-2025 Capital Adds O&amp;M &amp; Revenue Offsets</v>
      </c>
      <c r="D51" s="249">
        <f>'ADJ DETAIL INPUT'!AU$58</f>
        <v>491.93853000000001</v>
      </c>
      <c r="E51" s="249">
        <f>'ADJ DETAIL INPUT'!AU$81</f>
        <v>0</v>
      </c>
      <c r="F51" s="466">
        <f t="shared" si="1"/>
        <v>-653.60949127681033</v>
      </c>
      <c r="G51" s="339"/>
      <c r="H51" s="494"/>
      <c r="I51" s="474" t="s">
        <v>634</v>
      </c>
      <c r="J51" s="494" t="s">
        <v>462</v>
      </c>
      <c r="K51"/>
      <c r="L51" s="250"/>
    </row>
    <row r="52" spans="1:12" s="247" customFormat="1" hidden="1" outlineLevel="1">
      <c r="A52" s="253">
        <f>'ADJ DETAIL INPUT'!AV$10</f>
        <v>0</v>
      </c>
      <c r="B52" s="254">
        <f>'ADJ DETAIL INPUT'!AV$11</f>
        <v>0</v>
      </c>
      <c r="C52" s="252" t="str">
        <f>TRIM(CONCATENATE('ADJ DETAIL INPUT'!AV$7," ",'ADJ DETAIL INPUT'!AV$8," ",'ADJ DETAIL INPUT'!AV$9))</f>
        <v/>
      </c>
      <c r="D52" s="249">
        <f>'ADJ DETAIL INPUT'!AV$58</f>
        <v>0</v>
      </c>
      <c r="E52" s="249">
        <f>'ADJ DETAIL INPUT'!AV$81</f>
        <v>0</v>
      </c>
      <c r="F52" s="249"/>
      <c r="G52" s="248"/>
      <c r="H52" s="494"/>
      <c r="I52" s="25"/>
      <c r="J52" s="494"/>
      <c r="K52"/>
      <c r="L52" s="250"/>
    </row>
    <row r="53" spans="1:12" s="247" customFormat="1" ht="13.5" collapsed="1" thickBot="1">
      <c r="A53" s="253"/>
      <c r="B53" s="254"/>
      <c r="C53" s="460" t="s">
        <v>576</v>
      </c>
      <c r="D53" s="26">
        <f>SUM(D28:D51)</f>
        <v>31585.798875600016</v>
      </c>
      <c r="E53" s="26">
        <f>SUM(E28:E51)</f>
        <v>586084.19999999995</v>
      </c>
      <c r="F53" s="26">
        <f>SUM(F28:F51)</f>
        <v>17292.534427601702</v>
      </c>
      <c r="G53" s="457">
        <f>D53/E53</f>
        <v>5.3892937014169667E-2</v>
      </c>
      <c r="H53" s="494"/>
      <c r="I53" s="25"/>
      <c r="J53" s="478"/>
      <c r="K53"/>
      <c r="L53" s="250"/>
    </row>
    <row r="54" spans="1:12" ht="17.25" customHeight="1" thickTop="1">
      <c r="A54" s="69" t="s">
        <v>471</v>
      </c>
      <c r="B54" s="69" t="s">
        <v>572</v>
      </c>
      <c r="C54" s="11" t="s">
        <v>137</v>
      </c>
      <c r="G54" s="216">
        <f>CF!E27</f>
        <v>0.75264900000000001</v>
      </c>
      <c r="I54" s="494" t="s">
        <v>421</v>
      </c>
      <c r="J54" s="25" t="s">
        <v>619</v>
      </c>
    </row>
    <row r="55" spans="1:12" s="247" customFormat="1" ht="17.25" customHeight="1">
      <c r="A55" s="69"/>
      <c r="B55" s="69"/>
      <c r="G55" s="407"/>
      <c r="H55" s="25"/>
      <c r="I55" s="25"/>
      <c r="J55" s="25"/>
      <c r="K55"/>
    </row>
    <row r="56" spans="1:12" s="247" customFormat="1" ht="17.25" customHeight="1">
      <c r="A56" s="459" t="s">
        <v>577</v>
      </c>
      <c r="B56" s="69"/>
      <c r="G56" s="407"/>
      <c r="H56" s="25"/>
      <c r="I56" s="25"/>
      <c r="J56" s="25"/>
      <c r="K56"/>
    </row>
    <row r="57" spans="1:12" s="247" customFormat="1" hidden="1" outlineLevel="1">
      <c r="A57" s="253">
        <f>'ADJ DETAIL INPUT'!AY$10</f>
        <v>0</v>
      </c>
      <c r="B57" s="254">
        <f>'ADJ DETAIL INPUT'!AY$11</f>
        <v>0</v>
      </c>
      <c r="C57" s="252" t="str">
        <f>TRIM(CONCATENATE('ADJ DETAIL INPUT'!AY$7," ",'ADJ DETAIL INPUT'!AY$8," ",'ADJ DETAIL INPUT'!AY$9))</f>
        <v/>
      </c>
      <c r="D57" s="249">
        <f>'ADJ DETAIL INPUT'!AY$58</f>
        <v>0</v>
      </c>
      <c r="E57" s="249">
        <f>'ADJ DETAIL INPUT'!AY$81</f>
        <v>0</v>
      </c>
      <c r="F57" s="466">
        <f>((E57*$G$5)-D57)/$G$54</f>
        <v>0</v>
      </c>
      <c r="G57" s="441"/>
      <c r="H57" s="494"/>
      <c r="I57" s="494"/>
      <c r="J57" s="494"/>
      <c r="K57"/>
      <c r="L57" s="250"/>
    </row>
    <row r="58" spans="1:12" s="247" customFormat="1" collapsed="1">
      <c r="A58" s="253">
        <f>'ADJ DETAIL INPUT'!AZ$10</f>
        <v>5.01</v>
      </c>
      <c r="B58" s="254" t="str">
        <f>'ADJ DETAIL INPUT'!AZ$11</f>
        <v>G-PAMI26</v>
      </c>
      <c r="C58" s="252" t="str">
        <f>TRIM(CONCATENATE('ADJ DETAIL INPUT'!AZ$7," ",'ADJ DETAIL INPUT'!AZ$8," ",'ADJ DETAIL INPUT'!AZ$9))</f>
        <v>Pro Forma AMI Amortization</v>
      </c>
      <c r="D58" s="249">
        <f>'ADJ DETAIL INPUT'!AZ$58</f>
        <v>78.373344000000003</v>
      </c>
      <c r="E58" s="249">
        <f>'ADJ DETAIL INPUT'!AZ$81</f>
        <v>-848</v>
      </c>
      <c r="F58" s="466">
        <f t="shared" ref="F58:F66" si="4">((E58*$G$5)-D58)/$G$54</f>
        <v>-189.87090130990671</v>
      </c>
      <c r="G58" s="410"/>
      <c r="I58" s="502" t="s">
        <v>462</v>
      </c>
      <c r="J58" s="502" t="s">
        <v>462</v>
      </c>
      <c r="K58"/>
      <c r="L58" s="250"/>
    </row>
    <row r="59" spans="1:12" s="247" customFormat="1">
      <c r="A59" s="253">
        <f>'ADJ DETAIL INPUT'!BA$10</f>
        <v>5.0199999999999996</v>
      </c>
      <c r="B59" s="254" t="str">
        <f>'ADJ DETAIL INPUT'!BA$11</f>
        <v>G-PLN26</v>
      </c>
      <c r="C59" s="252" t="str">
        <f>TRIM(CONCATENATE('ADJ DETAIL INPUT'!BA$7," ",'ADJ DETAIL INPUT'!BA$8," ",'ADJ DETAIL INPUT'!BA$9))</f>
        <v>Pro Forma Labor Non-Exec</v>
      </c>
      <c r="D59" s="249">
        <f>'ADJ DETAIL INPUT'!BA$58</f>
        <v>-580.57100000000003</v>
      </c>
      <c r="E59" s="249">
        <f>'ADJ DETAIL INPUT'!BA$81</f>
        <v>0</v>
      </c>
      <c r="F59" s="466">
        <f t="shared" si="4"/>
        <v>771.37018716559783</v>
      </c>
      <c r="G59" s="410"/>
      <c r="I59" s="502" t="s">
        <v>500</v>
      </c>
      <c r="J59" s="548" t="s">
        <v>619</v>
      </c>
      <c r="K59"/>
      <c r="L59" s="250"/>
    </row>
    <row r="60" spans="1:12" s="247" customFormat="1">
      <c r="A60" s="253">
        <f>'ADJ DETAIL INPUT'!BB$10</f>
        <v>5.0299999999999994</v>
      </c>
      <c r="B60" s="254" t="str">
        <f>'ADJ DETAIL INPUT'!BB$11</f>
        <v>G-PEB26</v>
      </c>
      <c r="C60" s="252" t="str">
        <f>TRIM(CONCATENATE('ADJ DETAIL INPUT'!BB$7," ",'ADJ DETAIL INPUT'!BB$8," ",'ADJ DETAIL INPUT'!BB$9))</f>
        <v>Pro Forma Employee Benefits</v>
      </c>
      <c r="D60" s="249">
        <f>'ADJ DETAIL INPUT'!BB$58</f>
        <v>-115.97200000000001</v>
      </c>
      <c r="E60" s="249">
        <f>'ADJ DETAIL INPUT'!BB$81</f>
        <v>0</v>
      </c>
      <c r="F60" s="466">
        <f t="shared" si="4"/>
        <v>154.08510474337973</v>
      </c>
      <c r="G60" s="410"/>
      <c r="I60" s="502" t="s">
        <v>500</v>
      </c>
      <c r="J60" s="548" t="s">
        <v>619</v>
      </c>
      <c r="K60"/>
      <c r="L60" s="250"/>
    </row>
    <row r="61" spans="1:12" s="247" customFormat="1">
      <c r="A61" s="253">
        <f>'ADJ DETAIL INPUT'!BC$10</f>
        <v>5.0399999999999991</v>
      </c>
      <c r="B61" s="254" t="str">
        <f>'ADJ DETAIL INPUT'!BC$11</f>
        <v>G-PPT26</v>
      </c>
      <c r="C61" s="252" t="str">
        <f>TRIM(CONCATENATE('ADJ DETAIL INPUT'!BC$7," ",'ADJ DETAIL INPUT'!BC$8," ",'ADJ DETAIL INPUT'!BC$9))</f>
        <v>Pro Forma Property Tax</v>
      </c>
      <c r="D61" s="249">
        <f>'ADJ DETAIL INPUT'!BC$58</f>
        <v>-23.7</v>
      </c>
      <c r="E61" s="249">
        <f>'ADJ DETAIL INPUT'!BC$81</f>
        <v>0</v>
      </c>
      <c r="F61" s="466">
        <f t="shared" si="4"/>
        <v>31.48878162330648</v>
      </c>
      <c r="G61" s="410"/>
      <c r="H61" s="502"/>
      <c r="I61" s="502" t="s">
        <v>499</v>
      </c>
      <c r="J61" s="537" t="s">
        <v>619</v>
      </c>
      <c r="K61"/>
      <c r="L61" s="250"/>
    </row>
    <row r="62" spans="1:12" s="247" customFormat="1">
      <c r="A62" s="253">
        <f>'ADJ DETAIL INPUT'!BD$10</f>
        <v>5.0499999999999989</v>
      </c>
      <c r="B62" s="254" t="str">
        <f>'ADJ DETAIL INPUT'!BD$11</f>
        <v>G-ETRM26</v>
      </c>
      <c r="C62" s="252" t="str">
        <f>TRIM(CONCATENATE('ADJ DETAIL INPUT'!BD$7," ",'ADJ DETAIL INPUT'!BD$8," ",'ADJ DETAIL INPUT'!BD$9))</f>
        <v>Pro Forma Nucleus/ETRM Expense</v>
      </c>
      <c r="D62" s="249">
        <f>'ADJ DETAIL INPUT'!BD$58</f>
        <v>51.35</v>
      </c>
      <c r="E62" s="249">
        <f>'ADJ DETAIL INPUT'!BD$81</f>
        <v>0</v>
      </c>
      <c r="F62" s="466">
        <f t="shared" si="4"/>
        <v>-68.225693517164046</v>
      </c>
      <c r="G62" s="410"/>
      <c r="I62" s="502" t="s">
        <v>462</v>
      </c>
      <c r="J62" s="548" t="s">
        <v>619</v>
      </c>
      <c r="K62"/>
      <c r="L62" s="250"/>
    </row>
    <row r="63" spans="1:12" s="247" customFormat="1">
      <c r="A63" s="253">
        <f>'ADJ DETAIL INPUT'!BE$10</f>
        <v>5.0599999999999987</v>
      </c>
      <c r="B63" s="254" t="str">
        <f>'ADJ DETAIL INPUT'!BE$11</f>
        <v>G-PMisc26</v>
      </c>
      <c r="C63" s="252" t="str">
        <f>TRIM(CONCATENATE('ADJ DETAIL INPUT'!BE$7," ",'ADJ DETAIL INPUT'!BE$8," ",'ADJ DETAIL INPUT'!BE$9))</f>
        <v>Pro Forma Misc O&amp;M Exp</v>
      </c>
      <c r="D63" s="249">
        <f>'ADJ DETAIL INPUT'!BE$58</f>
        <v>-516.23814000000004</v>
      </c>
      <c r="E63" s="249">
        <f>'ADJ DETAIL INPUT'!BE$81</f>
        <v>0</v>
      </c>
      <c r="F63" s="466">
        <f t="shared" si="4"/>
        <v>685.89493907518647</v>
      </c>
      <c r="G63" s="410"/>
      <c r="I63" s="502" t="s">
        <v>462</v>
      </c>
      <c r="J63" s="534" t="s">
        <v>462</v>
      </c>
      <c r="K63"/>
      <c r="L63" s="250"/>
    </row>
    <row r="64" spans="1:12" s="247" customFormat="1">
      <c r="A64" s="253">
        <f>'ADJ DETAIL INPUT'!BF$10</f>
        <v>5.0699999999999985</v>
      </c>
      <c r="B64" s="254" t="str">
        <f>'ADJ DETAIL INPUT'!BF$11</f>
        <v>G-CAP26A</v>
      </c>
      <c r="C64" s="252" t="str">
        <f>TRIM(CONCATENATE('ADJ DETAIL INPUT'!BF$7," ",'ADJ DETAIL INPUT'!BF$8," ",'ADJ DETAIL INPUT'!BF$9))</f>
        <v>Provisional Capital Adds to 12.31.2026 AMA</v>
      </c>
      <c r="D64" s="249">
        <f>'ADJ DETAIL INPUT'!BF$58</f>
        <v>-1282.3712067000001</v>
      </c>
      <c r="E64" s="249">
        <f>'ADJ DETAIL INPUT'!BF$81</f>
        <v>17088.900000000001</v>
      </c>
      <c r="F64" s="466">
        <f t="shared" si="4"/>
        <v>3431.6613676494621</v>
      </c>
      <c r="G64" s="410"/>
      <c r="I64" s="502" t="s">
        <v>500</v>
      </c>
      <c r="J64" s="25" t="s">
        <v>619</v>
      </c>
      <c r="K64"/>
      <c r="L64" s="250"/>
    </row>
    <row r="65" spans="1:12" s="247" customFormat="1">
      <c r="A65" s="253">
        <f>'ADJ DETAIL INPUT'!BG$10</f>
        <v>5.0799999999999983</v>
      </c>
      <c r="B65" s="254" t="str">
        <f>'ADJ DETAIL INPUT'!BG$11</f>
        <v>G-Offsets26</v>
      </c>
      <c r="C65" s="252" t="str">
        <f>TRIM(CONCATENATE('ADJ DETAIL INPUT'!BG$7," ",'ADJ DETAIL INPUT'!BG$8," ",'ADJ DETAIL INPUT'!BG$9))</f>
        <v>2026 Capital Adds O&amp;M &amp; Revenue Offsets</v>
      </c>
      <c r="D65" s="249">
        <f>'ADJ DETAIL INPUT'!BG$58</f>
        <v>189.50441000000001</v>
      </c>
      <c r="E65" s="249">
        <f>'ADJ DETAIL INPUT'!BG$81</f>
        <v>0</v>
      </c>
      <c r="F65" s="466">
        <f t="shared" si="4"/>
        <v>-251.78324823390452</v>
      </c>
      <c r="G65" s="410"/>
      <c r="H65" s="502"/>
      <c r="I65" s="474" t="s">
        <v>634</v>
      </c>
      <c r="J65" s="535" t="s">
        <v>462</v>
      </c>
      <c r="K65"/>
      <c r="L65" s="250"/>
    </row>
    <row r="66" spans="1:12" s="493" customFormat="1" hidden="1" outlineLevel="1">
      <c r="A66" s="133">
        <f>'ADJ DETAIL INPUT'!BH$10</f>
        <v>0</v>
      </c>
      <c r="B66" s="158">
        <f>'ADJ DETAIL INPUT'!BH$11</f>
        <v>0</v>
      </c>
      <c r="C66" s="252" t="str">
        <f>TRIM(CONCATENATE('ADJ DETAIL INPUT'!BH$7," ",'ADJ DETAIL INPUT'!BH$8," ",'ADJ DETAIL INPUT'!BH$9))</f>
        <v/>
      </c>
      <c r="D66" s="221">
        <f>'ADJ DETAIL INPUT'!BH$58</f>
        <v>0</v>
      </c>
      <c r="E66" s="221">
        <f>'ADJ DETAIL INPUT'!BH$81</f>
        <v>0</v>
      </c>
      <c r="F66" s="540">
        <f t="shared" si="4"/>
        <v>0</v>
      </c>
      <c r="G66" s="25"/>
      <c r="H66" s="541"/>
      <c r="I66" s="474"/>
      <c r="J66" s="25"/>
      <c r="K66"/>
    </row>
    <row r="67" spans="1:12" collapsed="1"/>
    <row r="68" spans="1:12" s="247" customFormat="1" ht="13.5" thickBot="1">
      <c r="A68" s="253"/>
      <c r="B68" s="254"/>
      <c r="C68" s="465" t="s">
        <v>578</v>
      </c>
      <c r="D68" s="26">
        <f>SUM(D53:D66)</f>
        <v>29386.17428290001</v>
      </c>
      <c r="E68" s="26">
        <f>SUM(E53:E66)</f>
        <v>602325.1</v>
      </c>
      <c r="F68" s="26">
        <f>SUM(F53:F66)</f>
        <v>21857.154964797661</v>
      </c>
      <c r="G68" s="457">
        <f>D68/E68</f>
        <v>4.8787895910198678E-2</v>
      </c>
      <c r="I68" s="25"/>
      <c r="J68" s="478"/>
      <c r="K68"/>
      <c r="L68" s="250"/>
    </row>
    <row r="69" spans="1:12" ht="14.25" thickTop="1" thickBot="1">
      <c r="C69" s="474" t="s">
        <v>579</v>
      </c>
      <c r="F69" s="456">
        <f>F68-F53</f>
        <v>4564.6205371959586</v>
      </c>
    </row>
    <row r="70" spans="1:12" ht="13.5" thickTop="1"/>
  </sheetData>
  <customSheetViews>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5">
    <mergeCell ref="A4:G4"/>
    <mergeCell ref="A1:G1"/>
    <mergeCell ref="A2:G2"/>
    <mergeCell ref="A3:G3"/>
    <mergeCell ref="D5:F5"/>
  </mergeCells>
  <phoneticPr fontId="0" type="noConversion"/>
  <pageMargins left="1" right="0.5" top="1" bottom="1" header="0.5" footer="0.5"/>
  <pageSetup scale="77" orientation="portrait" r:id="rId3"/>
  <headerFooter alignWithMargins="0">
    <oddHeader>&amp;RExh. KJS-3</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1137-EC0A-457F-B0D2-5BAB10BC5066}">
  <sheetPr codeName="Sheet9"/>
  <dimension ref="A1:K43"/>
  <sheetViews>
    <sheetView showWhiteSpace="0" zoomScaleNormal="100" workbookViewId="0"/>
  </sheetViews>
  <sheetFormatPr defaultColWidth="9.28515625" defaultRowHeight="12.75"/>
  <cols>
    <col min="1" max="1" width="30.7109375" style="387" customWidth="1"/>
    <col min="2" max="3" width="9.28515625" style="387" customWidth="1"/>
    <col min="4" max="4" width="16.5703125" style="387" customWidth="1"/>
    <col min="5" max="5" width="16.28515625" style="387" customWidth="1"/>
    <col min="6" max="9" width="9.28515625" style="387"/>
    <col min="10" max="10" width="9.42578125" style="387" customWidth="1"/>
    <col min="11" max="16384" width="9.28515625" style="387"/>
  </cols>
  <sheetData>
    <row r="1" spans="1:11" s="385" customFormat="1">
      <c r="A1" s="383" t="s">
        <v>111</v>
      </c>
      <c r="B1" s="383"/>
      <c r="C1" s="383"/>
      <c r="D1" s="383"/>
      <c r="E1" s="384"/>
    </row>
    <row r="2" spans="1:11" s="385" customFormat="1">
      <c r="A2" s="383" t="s">
        <v>476</v>
      </c>
      <c r="B2" s="383"/>
      <c r="C2" s="383"/>
      <c r="E2" s="386"/>
    </row>
    <row r="3" spans="1:11" s="385" customFormat="1">
      <c r="A3" s="523" t="s">
        <v>580</v>
      </c>
      <c r="B3" s="383"/>
      <c r="C3" s="383"/>
      <c r="D3" s="383"/>
      <c r="E3" s="383"/>
    </row>
    <row r="4" spans="1:11">
      <c r="A4" s="239"/>
      <c r="B4" s="239"/>
      <c r="C4" s="239"/>
      <c r="D4" s="239"/>
      <c r="E4" s="239"/>
    </row>
    <row r="5" spans="1:11">
      <c r="A5" s="239" t="s">
        <v>145</v>
      </c>
      <c r="B5" s="239"/>
      <c r="C5" s="239"/>
      <c r="D5" s="239"/>
      <c r="E5" s="239">
        <v>1</v>
      </c>
    </row>
    <row r="6" spans="1:11">
      <c r="A6" s="239"/>
      <c r="B6" s="239"/>
      <c r="C6" s="239"/>
      <c r="D6" s="239"/>
      <c r="E6" s="239"/>
    </row>
    <row r="7" spans="1:11">
      <c r="A7" s="239" t="s">
        <v>146</v>
      </c>
      <c r="B7" s="239"/>
      <c r="C7" s="239"/>
      <c r="D7" s="239"/>
      <c r="E7" s="239"/>
    </row>
    <row r="8" spans="1:11">
      <c r="A8" s="239"/>
      <c r="B8" s="239"/>
      <c r="C8" s="239"/>
      <c r="D8" s="239"/>
      <c r="E8" s="239"/>
    </row>
    <row r="9" spans="1:11">
      <c r="A9" s="239" t="s">
        <v>477</v>
      </c>
      <c r="B9" s="239"/>
      <c r="C9" s="239"/>
      <c r="D9" s="239"/>
      <c r="E9" s="239">
        <f>E29</f>
        <v>4.9508674374747468E-3</v>
      </c>
    </row>
    <row r="10" spans="1:11">
      <c r="A10" s="239"/>
      <c r="B10" s="239"/>
      <c r="C10" s="239"/>
      <c r="D10" s="239"/>
      <c r="E10" s="239"/>
    </row>
    <row r="11" spans="1:11">
      <c r="A11" s="239" t="s">
        <v>478</v>
      </c>
      <c r="B11" s="239"/>
      <c r="C11" s="239"/>
      <c r="D11" s="239"/>
      <c r="E11" s="519">
        <v>4.0000000000000001E-3</v>
      </c>
    </row>
    <row r="12" spans="1:11">
      <c r="A12" s="239"/>
      <c r="B12" s="239"/>
      <c r="C12" s="239"/>
      <c r="D12" s="239"/>
      <c r="E12" s="239"/>
    </row>
    <row r="13" spans="1:11">
      <c r="A13" s="239" t="s">
        <v>479</v>
      </c>
      <c r="B13" s="239"/>
      <c r="C13" s="239"/>
      <c r="D13" s="239"/>
      <c r="E13" s="239">
        <f>E41</f>
        <v>3.8329292586308468E-2</v>
      </c>
    </row>
    <row r="14" spans="1:11">
      <c r="A14" s="239"/>
      <c r="B14" s="239"/>
      <c r="C14" s="239"/>
      <c r="D14" s="239"/>
      <c r="E14" s="239"/>
    </row>
    <row r="15" spans="1:11">
      <c r="A15" s="239"/>
      <c r="B15" s="239"/>
      <c r="C15" s="239"/>
      <c r="D15" s="239"/>
    </row>
    <row r="16" spans="1:11">
      <c r="A16" s="239" t="s">
        <v>150</v>
      </c>
      <c r="B16" s="239"/>
      <c r="C16" s="239"/>
      <c r="D16" s="239"/>
      <c r="E16" s="388">
        <f>SUM(E8:E14)</f>
        <v>4.7280160023783213E-2</v>
      </c>
      <c r="K16" s="389"/>
    </row>
    <row r="17" spans="1:5">
      <c r="A17" s="239"/>
      <c r="B17" s="239"/>
      <c r="C17" s="239"/>
      <c r="D17" s="239"/>
      <c r="E17" s="239"/>
    </row>
    <row r="18" spans="1:5">
      <c r="A18" s="239" t="s">
        <v>151</v>
      </c>
      <c r="C18" s="239"/>
      <c r="D18" s="239"/>
      <c r="E18" s="239">
        <f>E5-E16</f>
        <v>0.95271983997621679</v>
      </c>
    </row>
    <row r="19" spans="1:5">
      <c r="A19" s="239"/>
      <c r="B19" s="239"/>
      <c r="C19" s="239"/>
      <c r="D19" s="239"/>
      <c r="E19" s="239"/>
    </row>
    <row r="20" spans="1:5">
      <c r="A20" s="239" t="s">
        <v>480</v>
      </c>
      <c r="B20" s="522">
        <v>0.21</v>
      </c>
      <c r="C20" s="390" t="s">
        <v>481</v>
      </c>
      <c r="D20" s="239"/>
      <c r="E20" s="239">
        <f>E18*$B$20</f>
        <v>0.20007116639500552</v>
      </c>
    </row>
    <row r="21" spans="1:5">
      <c r="A21" s="239"/>
      <c r="B21" s="239"/>
      <c r="C21" s="239"/>
      <c r="E21" s="239"/>
    </row>
    <row r="22" spans="1:5">
      <c r="A22" s="239" t="s">
        <v>152</v>
      </c>
      <c r="B22" s="239"/>
      <c r="C22" s="239"/>
      <c r="E22" s="391">
        <f>E18-E20</f>
        <v>0.75264867358121124</v>
      </c>
    </row>
    <row r="23" spans="1:5">
      <c r="A23" s="239"/>
      <c r="B23" s="239"/>
      <c r="C23" s="239"/>
      <c r="E23" s="239"/>
    </row>
    <row r="24" spans="1:5">
      <c r="A24" s="239" t="s">
        <v>482</v>
      </c>
      <c r="B24" s="239"/>
      <c r="C24" s="239"/>
      <c r="E24" s="239"/>
    </row>
    <row r="25" spans="1:5">
      <c r="A25" s="239" t="s">
        <v>483</v>
      </c>
      <c r="B25" s="239"/>
      <c r="C25" s="239"/>
      <c r="E25" s="239"/>
    </row>
    <row r="26" spans="1:5">
      <c r="A26" s="239" t="s">
        <v>484</v>
      </c>
      <c r="B26" s="239"/>
      <c r="C26" s="392" t="s">
        <v>485</v>
      </c>
      <c r="D26" s="520">
        <v>1246234</v>
      </c>
      <c r="E26" s="239"/>
    </row>
    <row r="27" spans="1:5">
      <c r="A27" s="239" t="s">
        <v>486</v>
      </c>
      <c r="B27" s="239"/>
      <c r="C27" s="239"/>
      <c r="D27" s="518"/>
      <c r="E27" s="239"/>
    </row>
    <row r="28" spans="1:5">
      <c r="A28" s="239" t="s">
        <v>487</v>
      </c>
      <c r="B28" s="239"/>
      <c r="C28" s="392" t="s">
        <v>481</v>
      </c>
      <c r="D28" s="521">
        <v>251720333</v>
      </c>
      <c r="E28" s="239"/>
    </row>
    <row r="29" spans="1:5">
      <c r="A29" s="239" t="s">
        <v>488</v>
      </c>
      <c r="B29" s="239"/>
      <c r="C29" s="239"/>
      <c r="E29" s="388">
        <f>D26/D28</f>
        <v>4.9508674374747468E-3</v>
      </c>
    </row>
    <row r="30" spans="1:5">
      <c r="A30" s="239" t="s">
        <v>489</v>
      </c>
      <c r="B30" s="239"/>
      <c r="C30" s="239"/>
      <c r="E30" s="239"/>
    </row>
    <row r="31" spans="1:5">
      <c r="A31" s="239" t="s">
        <v>490</v>
      </c>
      <c r="B31" s="239"/>
      <c r="C31" s="239"/>
      <c r="E31" s="239"/>
    </row>
    <row r="32" spans="1:5">
      <c r="A32" s="239"/>
      <c r="B32" s="239"/>
      <c r="E32" s="239"/>
    </row>
    <row r="33" spans="1:5" ht="27.75" customHeight="1">
      <c r="A33" s="3757" t="s">
        <v>620</v>
      </c>
      <c r="B33" s="3757"/>
      <c r="C33" s="3757"/>
      <c r="D33" s="3757"/>
      <c r="E33" s="3757"/>
    </row>
    <row r="34" spans="1:5">
      <c r="A34" s="239"/>
      <c r="B34" s="239"/>
      <c r="C34" s="239"/>
      <c r="E34" s="239"/>
    </row>
    <row r="35" spans="1:5">
      <c r="A35" s="239" t="s">
        <v>491</v>
      </c>
      <c r="B35" s="239"/>
      <c r="C35" s="239"/>
      <c r="E35" s="239"/>
    </row>
    <row r="36" spans="1:5">
      <c r="A36" s="239" t="s">
        <v>492</v>
      </c>
      <c r="B36" s="239"/>
      <c r="C36" s="239"/>
      <c r="D36" s="239">
        <v>3.8519999999999999E-2</v>
      </c>
      <c r="E36" s="239"/>
    </row>
    <row r="37" spans="1:5">
      <c r="A37" s="239" t="s">
        <v>493</v>
      </c>
      <c r="B37" s="239"/>
      <c r="C37" s="239"/>
      <c r="D37" s="239"/>
      <c r="E37" s="239"/>
    </row>
    <row r="38" spans="1:5">
      <c r="A38" s="239" t="s">
        <v>494</v>
      </c>
      <c r="B38" s="239"/>
      <c r="C38" s="239"/>
      <c r="D38" s="239"/>
      <c r="E38" s="239"/>
    </row>
    <row r="39" spans="1:5">
      <c r="A39" s="239" t="s">
        <v>495</v>
      </c>
      <c r="C39" s="239">
        <v>1</v>
      </c>
      <c r="D39" s="239"/>
      <c r="E39" s="239"/>
    </row>
    <row r="40" spans="1:5">
      <c r="A40" s="239" t="s">
        <v>496</v>
      </c>
      <c r="C40" s="393">
        <f>E29</f>
        <v>4.9508674374747468E-3</v>
      </c>
      <c r="D40" s="393">
        <f>C39-C40</f>
        <v>0.99504913256252525</v>
      </c>
      <c r="E40" s="393"/>
    </row>
    <row r="41" spans="1:5">
      <c r="A41" s="239" t="s">
        <v>497</v>
      </c>
      <c r="B41" s="239"/>
      <c r="C41" s="239"/>
      <c r="D41" s="239"/>
      <c r="E41" s="393">
        <f>D36*D40</f>
        <v>3.8329292586308468E-2</v>
      </c>
    </row>
    <row r="42" spans="1:5">
      <c r="A42" s="239" t="s">
        <v>498</v>
      </c>
      <c r="B42" s="239"/>
      <c r="C42" s="239"/>
      <c r="D42" s="239"/>
      <c r="E42" s="239"/>
    </row>
    <row r="43" spans="1:5">
      <c r="A43" s="239"/>
      <c r="B43" s="239"/>
      <c r="C43" s="239"/>
      <c r="D43" s="239"/>
      <c r="E43" s="239"/>
    </row>
  </sheetData>
  <mergeCells count="1">
    <mergeCell ref="A33:E33"/>
  </mergeCells>
  <printOptions horizontalCentered="1"/>
  <pageMargins left="0.75" right="0.75" top="0.75" bottom="0.75" header="0.5" footer="0.5"/>
  <pageSetup orientation="portrait" horizontalDpi="300" verticalDpi="300" r:id="rId1"/>
  <headerFooter alignWithMargins="0">
    <oddFooter>&amp;RPage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S333"/>
  <sheetViews>
    <sheetView zoomScaleNormal="100" workbookViewId="0"/>
  </sheetViews>
  <sheetFormatPr defaultColWidth="9.28515625" defaultRowHeight="11.25" customHeight="1"/>
  <cols>
    <col min="1" max="1" width="8.42578125" style="224" customWidth="1"/>
    <col min="2" max="2" width="26.28515625" style="224" customWidth="1"/>
    <col min="3" max="3" width="12.42578125" style="224" customWidth="1"/>
    <col min="4" max="4" width="6.5703125" style="224" customWidth="1"/>
    <col min="5" max="5" width="12.42578125" style="341" customWidth="1"/>
    <col min="6" max="6" width="12.42578125" style="342" customWidth="1"/>
    <col min="7" max="7" width="12.42578125" style="341" customWidth="1"/>
    <col min="8" max="8" width="12.7109375" style="224" bestFit="1" customWidth="1"/>
    <col min="9" max="9" width="12.28515625" style="515" bestFit="1" customWidth="1"/>
    <col min="20" max="16384" width="9.28515625" style="7"/>
  </cols>
  <sheetData>
    <row r="1" spans="1:8" ht="16.5" customHeight="1">
      <c r="F1" s="215"/>
    </row>
    <row r="2" spans="1:8" ht="4.5" customHeight="1"/>
    <row r="3" spans="1:8" ht="12.75">
      <c r="A3" s="3758" t="s">
        <v>111</v>
      </c>
      <c r="B3" s="3758"/>
      <c r="C3" s="3758"/>
      <c r="E3" s="343"/>
      <c r="F3" s="344"/>
      <c r="G3" s="343"/>
    </row>
    <row r="4" spans="1:8" ht="12.75">
      <c r="A4" s="345" t="s">
        <v>189</v>
      </c>
      <c r="B4" s="345"/>
      <c r="C4" s="345"/>
      <c r="E4" s="346" t="s">
        <v>75</v>
      </c>
      <c r="F4" s="346"/>
      <c r="G4" s="346"/>
    </row>
    <row r="5" spans="1:8" ht="12.75">
      <c r="A5" s="3758" t="s">
        <v>580</v>
      </c>
      <c r="B5" s="3758"/>
      <c r="C5" s="3758"/>
      <c r="E5" s="346" t="s">
        <v>76</v>
      </c>
      <c r="F5" s="346"/>
      <c r="G5" s="346"/>
    </row>
    <row r="6" spans="1:8" ht="12.75">
      <c r="A6" s="345" t="s">
        <v>77</v>
      </c>
      <c r="B6" s="345"/>
      <c r="C6" s="345"/>
      <c r="E6" s="347"/>
      <c r="F6" s="348" t="s">
        <v>78</v>
      </c>
      <c r="G6" s="347"/>
    </row>
    <row r="7" spans="1:8" ht="12.75">
      <c r="A7" s="340" t="s">
        <v>6</v>
      </c>
      <c r="E7" s="343"/>
      <c r="F7" s="349"/>
      <c r="G7" s="343"/>
    </row>
    <row r="8" spans="1:8" ht="12.75">
      <c r="A8" s="350" t="s">
        <v>15</v>
      </c>
      <c r="B8" s="351" t="s">
        <v>70</v>
      </c>
      <c r="C8" s="351"/>
      <c r="E8" s="352" t="s">
        <v>79</v>
      </c>
      <c r="F8" s="353" t="s">
        <v>80</v>
      </c>
      <c r="G8" s="352" t="s">
        <v>81</v>
      </c>
      <c r="H8" s="8" t="s">
        <v>82</v>
      </c>
    </row>
    <row r="9" spans="1:8" ht="12.75">
      <c r="A9" s="340"/>
      <c r="B9" s="224" t="s">
        <v>31</v>
      </c>
      <c r="E9" s="354"/>
      <c r="F9" s="349"/>
      <c r="G9" s="354"/>
    </row>
    <row r="10" spans="1:8" ht="12.75">
      <c r="A10" s="340"/>
      <c r="B10" s="78"/>
      <c r="E10" s="56"/>
      <c r="F10" s="355"/>
      <c r="G10" s="355"/>
    </row>
    <row r="11" spans="1:8" ht="12.75">
      <c r="A11" s="340"/>
      <c r="B11" s="78"/>
      <c r="E11" s="56"/>
      <c r="F11" s="355"/>
      <c r="G11" s="355"/>
    </row>
    <row r="12" spans="1:8" ht="12.75">
      <c r="A12" s="340"/>
      <c r="E12" s="354"/>
      <c r="F12" s="349"/>
      <c r="G12" s="349"/>
    </row>
    <row r="13" spans="1:8" ht="5.25" customHeight="1">
      <c r="A13" s="340"/>
      <c r="E13" s="354"/>
      <c r="F13" s="349"/>
      <c r="G13" s="349"/>
    </row>
    <row r="14" spans="1:8" ht="12.75">
      <c r="A14" s="340"/>
      <c r="E14" s="354"/>
      <c r="F14" s="349"/>
      <c r="G14" s="349"/>
    </row>
    <row r="15" spans="1:8" ht="12.75">
      <c r="A15" s="340">
        <v>1</v>
      </c>
      <c r="B15" s="224" t="s">
        <v>83</v>
      </c>
      <c r="E15" s="17">
        <f>F15+G15</f>
        <v>246541</v>
      </c>
      <c r="F15" s="256">
        <f>F94</f>
        <v>246541</v>
      </c>
      <c r="G15" s="256">
        <f>G94</f>
        <v>0</v>
      </c>
      <c r="H15" s="356" t="str">
        <f>IF(E15=F15+G15," ","ERROR")</f>
        <v xml:space="preserve"> </v>
      </c>
    </row>
    <row r="16" spans="1:8" ht="12.75">
      <c r="A16" s="340">
        <v>2</v>
      </c>
      <c r="B16" s="224" t="s">
        <v>84</v>
      </c>
      <c r="E16" s="9">
        <f>F16+G16</f>
        <v>5180</v>
      </c>
      <c r="F16" s="357">
        <f>F99</f>
        <v>5180</v>
      </c>
      <c r="G16" s="357">
        <f>G99</f>
        <v>0</v>
      </c>
      <c r="H16" s="356" t="str">
        <f>IF(E16=F16+G16," ","ERROR")</f>
        <v xml:space="preserve"> </v>
      </c>
    </row>
    <row r="17" spans="1:9" ht="12.75">
      <c r="A17" s="340">
        <v>3</v>
      </c>
      <c r="B17" s="224" t="s">
        <v>34</v>
      </c>
      <c r="E17" s="358">
        <f>F17+G17</f>
        <v>37118</v>
      </c>
      <c r="F17" s="359">
        <f>F104-F99</f>
        <v>37118</v>
      </c>
      <c r="G17" s="359">
        <f>G104-G99</f>
        <v>0</v>
      </c>
      <c r="H17" s="356" t="str">
        <f>IF(E17=F17+G17," ","ERROR")</f>
        <v xml:space="preserve"> </v>
      </c>
    </row>
    <row r="18" spans="1:9" ht="12.75">
      <c r="A18" s="340">
        <v>4</v>
      </c>
      <c r="B18" s="224" t="s">
        <v>85</v>
      </c>
      <c r="E18" s="9">
        <f>SUM(E15:E17)</f>
        <v>288839</v>
      </c>
      <c r="F18" s="9">
        <f>SUM(F15:F17)</f>
        <v>288839</v>
      </c>
      <c r="G18" s="9">
        <f>SUM(G15:G17)</f>
        <v>0</v>
      </c>
      <c r="H18" s="356" t="str">
        <f>IF(E18=F18+G18," ","ERROR")</f>
        <v xml:space="preserve"> </v>
      </c>
      <c r="I18" s="515">
        <f>F18-(SUM(H88:H93,H97:H103)/1000)</f>
        <v>0.25799999997252598</v>
      </c>
    </row>
    <row r="19" spans="1:9" ht="12.75">
      <c r="A19" s="340"/>
      <c r="E19" s="9"/>
      <c r="F19" s="9"/>
      <c r="G19" s="9"/>
      <c r="H19" s="356"/>
    </row>
    <row r="20" spans="1:9" ht="12.75">
      <c r="A20" s="340"/>
      <c r="B20" s="224" t="s">
        <v>36</v>
      </c>
      <c r="E20" s="9"/>
      <c r="F20" s="9"/>
      <c r="G20" s="9"/>
      <c r="H20" s="356"/>
    </row>
    <row r="21" spans="1:9" ht="12.75">
      <c r="A21" s="340"/>
      <c r="B21" s="224" t="s">
        <v>192</v>
      </c>
      <c r="E21" s="9"/>
      <c r="F21" s="357"/>
      <c r="G21" s="357"/>
      <c r="H21" s="360" t="str">
        <f>IF(E21=F21+G21," ","ERROR")</f>
        <v xml:space="preserve"> </v>
      </c>
    </row>
    <row r="22" spans="1:9" ht="12.75">
      <c r="A22" s="340">
        <v>5</v>
      </c>
      <c r="B22" s="224" t="s">
        <v>86</v>
      </c>
      <c r="E22" s="9">
        <f>F22+G22</f>
        <v>139821</v>
      </c>
      <c r="F22" s="357">
        <f>F108</f>
        <v>139821</v>
      </c>
      <c r="G22" s="357">
        <f>G108</f>
        <v>0</v>
      </c>
      <c r="H22" s="356" t="str">
        <f>IF(E22=F22+G22," ","ERROR")</f>
        <v xml:space="preserve"> </v>
      </c>
    </row>
    <row r="23" spans="1:9" ht="12.75">
      <c r="A23" s="340">
        <v>6</v>
      </c>
      <c r="B23" s="224" t="s">
        <v>87</v>
      </c>
      <c r="E23" s="9">
        <f>F23+G23</f>
        <v>869</v>
      </c>
      <c r="F23" s="357">
        <f>F111+F112-1</f>
        <v>869</v>
      </c>
      <c r="G23" s="357">
        <f>G110+G111+G112</f>
        <v>0</v>
      </c>
      <c r="H23" s="356" t="str">
        <f>IF(E23=F23+G23," ","ERROR")</f>
        <v xml:space="preserve"> </v>
      </c>
    </row>
    <row r="24" spans="1:9" ht="12.75">
      <c r="A24" s="340">
        <v>7</v>
      </c>
      <c r="B24" s="224" t="s">
        <v>88</v>
      </c>
      <c r="E24" s="358">
        <f>F24+G24</f>
        <v>8789</v>
      </c>
      <c r="F24" s="359">
        <f>F109+F110</f>
        <v>8789</v>
      </c>
      <c r="G24" s="359">
        <f>G109</f>
        <v>0</v>
      </c>
      <c r="H24" s="356" t="str">
        <f>IF(E24=F24+G24," ","ERROR")</f>
        <v xml:space="preserve"> </v>
      </c>
    </row>
    <row r="25" spans="1:9" ht="12.75">
      <c r="A25" s="340">
        <v>8</v>
      </c>
      <c r="B25" s="224" t="s">
        <v>89</v>
      </c>
      <c r="E25" s="9">
        <f>SUM(E22:E24)</f>
        <v>149479</v>
      </c>
      <c r="F25" s="9">
        <f>SUM(F22:F24)</f>
        <v>149479</v>
      </c>
      <c r="G25" s="9">
        <f>SUM(G22:G24)</f>
        <v>0</v>
      </c>
      <c r="H25" s="356" t="str">
        <f>IF(E25=F25+G25," ","ERROR")</f>
        <v xml:space="preserve"> </v>
      </c>
      <c r="I25" s="515">
        <f>F25-(SUM(H108:H114)/1000)</f>
        <v>0.3060000000114087</v>
      </c>
    </row>
    <row r="26" spans="1:9" ht="12.75">
      <c r="A26" s="340"/>
      <c r="E26" s="9"/>
      <c r="F26" s="9"/>
      <c r="G26" s="9"/>
      <c r="H26" s="356"/>
    </row>
    <row r="27" spans="1:9" ht="12.75">
      <c r="A27" s="340"/>
      <c r="B27" s="224" t="s">
        <v>41</v>
      </c>
      <c r="E27" s="9"/>
      <c r="F27" s="9"/>
      <c r="G27" s="9"/>
      <c r="H27" s="356"/>
    </row>
    <row r="28" spans="1:9" ht="12.75">
      <c r="A28" s="340">
        <v>9</v>
      </c>
      <c r="B28" s="224" t="s">
        <v>90</v>
      </c>
      <c r="E28" s="9">
        <f>F28+G28</f>
        <v>2062</v>
      </c>
      <c r="F28" s="357">
        <f>F121</f>
        <v>2062</v>
      </c>
      <c r="G28" s="357">
        <f>G121</f>
        <v>0</v>
      </c>
      <c r="H28" s="356" t="str">
        <f>IF(E28=F28+G28," ","ERROR")</f>
        <v xml:space="preserve"> </v>
      </c>
    </row>
    <row r="29" spans="1:9" ht="12.75">
      <c r="A29" s="340">
        <v>10</v>
      </c>
      <c r="B29" s="224" t="s">
        <v>91</v>
      </c>
      <c r="E29" s="9">
        <f>F29+G29</f>
        <v>512</v>
      </c>
      <c r="F29" s="357">
        <f>F123+F124</f>
        <v>512</v>
      </c>
      <c r="G29" s="357">
        <f>G123+G124</f>
        <v>0</v>
      </c>
      <c r="H29" s="356" t="str">
        <f>IF(E29=F29+G29," ","ERROR")</f>
        <v xml:space="preserve"> </v>
      </c>
    </row>
    <row r="30" spans="1:9" ht="12.75">
      <c r="A30" s="340">
        <v>11</v>
      </c>
      <c r="B30" s="224" t="s">
        <v>92</v>
      </c>
      <c r="E30" s="358">
        <f>F30+G30</f>
        <v>161</v>
      </c>
      <c r="F30" s="359">
        <f>F125</f>
        <v>161</v>
      </c>
      <c r="G30" s="359">
        <f>G125</f>
        <v>0</v>
      </c>
      <c r="H30" s="356" t="str">
        <f>IF(E30=F30+G30," ","ERROR")</f>
        <v xml:space="preserve"> </v>
      </c>
    </row>
    <row r="31" spans="1:9" ht="12.75">
      <c r="A31" s="81">
        <v>12</v>
      </c>
      <c r="B31" s="224" t="s">
        <v>93</v>
      </c>
      <c r="E31" s="9">
        <f>SUM(E28:E30)</f>
        <v>2735</v>
      </c>
      <c r="F31" s="357">
        <f>SUM(F28:F30)</f>
        <v>2735</v>
      </c>
      <c r="G31" s="357">
        <f>SUM(G28:G30)</f>
        <v>0</v>
      </c>
      <c r="H31" s="356" t="str">
        <f>IF(E31=F31+G31," ","ERROR")</f>
        <v xml:space="preserve"> </v>
      </c>
      <c r="I31" s="515">
        <f>F31-(SUM(H118:H120,H123:H125)/1000)</f>
        <v>0.16600000000016735</v>
      </c>
    </row>
    <row r="32" spans="1:9" ht="12.75">
      <c r="A32" s="340"/>
      <c r="E32" s="9"/>
      <c r="F32" s="357"/>
      <c r="G32" s="357"/>
      <c r="H32" s="356"/>
    </row>
    <row r="33" spans="1:9" ht="12.75">
      <c r="A33" s="340"/>
      <c r="B33" s="224" t="s">
        <v>45</v>
      </c>
      <c r="E33" s="9"/>
      <c r="F33" s="357"/>
      <c r="G33" s="357"/>
      <c r="H33" s="356"/>
    </row>
    <row r="34" spans="1:9" ht="12.75">
      <c r="A34" s="340">
        <v>13</v>
      </c>
      <c r="B34" s="224" t="s">
        <v>90</v>
      </c>
      <c r="E34" s="9">
        <f>F34+G34</f>
        <v>12916</v>
      </c>
      <c r="F34" s="357">
        <f>F152</f>
        <v>12916</v>
      </c>
      <c r="G34" s="357">
        <f>G152</f>
        <v>0</v>
      </c>
      <c r="H34" s="356" t="str">
        <f t="shared" ref="H34:H41" si="0">IF(E34=F34+G34," ","ERROR")</f>
        <v xml:space="preserve"> </v>
      </c>
    </row>
    <row r="35" spans="1:9" ht="12.75">
      <c r="A35" s="340">
        <v>14</v>
      </c>
      <c r="B35" s="224" t="s">
        <v>91</v>
      </c>
      <c r="E35" s="9">
        <f>F35+G35</f>
        <v>16440</v>
      </c>
      <c r="F35" s="357">
        <f>F154</f>
        <v>16440</v>
      </c>
      <c r="G35" s="357">
        <f>G154</f>
        <v>0</v>
      </c>
      <c r="H35" s="356" t="str">
        <f t="shared" si="0"/>
        <v xml:space="preserve"> </v>
      </c>
    </row>
    <row r="36" spans="1:9" ht="12.75">
      <c r="A36" s="340">
        <v>15</v>
      </c>
      <c r="B36" s="224" t="s">
        <v>92</v>
      </c>
      <c r="E36" s="358">
        <f>F36+G36</f>
        <v>21003</v>
      </c>
      <c r="F36" s="359">
        <f>F155</f>
        <v>21003</v>
      </c>
      <c r="G36" s="359">
        <f>G155</f>
        <v>0</v>
      </c>
      <c r="H36" s="356" t="str">
        <f t="shared" si="0"/>
        <v xml:space="preserve"> </v>
      </c>
    </row>
    <row r="37" spans="1:9" ht="12" customHeight="1">
      <c r="A37" s="340">
        <v>16</v>
      </c>
      <c r="B37" s="224" t="s">
        <v>94</v>
      </c>
      <c r="E37" s="9">
        <f>SUM(E34:E36)</f>
        <v>50359</v>
      </c>
      <c r="F37" s="9">
        <f>SUM(F34:F36)</f>
        <v>50359</v>
      </c>
      <c r="G37" s="9">
        <f>SUM(G34:G36)</f>
        <v>0</v>
      </c>
      <c r="H37" s="356" t="str">
        <f t="shared" si="0"/>
        <v xml:space="preserve"> </v>
      </c>
      <c r="I37" s="515">
        <f>F37-(SUM(H132:H151,H154:H155)/1000)</f>
        <v>-0.37999999999738066</v>
      </c>
    </row>
    <row r="38" spans="1:9" ht="12" customHeight="1">
      <c r="A38" s="340"/>
      <c r="E38" s="9"/>
      <c r="F38" s="9"/>
      <c r="G38" s="9"/>
      <c r="H38" s="356"/>
    </row>
    <row r="39" spans="1:9" ht="12" customHeight="1">
      <c r="A39" s="340">
        <v>17</v>
      </c>
      <c r="B39" s="224" t="s">
        <v>47</v>
      </c>
      <c r="E39" s="9">
        <f>F39+G39</f>
        <v>3993</v>
      </c>
      <c r="F39" s="357">
        <f>F166</f>
        <v>3993</v>
      </c>
      <c r="G39" s="357">
        <f>G166</f>
        <v>0</v>
      </c>
      <c r="H39" s="356" t="str">
        <f t="shared" si="0"/>
        <v xml:space="preserve"> </v>
      </c>
      <c r="I39" s="515">
        <f>F39-(SUM(H161:H165)/1000)</f>
        <v>0.49800000000004729</v>
      </c>
    </row>
    <row r="40" spans="1:9" ht="12.75">
      <c r="A40" s="340">
        <v>18</v>
      </c>
      <c r="B40" s="224" t="s">
        <v>48</v>
      </c>
      <c r="E40" s="9">
        <f>F40+G40</f>
        <v>14067</v>
      </c>
      <c r="F40" s="357">
        <f>F172</f>
        <v>14067</v>
      </c>
      <c r="G40" s="357">
        <f>G172</f>
        <v>0</v>
      </c>
      <c r="H40" s="356" t="str">
        <f t="shared" si="0"/>
        <v xml:space="preserve"> </v>
      </c>
      <c r="I40" s="515">
        <f>F40-(SUM(H169:H171)/1000)</f>
        <v>-9.7999999999956344E-2</v>
      </c>
    </row>
    <row r="41" spans="1:9" ht="12.75">
      <c r="A41" s="340">
        <v>19</v>
      </c>
      <c r="B41" s="224" t="s">
        <v>95</v>
      </c>
      <c r="E41" s="9">
        <f>F41+G41</f>
        <v>0</v>
      </c>
      <c r="F41" s="357">
        <f>F178</f>
        <v>0</v>
      </c>
      <c r="G41" s="357">
        <f>G178</f>
        <v>0</v>
      </c>
      <c r="H41" s="356" t="str">
        <f t="shared" si="0"/>
        <v xml:space="preserve"> </v>
      </c>
      <c r="I41" s="515">
        <f>F41-(SUM(H175:H177)/1000)</f>
        <v>-0.27900000000000003</v>
      </c>
    </row>
    <row r="42" spans="1:9" ht="12.75">
      <c r="A42" s="340"/>
      <c r="E42" s="9"/>
      <c r="F42" s="357"/>
      <c r="G42" s="357"/>
      <c r="H42" s="356"/>
    </row>
    <row r="43" spans="1:9" ht="12.75">
      <c r="A43" s="340"/>
      <c r="B43" s="224" t="s">
        <v>96</v>
      </c>
      <c r="E43" s="9"/>
      <c r="F43" s="357"/>
      <c r="G43" s="357"/>
      <c r="H43" s="356"/>
    </row>
    <row r="44" spans="1:9" ht="12.75">
      <c r="A44" s="340">
        <v>20</v>
      </c>
      <c r="B44" s="224" t="s">
        <v>90</v>
      </c>
      <c r="E44" s="9">
        <f>F44+G44</f>
        <v>24398</v>
      </c>
      <c r="F44" s="357">
        <f>F192</f>
        <v>24398</v>
      </c>
      <c r="G44" s="357">
        <f>G192</f>
        <v>0</v>
      </c>
      <c r="H44" s="356" t="str">
        <f>IF(E44=F44+G44," ","ERROR")</f>
        <v xml:space="preserve"> </v>
      </c>
    </row>
    <row r="45" spans="1:9" ht="12.75">
      <c r="A45" s="340">
        <v>21</v>
      </c>
      <c r="B45" s="224" t="s">
        <v>371</v>
      </c>
      <c r="E45" s="9">
        <f>F45+G45</f>
        <v>12802</v>
      </c>
      <c r="F45" s="357">
        <f>F194+F195+F196+F197</f>
        <v>12802</v>
      </c>
      <c r="G45" s="357">
        <f>G194+G195+G196+G197</f>
        <v>0</v>
      </c>
      <c r="H45" s="356" t="str">
        <f>IF(E45=F45+G45," ","ERROR")</f>
        <v xml:space="preserve"> </v>
      </c>
    </row>
    <row r="46" spans="1:9" ht="12.75">
      <c r="A46" s="340">
        <v>22</v>
      </c>
      <c r="B46" s="224" t="s">
        <v>369</v>
      </c>
      <c r="E46" s="9">
        <f>F46+G46</f>
        <v>1612</v>
      </c>
      <c r="F46" s="357">
        <f>SUM(F198:F217)</f>
        <v>1612</v>
      </c>
      <c r="G46" s="357">
        <f>SUM(G209:G218)</f>
        <v>0</v>
      </c>
      <c r="H46" s="356"/>
    </row>
    <row r="47" spans="1:9" ht="12.75">
      <c r="A47" s="340">
        <v>23</v>
      </c>
      <c r="B47" s="224" t="s">
        <v>92</v>
      </c>
      <c r="E47" s="358">
        <f>F47+G47</f>
        <v>1132</v>
      </c>
      <c r="F47" s="359">
        <f>F218</f>
        <v>1132</v>
      </c>
      <c r="G47" s="359">
        <v>0</v>
      </c>
      <c r="H47" s="356" t="str">
        <f>IF(E47=F47+G47," ","ERROR")</f>
        <v xml:space="preserve"> </v>
      </c>
    </row>
    <row r="48" spans="1:9" ht="12.75">
      <c r="A48" s="340">
        <v>24</v>
      </c>
      <c r="B48" s="224" t="s">
        <v>97</v>
      </c>
      <c r="E48" s="358">
        <f>SUM(E44:E47)</f>
        <v>39944</v>
      </c>
      <c r="F48" s="358">
        <f>SUM(F44:F47)</f>
        <v>39944</v>
      </c>
      <c r="G48" s="358">
        <f>SUM(G44:G47)</f>
        <v>0</v>
      </c>
      <c r="H48" s="356" t="str">
        <f>IF(E48=F48+G48," ","ERROR")</f>
        <v xml:space="preserve"> </v>
      </c>
      <c r="I48" s="515">
        <f>F48-(SUM(H181:H191,H194:H218)/1000)</f>
        <v>-0.37900000000081491</v>
      </c>
    </row>
    <row r="49" spans="1:9" ht="12.75">
      <c r="A49" s="340">
        <v>25</v>
      </c>
      <c r="B49" s="224" t="s">
        <v>52</v>
      </c>
      <c r="E49" s="358">
        <f>E25+E31+E37+E39+E40+E41+E48</f>
        <v>260577</v>
      </c>
      <c r="F49" s="358">
        <f>F25+F31+F37+F39+F40+F41+F48</f>
        <v>260577</v>
      </c>
      <c r="G49" s="358">
        <f>G25+G31+G37+G39+G40+G41+G48+G21</f>
        <v>0</v>
      </c>
      <c r="H49" s="356" t="str">
        <f>IF(E49=F49+G49," ","ERROR")</f>
        <v xml:space="preserve"> </v>
      </c>
    </row>
    <row r="50" spans="1:9" ht="12.75">
      <c r="A50" s="340"/>
      <c r="E50" s="9"/>
      <c r="F50" s="9"/>
      <c r="G50" s="9"/>
      <c r="H50" s="356"/>
    </row>
    <row r="51" spans="1:9" ht="12.75">
      <c r="A51" s="340">
        <v>26</v>
      </c>
      <c r="B51" s="224" t="s">
        <v>98</v>
      </c>
      <c r="E51" s="9">
        <f>E18-E49</f>
        <v>28262</v>
      </c>
      <c r="F51" s="9">
        <f>F18-F49</f>
        <v>28262</v>
      </c>
      <c r="G51" s="9">
        <f>G18-G49</f>
        <v>0</v>
      </c>
      <c r="H51" s="356" t="str">
        <f>IF(E51=F51+G51," ","ERROR")</f>
        <v xml:space="preserve"> </v>
      </c>
    </row>
    <row r="52" spans="1:9" ht="12" customHeight="1">
      <c r="A52" s="340"/>
      <c r="E52" s="9"/>
      <c r="F52" s="9"/>
      <c r="G52" s="9"/>
      <c r="H52" s="356"/>
    </row>
    <row r="53" spans="1:9" ht="12" customHeight="1">
      <c r="A53" s="340"/>
      <c r="B53" s="224" t="s">
        <v>99</v>
      </c>
      <c r="E53" s="9"/>
      <c r="F53" s="9"/>
      <c r="G53" s="9"/>
      <c r="H53" s="356"/>
    </row>
    <row r="54" spans="1:9" ht="12.75">
      <c r="A54" s="340">
        <v>27</v>
      </c>
      <c r="B54" s="361" t="s">
        <v>100</v>
      </c>
      <c r="D54" s="362">
        <v>0.21</v>
      </c>
      <c r="E54" s="9">
        <f>F54+G54</f>
        <v>-4387</v>
      </c>
      <c r="F54" s="357">
        <f>F227</f>
        <v>-4387</v>
      </c>
      <c r="G54" s="357">
        <f>G227</f>
        <v>0</v>
      </c>
      <c r="H54" s="356" t="str">
        <f>IF(E54=F54+G54," ","ERROR")</f>
        <v xml:space="preserve"> </v>
      </c>
    </row>
    <row r="55" spans="1:9" ht="12.75">
      <c r="A55" s="340">
        <v>28</v>
      </c>
      <c r="B55" s="361" t="s">
        <v>204</v>
      </c>
      <c r="D55" s="362"/>
      <c r="E55" s="9"/>
      <c r="F55" s="357"/>
      <c r="G55" s="357"/>
      <c r="H55" s="356"/>
    </row>
    <row r="56" spans="1:9" ht="12.75">
      <c r="A56" s="340">
        <v>29</v>
      </c>
      <c r="B56" s="224" t="s">
        <v>101</v>
      </c>
      <c r="E56" s="9">
        <f>F56+G56</f>
        <v>-3743</v>
      </c>
      <c r="F56" s="357">
        <f>F228</f>
        <v>-3743</v>
      </c>
      <c r="G56" s="357">
        <f>G228</f>
        <v>0</v>
      </c>
      <c r="H56" s="356" t="str">
        <f>IF(E56=F56+G56," ","ERROR")</f>
        <v xml:space="preserve"> </v>
      </c>
    </row>
    <row r="57" spans="1:9" ht="12.75">
      <c r="A57" s="340">
        <v>30</v>
      </c>
      <c r="B57" s="224" t="s">
        <v>102</v>
      </c>
      <c r="E57" s="358">
        <f>F57+G57</f>
        <v>0</v>
      </c>
      <c r="F57" s="359">
        <f>F229</f>
        <v>0</v>
      </c>
      <c r="G57" s="359">
        <f>G229</f>
        <v>0</v>
      </c>
      <c r="H57" s="356" t="str">
        <f>IF(E57=F57+G57," ","ERROR")</f>
        <v xml:space="preserve"> </v>
      </c>
    </row>
    <row r="58" spans="1:9" ht="12.75">
      <c r="A58" s="340"/>
      <c r="G58" s="342"/>
      <c r="H58" s="356"/>
    </row>
    <row r="59" spans="1:9" ht="13.5" thickBot="1">
      <c r="A59" s="340">
        <v>31</v>
      </c>
      <c r="B59" s="363" t="s">
        <v>58</v>
      </c>
      <c r="E59" s="10">
        <f>E51-(+E54+E56+E57)</f>
        <v>36392</v>
      </c>
      <c r="F59" s="10">
        <f>F51-(F54+F56+F57)</f>
        <v>36392</v>
      </c>
      <c r="G59" s="10">
        <f>G51-(G54+G56+G57)</f>
        <v>0</v>
      </c>
      <c r="H59" s="356" t="str">
        <f>IF(E59=F59+G59," ","ERROR")</f>
        <v xml:space="preserve"> </v>
      </c>
    </row>
    <row r="60" spans="1:9" ht="13.5" thickTop="1">
      <c r="A60" s="340"/>
      <c r="E60" s="349"/>
      <c r="F60" s="349"/>
      <c r="G60" s="349"/>
      <c r="H60" s="356"/>
    </row>
    <row r="61" spans="1:9" ht="12.75">
      <c r="A61" s="340"/>
      <c r="B61" s="361" t="s">
        <v>103</v>
      </c>
      <c r="G61" s="342"/>
      <c r="H61" s="356"/>
    </row>
    <row r="62" spans="1:9" ht="12.75">
      <c r="A62" s="340"/>
      <c r="B62" s="361" t="s">
        <v>104</v>
      </c>
      <c r="G62" s="342"/>
      <c r="H62" s="356"/>
    </row>
    <row r="63" spans="1:9" ht="12.75">
      <c r="A63" s="340">
        <v>32</v>
      </c>
      <c r="B63" s="224" t="s">
        <v>105</v>
      </c>
      <c r="E63" s="17">
        <f>F63+G63</f>
        <v>34499.699999999997</v>
      </c>
      <c r="F63" s="256">
        <f>F247-0.3</f>
        <v>34499.699999999997</v>
      </c>
      <c r="G63" s="256">
        <f>G247</f>
        <v>0</v>
      </c>
      <c r="H63" s="356" t="str">
        <f t="shared" ref="H63:H76" si="1">IF(E63=F63+G63," ","ERROR")</f>
        <v xml:space="preserve"> </v>
      </c>
      <c r="I63" s="515">
        <f>F63-(SUM(H239:H246)/1000)</f>
        <v>-1.6999999999825377E-2</v>
      </c>
    </row>
    <row r="64" spans="1:9" ht="12.75">
      <c r="A64" s="340">
        <v>33</v>
      </c>
      <c r="B64" s="224" t="s">
        <v>106</v>
      </c>
      <c r="E64" s="9">
        <f>F64+G64</f>
        <v>650522.69999999995</v>
      </c>
      <c r="F64" s="357">
        <f>F263-0.3</f>
        <v>650522.69999999995</v>
      </c>
      <c r="G64" s="357">
        <f>G263</f>
        <v>0</v>
      </c>
      <c r="H64" s="356" t="str">
        <f t="shared" si="1"/>
        <v xml:space="preserve"> </v>
      </c>
      <c r="I64" s="515">
        <f>F64-(SUM(H250:H262)/1000)</f>
        <v>0.14099999994505197</v>
      </c>
    </row>
    <row r="65" spans="1:9" ht="12.75">
      <c r="A65" s="340">
        <v>34</v>
      </c>
      <c r="B65" s="224" t="s">
        <v>107</v>
      </c>
      <c r="E65" s="358">
        <f>F65+G65</f>
        <v>161473</v>
      </c>
      <c r="F65" s="359">
        <f>F276+F236</f>
        <v>161473</v>
      </c>
      <c r="G65" s="359">
        <f>G276+G236</f>
        <v>0</v>
      </c>
      <c r="H65" s="356" t="str">
        <f t="shared" si="1"/>
        <v xml:space="preserve"> </v>
      </c>
      <c r="I65" s="515">
        <f>F65-(SUM(H234:H235,H266:H275)/1000)</f>
        <v>-7.19999999855645E-2</v>
      </c>
    </row>
    <row r="66" spans="1:9" ht="12.75">
      <c r="A66" s="340">
        <v>35</v>
      </c>
      <c r="B66" s="224" t="s">
        <v>108</v>
      </c>
      <c r="E66" s="9">
        <f>SUM(E63:E65)</f>
        <v>846495.39999999991</v>
      </c>
      <c r="F66" s="357">
        <f>SUM(F63:F65)</f>
        <v>846495.39999999991</v>
      </c>
      <c r="G66" s="357">
        <f>SUM(G63:G65)</f>
        <v>0</v>
      </c>
      <c r="H66" s="356" t="str">
        <f t="shared" si="1"/>
        <v xml:space="preserve"> </v>
      </c>
    </row>
    <row r="67" spans="1:9" ht="12.75">
      <c r="A67" s="340"/>
      <c r="E67" s="9"/>
      <c r="F67" s="357"/>
      <c r="G67" s="357"/>
      <c r="H67" s="356"/>
    </row>
    <row r="68" spans="1:9" ht="12.75">
      <c r="A68" s="340"/>
      <c r="B68" s="224" t="s">
        <v>372</v>
      </c>
      <c r="E68" s="9"/>
      <c r="F68" s="357"/>
      <c r="G68" s="357"/>
      <c r="H68" s="356" t="str">
        <f t="shared" si="1"/>
        <v xml:space="preserve"> </v>
      </c>
    </row>
    <row r="69" spans="1:9" ht="12.75">
      <c r="A69" s="340">
        <v>36</v>
      </c>
      <c r="B69" s="224" t="s">
        <v>105</v>
      </c>
      <c r="E69" s="9">
        <f>F69+G69</f>
        <v>-13149</v>
      </c>
      <c r="F69" s="357">
        <f>F282+F290</f>
        <v>-13149</v>
      </c>
      <c r="G69" s="357">
        <f>G282+G290</f>
        <v>0</v>
      </c>
      <c r="H69" s="356" t="str">
        <f t="shared" si="1"/>
        <v xml:space="preserve"> </v>
      </c>
    </row>
    <row r="70" spans="1:9" ht="12.75">
      <c r="A70" s="340">
        <v>37</v>
      </c>
      <c r="B70" s="224" t="s">
        <v>106</v>
      </c>
      <c r="E70" s="9">
        <f>F70+G70</f>
        <v>-188334</v>
      </c>
      <c r="F70" s="357">
        <f>F283</f>
        <v>-188334</v>
      </c>
      <c r="G70" s="357">
        <f>G283</f>
        <v>0</v>
      </c>
      <c r="H70" s="356" t="str">
        <f t="shared" si="1"/>
        <v xml:space="preserve"> </v>
      </c>
    </row>
    <row r="71" spans="1:9" ht="12.75">
      <c r="A71" s="340">
        <v>38</v>
      </c>
      <c r="B71" s="224" t="s">
        <v>107</v>
      </c>
      <c r="E71" s="358">
        <f>F71+G71</f>
        <v>-62353</v>
      </c>
      <c r="F71" s="359">
        <f>F284+F288+F289+F291</f>
        <v>-62353</v>
      </c>
      <c r="G71" s="359">
        <f>G284+G288+G289+G291</f>
        <v>0</v>
      </c>
      <c r="H71" s="356" t="str">
        <f t="shared" si="1"/>
        <v xml:space="preserve"> </v>
      </c>
    </row>
    <row r="72" spans="1:9" ht="12.75">
      <c r="A72" s="340">
        <v>39</v>
      </c>
      <c r="B72" s="224" t="s">
        <v>373</v>
      </c>
      <c r="E72" s="364">
        <f>SUM(E69:E71)</f>
        <v>-263836</v>
      </c>
      <c r="F72" s="364">
        <f>SUM(F69:F71)</f>
        <v>-263836</v>
      </c>
      <c r="G72" s="364">
        <f>SUM(G69:G71)</f>
        <v>0</v>
      </c>
      <c r="H72" s="356" t="str">
        <f t="shared" si="1"/>
        <v xml:space="preserve"> </v>
      </c>
    </row>
    <row r="73" spans="1:9" ht="12.75">
      <c r="A73" s="340">
        <v>40</v>
      </c>
      <c r="B73" s="224" t="s">
        <v>164</v>
      </c>
      <c r="E73" s="9">
        <f>E66+E72</f>
        <v>582659.39999999991</v>
      </c>
      <c r="F73" s="9">
        <f>F66+F72</f>
        <v>582659.39999999991</v>
      </c>
      <c r="G73" s="9">
        <f>G66+G72</f>
        <v>0</v>
      </c>
      <c r="H73" s="356"/>
    </row>
    <row r="74" spans="1:9" ht="12.75">
      <c r="A74" s="340">
        <v>41</v>
      </c>
      <c r="B74" s="361" t="s">
        <v>109</v>
      </c>
      <c r="E74" s="365">
        <f>F74+G74</f>
        <v>-84772</v>
      </c>
      <c r="F74" s="365">
        <f>F304</f>
        <v>-84772</v>
      </c>
      <c r="G74" s="365">
        <f>G304</f>
        <v>0</v>
      </c>
      <c r="H74" s="356" t="str">
        <f t="shared" si="1"/>
        <v xml:space="preserve"> </v>
      </c>
    </row>
    <row r="75" spans="1:9" ht="12.75">
      <c r="A75" s="340">
        <v>42</v>
      </c>
      <c r="B75" s="120" t="s">
        <v>191</v>
      </c>
      <c r="E75" s="9">
        <f>E73+E74</f>
        <v>497887.39999999991</v>
      </c>
      <c r="F75" s="9">
        <f>F73+F74</f>
        <v>497887.39999999991</v>
      </c>
      <c r="G75" s="9">
        <f>G73+G74</f>
        <v>0</v>
      </c>
      <c r="H75" s="356"/>
    </row>
    <row r="76" spans="1:9" ht="12.75">
      <c r="A76" s="340">
        <v>43</v>
      </c>
      <c r="B76" s="224" t="s">
        <v>65</v>
      </c>
      <c r="E76" s="9">
        <f t="shared" ref="E76:E79" si="2">F76+G76</f>
        <v>19552</v>
      </c>
      <c r="F76" s="9">
        <f>F312+F313+F314</f>
        <v>19552</v>
      </c>
      <c r="G76" s="9">
        <f>G324+G325</f>
        <v>0</v>
      </c>
      <c r="H76" s="356" t="str">
        <f t="shared" si="1"/>
        <v xml:space="preserve"> </v>
      </c>
    </row>
    <row r="77" spans="1:9" ht="12.75">
      <c r="A77" s="340">
        <v>44</v>
      </c>
      <c r="B77" s="361" t="s">
        <v>66</v>
      </c>
      <c r="E77" s="9">
        <f t="shared" si="2"/>
        <v>0</v>
      </c>
      <c r="F77" s="342">
        <v>0</v>
      </c>
      <c r="G77" s="342">
        <f>G310+G311</f>
        <v>0</v>
      </c>
      <c r="H77" s="356" t="str">
        <f>IF(E79=F79+G79," ","ERROR")</f>
        <v xml:space="preserve"> </v>
      </c>
    </row>
    <row r="78" spans="1:9" ht="12.75">
      <c r="A78" s="340">
        <v>45</v>
      </c>
      <c r="B78" s="361" t="s">
        <v>377</v>
      </c>
      <c r="E78" s="9">
        <f t="shared" si="2"/>
        <v>943</v>
      </c>
      <c r="F78" s="342">
        <f>F309+F326+F310+F311+F315+F316+F317+F318+F319+F320+F324+F321+F322+F323</f>
        <v>943</v>
      </c>
      <c r="G78" s="342">
        <f t="shared" ref="G78:G79" si="3">G311+G312</f>
        <v>0</v>
      </c>
      <c r="H78" s="356"/>
    </row>
    <row r="79" spans="1:9" ht="12.75">
      <c r="A79" s="340">
        <v>46</v>
      </c>
      <c r="B79" s="224" t="s">
        <v>166</v>
      </c>
      <c r="E79" s="358">
        <f t="shared" si="2"/>
        <v>15047</v>
      </c>
      <c r="F79" s="358">
        <f>F325</f>
        <v>15047</v>
      </c>
      <c r="G79" s="409">
        <f t="shared" si="3"/>
        <v>0</v>
      </c>
      <c r="H79" s="356"/>
    </row>
    <row r="80" spans="1:9" ht="11.25" customHeight="1">
      <c r="G80" s="342"/>
    </row>
    <row r="81" spans="1:19" ht="9" customHeight="1">
      <c r="A81" s="340"/>
      <c r="B81" s="224" t="s">
        <v>110</v>
      </c>
      <c r="G81" s="342"/>
      <c r="H81" s="356"/>
    </row>
    <row r="82" spans="1:19" ht="13.5" thickBot="1">
      <c r="A82" s="340">
        <v>47</v>
      </c>
      <c r="B82" s="363" t="s">
        <v>67</v>
      </c>
      <c r="E82" s="366">
        <f>E75+E76+E79+E77+E78</f>
        <v>533429.39999999991</v>
      </c>
      <c r="F82" s="366">
        <f>F75+F76+F79+F77+F78</f>
        <v>533429.39999999991</v>
      </c>
      <c r="G82" s="366">
        <f>G75+G76+G79+G77+G78</f>
        <v>0</v>
      </c>
      <c r="H82" s="356" t="str">
        <f>IF(E82=F82+G82," ","ERROR")</f>
        <v xml:space="preserve"> </v>
      </c>
    </row>
    <row r="83" spans="1:19" ht="11.25" customHeight="1" thickTop="1">
      <c r="E83" s="349"/>
      <c r="F83" s="349"/>
      <c r="G83" s="349"/>
    </row>
    <row r="84" spans="1:19" ht="11.25" customHeight="1">
      <c r="E84" s="6">
        <f>E59/E82</f>
        <v>6.8222711384111942E-2</v>
      </c>
      <c r="F84" s="6">
        <f>F59/F82</f>
        <v>6.8222711384111942E-2</v>
      </c>
      <c r="G84" s="6"/>
    </row>
    <row r="86" spans="1:19" s="509" customFormat="1" ht="12.75">
      <c r="A86" s="504"/>
      <c r="B86" s="505" t="s">
        <v>31</v>
      </c>
      <c r="C86" s="506"/>
      <c r="D86" s="506"/>
      <c r="E86" s="507"/>
      <c r="F86" s="508"/>
      <c r="G86" s="507"/>
      <c r="H86" s="506"/>
      <c r="I86" s="515"/>
      <c r="J86"/>
      <c r="K86"/>
      <c r="L86"/>
      <c r="M86"/>
      <c r="N86"/>
      <c r="O86"/>
      <c r="P86"/>
      <c r="Q86"/>
      <c r="R86"/>
      <c r="S86"/>
    </row>
    <row r="87" spans="1:19" ht="12.75">
      <c r="A87" s="181"/>
      <c r="B87" s="183" t="s">
        <v>205</v>
      </c>
    </row>
    <row r="88" spans="1:19" ht="12.75">
      <c r="A88" s="184">
        <v>480000</v>
      </c>
      <c r="B88" s="183" t="s">
        <v>206</v>
      </c>
      <c r="F88" s="342">
        <f>ROUND(H88/1000,0)</f>
        <v>160653</v>
      </c>
      <c r="H88" s="56">
        <v>160653358</v>
      </c>
    </row>
    <row r="89" spans="1:19" ht="12.75">
      <c r="A89" s="184" t="s">
        <v>207</v>
      </c>
      <c r="B89" s="183" t="s">
        <v>208</v>
      </c>
      <c r="F89" s="342">
        <f t="shared" ref="F89:F156" si="4">ROUND(H89/1000,0)</f>
        <v>83079</v>
      </c>
      <c r="H89" s="56">
        <v>83079107</v>
      </c>
    </row>
    <row r="90" spans="1:19" ht="12.75">
      <c r="A90" s="184" t="s">
        <v>209</v>
      </c>
      <c r="B90" s="183" t="s">
        <v>210</v>
      </c>
      <c r="F90" s="342">
        <f t="shared" si="4"/>
        <v>2465</v>
      </c>
      <c r="H90" s="56">
        <v>2464839</v>
      </c>
    </row>
    <row r="91" spans="1:19" ht="12.75">
      <c r="A91" s="184">
        <v>481400</v>
      </c>
      <c r="B91" s="183" t="s">
        <v>211</v>
      </c>
      <c r="F91" s="342">
        <f t="shared" si="4"/>
        <v>0</v>
      </c>
      <c r="H91" s="56">
        <v>0</v>
      </c>
    </row>
    <row r="92" spans="1:19" ht="12.75">
      <c r="A92" s="184">
        <v>484000</v>
      </c>
      <c r="B92" s="183" t="s">
        <v>214</v>
      </c>
      <c r="F92" s="342">
        <f t="shared" si="4"/>
        <v>444</v>
      </c>
      <c r="H92" s="56">
        <v>443572</v>
      </c>
    </row>
    <row r="93" spans="1:19" ht="12.75">
      <c r="A93" s="181" t="s">
        <v>212</v>
      </c>
      <c r="B93" s="183" t="s">
        <v>213</v>
      </c>
      <c r="F93" s="342">
        <f t="shared" si="4"/>
        <v>-100</v>
      </c>
      <c r="H93" s="56">
        <v>-100104</v>
      </c>
    </row>
    <row r="94" spans="1:19" ht="12.75">
      <c r="A94" s="181"/>
      <c r="B94" s="183" t="s">
        <v>215</v>
      </c>
      <c r="F94" s="342">
        <f t="shared" si="4"/>
        <v>246541</v>
      </c>
      <c r="H94" s="56">
        <v>246540772</v>
      </c>
    </row>
    <row r="95" spans="1:19" ht="12.75">
      <c r="A95" s="181"/>
      <c r="B95" s="183"/>
      <c r="F95" s="342">
        <f t="shared" si="4"/>
        <v>0</v>
      </c>
      <c r="H95" s="56"/>
    </row>
    <row r="96" spans="1:19" ht="12.75">
      <c r="A96" s="181"/>
      <c r="B96" s="183" t="s">
        <v>216</v>
      </c>
      <c r="F96" s="342">
        <f t="shared" si="4"/>
        <v>0</v>
      </c>
      <c r="H96" s="56"/>
    </row>
    <row r="97" spans="1:8" ht="12.75">
      <c r="A97" s="185" t="s">
        <v>581</v>
      </c>
      <c r="B97" s="186" t="s">
        <v>217</v>
      </c>
      <c r="F97" s="342">
        <f t="shared" si="4"/>
        <v>36675</v>
      </c>
      <c r="H97" s="56">
        <v>36674988</v>
      </c>
    </row>
    <row r="98" spans="1:8" ht="12.75">
      <c r="A98" s="184">
        <v>488000</v>
      </c>
      <c r="B98" s="183" t="s">
        <v>218</v>
      </c>
      <c r="F98" s="342">
        <f t="shared" si="4"/>
        <v>3</v>
      </c>
      <c r="H98" s="56">
        <v>3075</v>
      </c>
    </row>
    <row r="99" spans="1:8" ht="12.75">
      <c r="A99" s="184" t="s">
        <v>582</v>
      </c>
      <c r="B99" s="183" t="s">
        <v>219</v>
      </c>
      <c r="F99" s="342">
        <f t="shared" si="4"/>
        <v>5180</v>
      </c>
      <c r="H99" s="56">
        <v>5179561</v>
      </c>
    </row>
    <row r="100" spans="1:8" ht="12.75">
      <c r="A100" s="184">
        <v>493000</v>
      </c>
      <c r="B100" s="183" t="s">
        <v>220</v>
      </c>
      <c r="F100" s="342">
        <f t="shared" si="4"/>
        <v>0</v>
      </c>
      <c r="H100" s="56">
        <v>-209</v>
      </c>
    </row>
    <row r="101" spans="1:8" ht="12.75">
      <c r="A101" s="184" t="s">
        <v>583</v>
      </c>
      <c r="B101" s="183" t="s">
        <v>221</v>
      </c>
      <c r="F101" s="342">
        <f t="shared" si="4"/>
        <v>441</v>
      </c>
      <c r="H101" s="56">
        <v>440555</v>
      </c>
    </row>
    <row r="102" spans="1:8" ht="12.75">
      <c r="A102" s="184">
        <v>496100</v>
      </c>
      <c r="B102" s="183" t="s">
        <v>412</v>
      </c>
      <c r="F102" s="342">
        <f t="shared" si="4"/>
        <v>0</v>
      </c>
      <c r="H102" s="56">
        <v>0</v>
      </c>
    </row>
    <row r="103" spans="1:8" ht="15.75">
      <c r="A103" s="334">
        <v>496110</v>
      </c>
      <c r="B103" s="240" t="s">
        <v>456</v>
      </c>
      <c r="F103" s="342">
        <f t="shared" si="4"/>
        <v>0</v>
      </c>
      <c r="H103" s="56">
        <v>0</v>
      </c>
    </row>
    <row r="104" spans="1:8" ht="12.75">
      <c r="A104" s="181"/>
      <c r="B104" s="183" t="s">
        <v>222</v>
      </c>
      <c r="F104" s="342">
        <f t="shared" si="4"/>
        <v>42298</v>
      </c>
      <c r="H104" s="56">
        <v>42297970</v>
      </c>
    </row>
    <row r="105" spans="1:8" ht="12.75">
      <c r="A105" s="181"/>
      <c r="B105" s="183" t="s">
        <v>223</v>
      </c>
      <c r="F105" s="342">
        <f t="shared" si="4"/>
        <v>288839</v>
      </c>
      <c r="H105" s="56">
        <v>288838742</v>
      </c>
    </row>
    <row r="106" spans="1:8" ht="12.75">
      <c r="A106" s="181"/>
      <c r="B106" s="183"/>
      <c r="F106" s="342">
        <f t="shared" si="4"/>
        <v>0</v>
      </c>
      <c r="H106" s="56"/>
    </row>
    <row r="107" spans="1:8" ht="12.75">
      <c r="A107" s="181"/>
      <c r="B107" s="183" t="s">
        <v>224</v>
      </c>
      <c r="F107" s="342">
        <f t="shared" si="4"/>
        <v>0</v>
      </c>
      <c r="H107" s="56"/>
    </row>
    <row r="108" spans="1:8" ht="12.75">
      <c r="A108" s="187" t="s">
        <v>225</v>
      </c>
      <c r="B108" s="183" t="s">
        <v>37</v>
      </c>
      <c r="F108" s="342">
        <f t="shared" si="4"/>
        <v>139821</v>
      </c>
      <c r="H108" s="56">
        <v>139820536</v>
      </c>
    </row>
    <row r="109" spans="1:8" ht="12.75">
      <c r="A109" s="184" t="s">
        <v>226</v>
      </c>
      <c r="B109" s="183" t="s">
        <v>227</v>
      </c>
      <c r="F109" s="342">
        <f t="shared" si="4"/>
        <v>9133</v>
      </c>
      <c r="H109" s="56">
        <v>9132838</v>
      </c>
    </row>
    <row r="110" spans="1:8" ht="12.75">
      <c r="A110" s="185">
        <v>811000</v>
      </c>
      <c r="B110" s="186" t="s">
        <v>228</v>
      </c>
      <c r="F110" s="342">
        <f t="shared" si="4"/>
        <v>-344</v>
      </c>
      <c r="H110" s="56">
        <v>-343977</v>
      </c>
    </row>
    <row r="111" spans="1:8" ht="12.75">
      <c r="A111" s="184">
        <v>813000</v>
      </c>
      <c r="B111" s="183" t="s">
        <v>229</v>
      </c>
      <c r="F111" s="342">
        <f t="shared" si="4"/>
        <v>781</v>
      </c>
      <c r="H111" s="56">
        <v>780647</v>
      </c>
    </row>
    <row r="112" spans="1:8" ht="12.75">
      <c r="A112" s="184">
        <v>813010</v>
      </c>
      <c r="B112" s="183" t="s">
        <v>230</v>
      </c>
      <c r="F112" s="342">
        <f t="shared" si="4"/>
        <v>89</v>
      </c>
      <c r="H112" s="56">
        <v>88650</v>
      </c>
    </row>
    <row r="113" spans="1:19" s="509" customFormat="1" ht="12.75">
      <c r="A113" s="503">
        <v>813100</v>
      </c>
      <c r="B113" s="335" t="s">
        <v>584</v>
      </c>
      <c r="C113" s="367"/>
      <c r="D113" s="367"/>
      <c r="E113" s="368"/>
      <c r="F113" s="369"/>
      <c r="G113" s="368"/>
      <c r="H113" s="370">
        <v>31823848</v>
      </c>
      <c r="I113" s="515"/>
      <c r="J113"/>
      <c r="K113"/>
      <c r="L113" s="511"/>
      <c r="M113" s="511"/>
      <c r="N113" s="511"/>
      <c r="O113" s="511"/>
      <c r="P113" s="511"/>
      <c r="Q113" s="511"/>
      <c r="R113" s="511"/>
      <c r="S113" s="511"/>
    </row>
    <row r="114" spans="1:19" s="509" customFormat="1" ht="12.75">
      <c r="A114" s="503">
        <v>407417</v>
      </c>
      <c r="B114" s="335" t="s">
        <v>585</v>
      </c>
      <c r="C114" s="367"/>
      <c r="D114" s="367"/>
      <c r="E114" s="368"/>
      <c r="F114" s="369"/>
      <c r="G114" s="368"/>
      <c r="H114" s="370">
        <v>-31823848</v>
      </c>
      <c r="I114" s="515"/>
      <c r="J114"/>
      <c r="K114"/>
      <c r="L114" s="511"/>
      <c r="M114" s="511"/>
      <c r="N114" s="511"/>
      <c r="O114" s="511"/>
      <c r="P114" s="511"/>
      <c r="Q114" s="511"/>
      <c r="R114" s="511"/>
      <c r="S114" s="511"/>
    </row>
    <row r="115" spans="1:19" ht="12.75">
      <c r="A115" s="181"/>
      <c r="B115" s="183" t="s">
        <v>231</v>
      </c>
      <c r="F115" s="342">
        <f t="shared" si="4"/>
        <v>149479</v>
      </c>
      <c r="H115" s="56">
        <v>149478694</v>
      </c>
    </row>
    <row r="116" spans="1:19" ht="12.75">
      <c r="A116" s="181"/>
      <c r="B116" s="183"/>
      <c r="F116" s="342">
        <f t="shared" si="4"/>
        <v>0</v>
      </c>
      <c r="H116" s="56"/>
    </row>
    <row r="117" spans="1:19" ht="12.75">
      <c r="A117" s="181"/>
      <c r="B117" s="183" t="s">
        <v>232</v>
      </c>
      <c r="F117" s="342">
        <f t="shared" si="4"/>
        <v>0</v>
      </c>
      <c r="H117" s="56"/>
    </row>
    <row r="118" spans="1:19" ht="12.75">
      <c r="A118" s="184">
        <v>814000</v>
      </c>
      <c r="B118" s="183" t="s">
        <v>233</v>
      </c>
      <c r="F118" s="342">
        <f t="shared" si="4"/>
        <v>0</v>
      </c>
      <c r="H118" s="56">
        <v>0</v>
      </c>
    </row>
    <row r="119" spans="1:19" ht="12.75">
      <c r="A119" s="184">
        <v>824000</v>
      </c>
      <c r="B119" s="183" t="s">
        <v>234</v>
      </c>
      <c r="F119" s="342">
        <f t="shared" si="4"/>
        <v>571</v>
      </c>
      <c r="H119" s="56">
        <v>570704</v>
      </c>
    </row>
    <row r="120" spans="1:19" ht="12.75">
      <c r="A120" s="184">
        <v>837000</v>
      </c>
      <c r="B120" s="183" t="s">
        <v>235</v>
      </c>
      <c r="F120" s="342">
        <f t="shared" si="4"/>
        <v>1492</v>
      </c>
      <c r="H120" s="56">
        <v>1491595</v>
      </c>
    </row>
    <row r="121" spans="1:19" ht="12.75">
      <c r="A121" s="181"/>
      <c r="B121" s="183" t="s">
        <v>236</v>
      </c>
      <c r="F121" s="342">
        <f t="shared" si="4"/>
        <v>2062</v>
      </c>
      <c r="H121" s="56">
        <v>2062299</v>
      </c>
    </row>
    <row r="122" spans="1:19" ht="12.75">
      <c r="A122" s="181"/>
      <c r="B122" s="183"/>
      <c r="F122" s="342">
        <f t="shared" si="4"/>
        <v>0</v>
      </c>
      <c r="H122" s="56"/>
    </row>
    <row r="123" spans="1:19" ht="12.75">
      <c r="A123" s="182"/>
      <c r="B123" s="183" t="s">
        <v>237</v>
      </c>
      <c r="F123" s="342">
        <f t="shared" si="4"/>
        <v>512</v>
      </c>
      <c r="H123" s="56">
        <v>511824</v>
      </c>
    </row>
    <row r="124" spans="1:19" ht="12.75">
      <c r="A124" s="182"/>
      <c r="B124" s="183" t="s">
        <v>238</v>
      </c>
      <c r="F124" s="342">
        <f t="shared" si="4"/>
        <v>0</v>
      </c>
      <c r="H124" s="56">
        <v>0</v>
      </c>
    </row>
    <row r="125" spans="1:19" ht="12.75">
      <c r="A125" s="181"/>
      <c r="B125" s="183" t="s">
        <v>239</v>
      </c>
      <c r="F125" s="342">
        <f t="shared" si="4"/>
        <v>161</v>
      </c>
      <c r="H125" s="56">
        <v>160711</v>
      </c>
    </row>
    <row r="126" spans="1:19" ht="12.75">
      <c r="A126" s="181"/>
      <c r="B126" s="183" t="s">
        <v>240</v>
      </c>
      <c r="F126" s="342">
        <f t="shared" si="4"/>
        <v>673</v>
      </c>
      <c r="H126" s="56">
        <v>672535</v>
      </c>
    </row>
    <row r="127" spans="1:19" ht="12.75">
      <c r="A127" s="181"/>
      <c r="B127" s="183"/>
      <c r="F127" s="342">
        <f t="shared" si="4"/>
        <v>0</v>
      </c>
      <c r="H127" s="56"/>
    </row>
    <row r="128" spans="1:19" ht="12.75">
      <c r="A128" s="181"/>
      <c r="B128" s="183" t="s">
        <v>241</v>
      </c>
      <c r="F128" s="342">
        <f t="shared" si="4"/>
        <v>2735</v>
      </c>
      <c r="H128" s="56">
        <v>2734834</v>
      </c>
    </row>
    <row r="129" spans="1:8" ht="12.75">
      <c r="A129" s="181"/>
      <c r="B129" s="183"/>
      <c r="F129" s="342">
        <f t="shared" si="4"/>
        <v>0</v>
      </c>
      <c r="H129" s="56"/>
    </row>
    <row r="130" spans="1:8" ht="12.75">
      <c r="A130" s="181"/>
      <c r="B130" s="183" t="s">
        <v>242</v>
      </c>
      <c r="F130" s="342">
        <f t="shared" si="4"/>
        <v>0</v>
      </c>
      <c r="H130" s="56"/>
    </row>
    <row r="131" spans="1:8" ht="12.75">
      <c r="A131" s="181"/>
      <c r="B131" s="183" t="s">
        <v>243</v>
      </c>
      <c r="F131" s="342">
        <f t="shared" si="4"/>
        <v>0</v>
      </c>
      <c r="H131" s="56"/>
    </row>
    <row r="132" spans="1:8" ht="12.75">
      <c r="A132" s="184">
        <v>870000</v>
      </c>
      <c r="B132" s="183" t="s">
        <v>233</v>
      </c>
      <c r="F132" s="342">
        <f t="shared" si="4"/>
        <v>1610</v>
      </c>
      <c r="H132" s="56">
        <v>1609942</v>
      </c>
    </row>
    <row r="133" spans="1:8" ht="12.75">
      <c r="A133" s="184">
        <v>871000</v>
      </c>
      <c r="B133" s="183" t="s">
        <v>244</v>
      </c>
      <c r="F133" s="342">
        <f t="shared" si="4"/>
        <v>0</v>
      </c>
      <c r="H133" s="56">
        <v>0</v>
      </c>
    </row>
    <row r="134" spans="1:8" ht="12.75">
      <c r="A134" s="184">
        <v>874000</v>
      </c>
      <c r="B134" s="183" t="s">
        <v>245</v>
      </c>
      <c r="F134" s="342">
        <f t="shared" si="4"/>
        <v>3230</v>
      </c>
      <c r="H134" s="56">
        <v>3230198</v>
      </c>
    </row>
    <row r="135" spans="1:8" ht="12.75">
      <c r="A135" s="184">
        <v>875000</v>
      </c>
      <c r="B135" s="183" t="s">
        <v>246</v>
      </c>
      <c r="F135" s="342">
        <f t="shared" si="4"/>
        <v>89</v>
      </c>
      <c r="H135" s="56">
        <v>88889</v>
      </c>
    </row>
    <row r="136" spans="1:8" ht="12.75">
      <c r="A136" s="184">
        <v>876000</v>
      </c>
      <c r="B136" s="183" t="s">
        <v>247</v>
      </c>
      <c r="F136" s="342">
        <f t="shared" si="4"/>
        <v>6</v>
      </c>
      <c r="H136" s="56">
        <v>5860</v>
      </c>
    </row>
    <row r="137" spans="1:8" ht="12.75">
      <c r="A137" s="184">
        <v>877000</v>
      </c>
      <c r="B137" s="183" t="s">
        <v>248</v>
      </c>
      <c r="F137" s="342">
        <f t="shared" si="4"/>
        <v>47</v>
      </c>
      <c r="H137" s="56">
        <v>47365</v>
      </c>
    </row>
    <row r="138" spans="1:8" ht="12.75">
      <c r="A138" s="184">
        <v>878000</v>
      </c>
      <c r="B138" s="183" t="s">
        <v>249</v>
      </c>
      <c r="F138" s="342">
        <f t="shared" si="4"/>
        <v>357</v>
      </c>
      <c r="H138" s="56">
        <v>357349</v>
      </c>
    </row>
    <row r="139" spans="1:8" ht="12.75">
      <c r="A139" s="184">
        <v>879000</v>
      </c>
      <c r="B139" s="183" t="s">
        <v>250</v>
      </c>
      <c r="F139" s="342">
        <f t="shared" si="4"/>
        <v>1412</v>
      </c>
      <c r="H139" s="56">
        <v>1411593</v>
      </c>
    </row>
    <row r="140" spans="1:8" ht="12.75">
      <c r="A140" s="184">
        <v>880000</v>
      </c>
      <c r="B140" s="183" t="s">
        <v>234</v>
      </c>
      <c r="F140" s="342">
        <f t="shared" si="4"/>
        <v>2144</v>
      </c>
      <c r="H140" s="56">
        <v>2143569</v>
      </c>
    </row>
    <row r="141" spans="1:8" ht="12.75">
      <c r="A141" s="184">
        <v>881000</v>
      </c>
      <c r="B141" s="183" t="s">
        <v>251</v>
      </c>
      <c r="F141" s="342">
        <f t="shared" si="4"/>
        <v>-5</v>
      </c>
      <c r="H141" s="56">
        <v>-5121</v>
      </c>
    </row>
    <row r="142" spans="1:8" ht="12.75">
      <c r="A142" s="181"/>
      <c r="B142" s="183"/>
      <c r="F142" s="342">
        <f t="shared" si="4"/>
        <v>0</v>
      </c>
      <c r="H142" s="56"/>
    </row>
    <row r="143" spans="1:8" ht="12.75">
      <c r="A143" s="181"/>
      <c r="B143" s="183" t="s">
        <v>252</v>
      </c>
      <c r="F143" s="342">
        <f t="shared" si="4"/>
        <v>0</v>
      </c>
      <c r="H143" s="56"/>
    </row>
    <row r="144" spans="1:8" ht="12.75">
      <c r="A144" s="184">
        <v>885000</v>
      </c>
      <c r="B144" s="183" t="s">
        <v>233</v>
      </c>
      <c r="F144" s="342">
        <f t="shared" si="4"/>
        <v>15</v>
      </c>
      <c r="H144" s="56">
        <v>14914</v>
      </c>
    </row>
    <row r="145" spans="1:8" ht="12.75">
      <c r="A145" s="184">
        <v>887000</v>
      </c>
      <c r="B145" s="183" t="s">
        <v>253</v>
      </c>
      <c r="F145" s="342">
        <f t="shared" si="4"/>
        <v>982</v>
      </c>
      <c r="H145" s="56">
        <v>982204</v>
      </c>
    </row>
    <row r="146" spans="1:8" ht="12.75">
      <c r="A146" s="184">
        <v>889000</v>
      </c>
      <c r="B146" s="183" t="s">
        <v>246</v>
      </c>
      <c r="F146" s="342">
        <f t="shared" si="4"/>
        <v>212</v>
      </c>
      <c r="H146" s="56">
        <v>211901</v>
      </c>
    </row>
    <row r="147" spans="1:8" ht="12.75">
      <c r="A147" s="184">
        <v>890000</v>
      </c>
      <c r="B147" s="183" t="s">
        <v>247</v>
      </c>
      <c r="F147" s="342">
        <f t="shared" si="4"/>
        <v>8</v>
      </c>
      <c r="H147" s="56">
        <v>7827</v>
      </c>
    </row>
    <row r="148" spans="1:8" ht="12.75">
      <c r="A148" s="184">
        <v>891000</v>
      </c>
      <c r="B148" s="183" t="s">
        <v>248</v>
      </c>
      <c r="F148" s="342">
        <f t="shared" si="4"/>
        <v>83</v>
      </c>
      <c r="H148" s="56">
        <v>83430</v>
      </c>
    </row>
    <row r="149" spans="1:8" ht="12.75">
      <c r="A149" s="184">
        <v>892000</v>
      </c>
      <c r="B149" s="183" t="s">
        <v>254</v>
      </c>
      <c r="F149" s="342">
        <f t="shared" si="4"/>
        <v>1074</v>
      </c>
      <c r="H149" s="56">
        <v>1074003</v>
      </c>
    </row>
    <row r="150" spans="1:8" ht="12.75">
      <c r="A150" s="184">
        <v>893000</v>
      </c>
      <c r="B150" s="183" t="s">
        <v>255</v>
      </c>
      <c r="F150" s="342">
        <f t="shared" si="4"/>
        <v>1531</v>
      </c>
      <c r="H150" s="56">
        <v>1530870</v>
      </c>
    </row>
    <row r="151" spans="1:8" ht="12.75">
      <c r="A151" s="184">
        <v>894000</v>
      </c>
      <c r="B151" s="183" t="s">
        <v>235</v>
      </c>
      <c r="F151" s="342">
        <f t="shared" si="4"/>
        <v>121</v>
      </c>
      <c r="H151" s="56">
        <v>120823</v>
      </c>
    </row>
    <row r="152" spans="1:8" ht="12.75">
      <c r="A152" s="181"/>
      <c r="B152" s="183" t="s">
        <v>256</v>
      </c>
      <c r="F152" s="342">
        <f t="shared" si="4"/>
        <v>12916</v>
      </c>
      <c r="H152" s="56">
        <v>12915616</v>
      </c>
    </row>
    <row r="153" spans="1:8" ht="12.75">
      <c r="A153" s="181"/>
      <c r="B153" s="183"/>
      <c r="F153" s="342">
        <f t="shared" si="4"/>
        <v>0</v>
      </c>
      <c r="H153" s="56"/>
    </row>
    <row r="154" spans="1:8" ht="12.75">
      <c r="A154" s="181"/>
      <c r="B154" s="183" t="s">
        <v>257</v>
      </c>
      <c r="F154" s="342">
        <f t="shared" si="4"/>
        <v>16440</v>
      </c>
      <c r="H154" s="56">
        <v>16440378</v>
      </c>
    </row>
    <row r="155" spans="1:8" ht="12.75">
      <c r="A155" s="181"/>
      <c r="B155" s="183" t="s">
        <v>239</v>
      </c>
      <c r="F155" s="342">
        <f t="shared" si="4"/>
        <v>21003</v>
      </c>
      <c r="H155" s="56">
        <v>21003386</v>
      </c>
    </row>
    <row r="156" spans="1:8" ht="12.75">
      <c r="A156" s="181"/>
      <c r="B156" s="183" t="s">
        <v>258</v>
      </c>
      <c r="F156" s="342">
        <f t="shared" si="4"/>
        <v>37444</v>
      </c>
      <c r="H156" s="56">
        <v>37443764</v>
      </c>
    </row>
    <row r="157" spans="1:8" ht="12.75">
      <c r="A157" s="181"/>
      <c r="B157" s="183"/>
      <c r="F157" s="342">
        <f t="shared" ref="F157:F236" si="5">ROUND(H157/1000,0)</f>
        <v>0</v>
      </c>
      <c r="H157" s="56"/>
    </row>
    <row r="158" spans="1:8" ht="12.75">
      <c r="A158" s="181"/>
      <c r="B158" s="183" t="s">
        <v>259</v>
      </c>
      <c r="F158" s="342">
        <f t="shared" si="5"/>
        <v>50359</v>
      </c>
      <c r="H158" s="56">
        <v>50359380</v>
      </c>
    </row>
    <row r="159" spans="1:8" ht="12.75">
      <c r="A159" s="181"/>
      <c r="B159" s="183"/>
      <c r="F159" s="342">
        <f t="shared" si="5"/>
        <v>0</v>
      </c>
      <c r="H159" s="56"/>
    </row>
    <row r="160" spans="1:8" ht="12.75">
      <c r="A160" s="181"/>
      <c r="B160" s="183" t="s">
        <v>260</v>
      </c>
      <c r="F160" s="342">
        <f t="shared" si="5"/>
        <v>0</v>
      </c>
      <c r="H160" s="56"/>
    </row>
    <row r="161" spans="1:8" ht="12.75">
      <c r="A161" s="184">
        <v>901000</v>
      </c>
      <c r="B161" s="183" t="s">
        <v>261</v>
      </c>
      <c r="F161" s="342">
        <f t="shared" si="5"/>
        <v>56</v>
      </c>
      <c r="H161" s="56">
        <v>56410</v>
      </c>
    </row>
    <row r="162" spans="1:8" ht="12.75">
      <c r="A162" s="184">
        <v>902000</v>
      </c>
      <c r="B162" s="183" t="s">
        <v>262</v>
      </c>
      <c r="F162" s="342">
        <f t="shared" si="5"/>
        <v>334</v>
      </c>
      <c r="H162" s="56">
        <v>334068</v>
      </c>
    </row>
    <row r="163" spans="1:8" ht="12.75">
      <c r="A163" s="184" t="s">
        <v>263</v>
      </c>
      <c r="B163" s="183" t="s">
        <v>264</v>
      </c>
      <c r="F163" s="342">
        <f t="shared" si="5"/>
        <v>3432</v>
      </c>
      <c r="H163" s="56">
        <v>3431676</v>
      </c>
    </row>
    <row r="164" spans="1:8" ht="12.75">
      <c r="A164" s="184">
        <v>904000</v>
      </c>
      <c r="B164" s="183" t="s">
        <v>265</v>
      </c>
      <c r="F164" s="342">
        <f t="shared" si="5"/>
        <v>16</v>
      </c>
      <c r="H164" s="56">
        <v>15712</v>
      </c>
    </row>
    <row r="165" spans="1:8" ht="12.75">
      <c r="A165" s="184">
        <v>905000</v>
      </c>
      <c r="B165" s="183" t="s">
        <v>266</v>
      </c>
      <c r="F165" s="342">
        <f t="shared" si="5"/>
        <v>155</v>
      </c>
      <c r="H165" s="56">
        <v>154636</v>
      </c>
    </row>
    <row r="166" spans="1:8" ht="12.75">
      <c r="A166" s="181"/>
      <c r="B166" s="183" t="s">
        <v>267</v>
      </c>
      <c r="F166" s="342">
        <f t="shared" si="5"/>
        <v>3993</v>
      </c>
      <c r="H166" s="56">
        <v>3992502</v>
      </c>
    </row>
    <row r="167" spans="1:8" ht="12.75">
      <c r="A167" s="181"/>
      <c r="B167" s="183"/>
      <c r="F167" s="342">
        <f t="shared" si="5"/>
        <v>0</v>
      </c>
      <c r="H167" s="56"/>
    </row>
    <row r="168" spans="1:8" ht="12.75">
      <c r="A168" s="181"/>
      <c r="B168" s="183" t="s">
        <v>268</v>
      </c>
      <c r="F168" s="342">
        <f t="shared" si="5"/>
        <v>0</v>
      </c>
      <c r="H168" s="56"/>
    </row>
    <row r="169" spans="1:8" ht="12.75">
      <c r="A169" s="184" t="s">
        <v>269</v>
      </c>
      <c r="B169" s="183" t="s">
        <v>270</v>
      </c>
      <c r="F169" s="342">
        <f t="shared" si="5"/>
        <v>13606</v>
      </c>
      <c r="H169" s="56">
        <v>13605984</v>
      </c>
    </row>
    <row r="170" spans="1:8" ht="12.75">
      <c r="A170" s="184">
        <v>909000</v>
      </c>
      <c r="B170" s="183" t="s">
        <v>271</v>
      </c>
      <c r="F170" s="342">
        <f t="shared" si="5"/>
        <v>358</v>
      </c>
      <c r="H170" s="56">
        <v>358346</v>
      </c>
    </row>
    <row r="171" spans="1:8" ht="12.75">
      <c r="A171" s="184">
        <v>910000</v>
      </c>
      <c r="B171" s="183" t="s">
        <v>272</v>
      </c>
      <c r="F171" s="342">
        <f t="shared" si="5"/>
        <v>103</v>
      </c>
      <c r="H171" s="56">
        <v>102768</v>
      </c>
    </row>
    <row r="172" spans="1:8" ht="12.75">
      <c r="A172" s="181"/>
      <c r="B172" s="183" t="s">
        <v>273</v>
      </c>
      <c r="F172" s="342">
        <f t="shared" si="5"/>
        <v>14067</v>
      </c>
      <c r="H172" s="56">
        <v>14067098</v>
      </c>
    </row>
    <row r="173" spans="1:8" ht="12.75">
      <c r="A173" s="181"/>
      <c r="B173" s="183"/>
      <c r="F173" s="342">
        <f t="shared" si="5"/>
        <v>0</v>
      </c>
      <c r="H173" s="56"/>
    </row>
    <row r="174" spans="1:8" ht="12.75">
      <c r="A174" s="181"/>
      <c r="B174" s="183" t="s">
        <v>274</v>
      </c>
      <c r="F174" s="342">
        <f t="shared" si="5"/>
        <v>0</v>
      </c>
      <c r="H174" s="56"/>
    </row>
    <row r="175" spans="1:8" ht="12.75">
      <c r="A175" s="184">
        <v>912000</v>
      </c>
      <c r="B175" s="183" t="s">
        <v>275</v>
      </c>
      <c r="F175" s="342">
        <f t="shared" si="5"/>
        <v>0</v>
      </c>
      <c r="H175" s="56">
        <v>0</v>
      </c>
    </row>
    <row r="176" spans="1:8" ht="12.75">
      <c r="A176" s="184">
        <v>913000</v>
      </c>
      <c r="B176" s="183" t="s">
        <v>271</v>
      </c>
      <c r="F176" s="342">
        <f t="shared" si="5"/>
        <v>0</v>
      </c>
      <c r="H176" s="56">
        <v>0</v>
      </c>
    </row>
    <row r="177" spans="1:8" ht="12.75">
      <c r="A177" s="184">
        <v>916000</v>
      </c>
      <c r="B177" s="183" t="s">
        <v>276</v>
      </c>
      <c r="F177" s="342">
        <f t="shared" si="5"/>
        <v>0</v>
      </c>
      <c r="H177" s="56">
        <v>279</v>
      </c>
    </row>
    <row r="178" spans="1:8" ht="12.75">
      <c r="A178" s="181"/>
      <c r="B178" s="183" t="s">
        <v>277</v>
      </c>
      <c r="F178" s="342">
        <f t="shared" si="5"/>
        <v>0</v>
      </c>
      <c r="H178" s="56">
        <v>279</v>
      </c>
    </row>
    <row r="179" spans="1:8" ht="12.75">
      <c r="A179" s="181"/>
      <c r="B179" s="183"/>
      <c r="F179" s="342">
        <f t="shared" si="5"/>
        <v>0</v>
      </c>
      <c r="H179" s="56"/>
    </row>
    <row r="180" spans="1:8" ht="12.75">
      <c r="A180" s="181"/>
      <c r="B180" s="183" t="s">
        <v>278</v>
      </c>
      <c r="F180" s="342">
        <f t="shared" si="5"/>
        <v>0</v>
      </c>
      <c r="H180" s="56"/>
    </row>
    <row r="181" spans="1:8" ht="12.75">
      <c r="A181" s="184">
        <v>920000</v>
      </c>
      <c r="B181" s="183" t="s">
        <v>279</v>
      </c>
      <c r="F181" s="342">
        <f t="shared" si="5"/>
        <v>6401</v>
      </c>
      <c r="H181" s="56">
        <v>6401276</v>
      </c>
    </row>
    <row r="182" spans="1:8" ht="12.75">
      <c r="A182" s="184">
        <v>921000</v>
      </c>
      <c r="B182" s="183" t="s">
        <v>280</v>
      </c>
      <c r="F182" s="342">
        <f t="shared" si="5"/>
        <v>856</v>
      </c>
      <c r="H182" s="56">
        <v>855551</v>
      </c>
    </row>
    <row r="183" spans="1:8" ht="12.75">
      <c r="A183" s="184">
        <v>922000</v>
      </c>
      <c r="B183" s="183" t="s">
        <v>281</v>
      </c>
      <c r="F183" s="342">
        <f t="shared" si="5"/>
        <v>-14</v>
      </c>
      <c r="H183" s="56">
        <v>-13733</v>
      </c>
    </row>
    <row r="184" spans="1:8" ht="12.75">
      <c r="A184" s="184">
        <v>923000</v>
      </c>
      <c r="B184" s="183" t="s">
        <v>282</v>
      </c>
      <c r="F184" s="342">
        <f t="shared" si="5"/>
        <v>3098</v>
      </c>
      <c r="H184" s="56">
        <v>3098211</v>
      </c>
    </row>
    <row r="185" spans="1:8" ht="12.75">
      <c r="A185" s="184">
        <v>924000</v>
      </c>
      <c r="B185" s="183" t="s">
        <v>283</v>
      </c>
      <c r="F185" s="342">
        <f t="shared" si="5"/>
        <v>445</v>
      </c>
      <c r="H185" s="56">
        <v>445161</v>
      </c>
    </row>
    <row r="186" spans="1:8" ht="12.75">
      <c r="A186" s="181" t="s">
        <v>284</v>
      </c>
      <c r="B186" s="183" t="s">
        <v>285</v>
      </c>
      <c r="F186" s="342">
        <f t="shared" si="5"/>
        <v>1297</v>
      </c>
      <c r="H186" s="56">
        <v>1296904</v>
      </c>
    </row>
    <row r="187" spans="1:8" ht="12.75">
      <c r="A187" s="181" t="s">
        <v>286</v>
      </c>
      <c r="B187" s="183" t="s">
        <v>287</v>
      </c>
      <c r="F187" s="342">
        <f t="shared" si="5"/>
        <v>6987</v>
      </c>
      <c r="H187" s="56">
        <v>6986558</v>
      </c>
    </row>
    <row r="188" spans="1:8" ht="12.75">
      <c r="A188" s="184">
        <v>928000</v>
      </c>
      <c r="B188" s="183" t="s">
        <v>288</v>
      </c>
      <c r="F188" s="342">
        <f t="shared" si="5"/>
        <v>901</v>
      </c>
      <c r="H188" s="56">
        <v>901022</v>
      </c>
    </row>
    <row r="189" spans="1:8" ht="12.75">
      <c r="A189" s="184">
        <v>930000</v>
      </c>
      <c r="B189" s="183" t="s">
        <v>289</v>
      </c>
      <c r="F189" s="342">
        <f t="shared" si="5"/>
        <v>1217</v>
      </c>
      <c r="H189" s="56">
        <v>1217285</v>
      </c>
    </row>
    <row r="190" spans="1:8" ht="12.75">
      <c r="A190" s="184">
        <v>931000</v>
      </c>
      <c r="B190" s="183" t="s">
        <v>251</v>
      </c>
      <c r="F190" s="342">
        <f t="shared" si="5"/>
        <v>103</v>
      </c>
      <c r="H190" s="56">
        <v>102766</v>
      </c>
    </row>
    <row r="191" spans="1:8" ht="12.75">
      <c r="A191" s="184">
        <v>935000</v>
      </c>
      <c r="B191" s="183" t="s">
        <v>290</v>
      </c>
      <c r="F191" s="342">
        <f t="shared" si="5"/>
        <v>3107</v>
      </c>
      <c r="H191" s="56">
        <v>3107468</v>
      </c>
    </row>
    <row r="192" spans="1:8" ht="12.75">
      <c r="A192" s="181"/>
      <c r="B192" s="183" t="s">
        <v>291</v>
      </c>
      <c r="F192" s="342">
        <f t="shared" si="5"/>
        <v>24398</v>
      </c>
      <c r="H192" s="56">
        <v>24398469</v>
      </c>
    </row>
    <row r="193" spans="1:19" ht="12.75">
      <c r="A193" s="181"/>
      <c r="B193" s="183"/>
      <c r="F193" s="342">
        <f t="shared" si="5"/>
        <v>0</v>
      </c>
      <c r="H193" s="56"/>
    </row>
    <row r="194" spans="1:19" ht="12.75">
      <c r="A194" s="181"/>
      <c r="B194" s="183" t="s">
        <v>292</v>
      </c>
      <c r="F194" s="342">
        <f t="shared" si="5"/>
        <v>5143</v>
      </c>
      <c r="H194" s="56">
        <v>5143287</v>
      </c>
    </row>
    <row r="195" spans="1:19" ht="12.75">
      <c r="A195" s="181"/>
      <c r="B195" s="183" t="s">
        <v>293</v>
      </c>
      <c r="F195" s="342">
        <f t="shared" si="5"/>
        <v>88</v>
      </c>
      <c r="H195" s="56">
        <v>88089</v>
      </c>
    </row>
    <row r="196" spans="1:19" ht="12.75">
      <c r="A196" s="181"/>
      <c r="B196" s="183" t="s">
        <v>294</v>
      </c>
      <c r="F196" s="342">
        <f t="shared" si="5"/>
        <v>7571</v>
      </c>
      <c r="H196" s="56">
        <v>7570602</v>
      </c>
    </row>
    <row r="197" spans="1:19" ht="12.75">
      <c r="A197" s="182"/>
      <c r="B197" s="183" t="s">
        <v>295</v>
      </c>
      <c r="F197" s="342">
        <f t="shared" si="5"/>
        <v>0</v>
      </c>
      <c r="H197" s="56">
        <v>0</v>
      </c>
    </row>
    <row r="198" spans="1:19" s="509" customFormat="1" ht="15.75">
      <c r="A198" s="510">
        <v>407230</v>
      </c>
      <c r="B198" s="241" t="s">
        <v>450</v>
      </c>
      <c r="C198" s="506"/>
      <c r="D198" s="506"/>
      <c r="E198" s="507"/>
      <c r="F198" s="508">
        <f t="shared" si="5"/>
        <v>-31</v>
      </c>
      <c r="G198" s="507"/>
      <c r="H198" s="411">
        <v>-30596</v>
      </c>
      <c r="I198" s="515"/>
      <c r="J198"/>
      <c r="K198"/>
      <c r="L198"/>
      <c r="M198"/>
      <c r="N198"/>
      <c r="O198"/>
      <c r="P198"/>
      <c r="Q198"/>
      <c r="R198"/>
      <c r="S198"/>
    </row>
    <row r="199" spans="1:19" ht="15.75">
      <c r="A199" s="334">
        <v>407302</v>
      </c>
      <c r="B199" s="240" t="s">
        <v>451</v>
      </c>
      <c r="F199" s="342">
        <f t="shared" si="5"/>
        <v>2037</v>
      </c>
      <c r="H199" s="56">
        <v>2037268</v>
      </c>
    </row>
    <row r="200" spans="1:19" ht="15.75">
      <c r="A200" s="334">
        <v>407305</v>
      </c>
      <c r="B200" s="240" t="s">
        <v>463</v>
      </c>
      <c r="F200" s="342">
        <f t="shared" si="5"/>
        <v>0</v>
      </c>
      <c r="H200" s="56">
        <v>0</v>
      </c>
    </row>
    <row r="201" spans="1:19" ht="15.75">
      <c r="A201" s="334">
        <v>407306</v>
      </c>
      <c r="B201" s="240" t="s">
        <v>586</v>
      </c>
      <c r="F201" s="342">
        <f t="shared" si="5"/>
        <v>847</v>
      </c>
      <c r="H201" s="56">
        <v>846808</v>
      </c>
    </row>
    <row r="202" spans="1:19" ht="15.75">
      <c r="A202" s="334">
        <v>407307</v>
      </c>
      <c r="B202" s="240" t="s">
        <v>587</v>
      </c>
      <c r="F202" s="342">
        <f t="shared" si="5"/>
        <v>338</v>
      </c>
      <c r="H202" s="56">
        <v>337810</v>
      </c>
    </row>
    <row r="203" spans="1:19" ht="15.75">
      <c r="A203" s="334">
        <v>407311</v>
      </c>
      <c r="B203" s="240" t="s">
        <v>452</v>
      </c>
      <c r="F203" s="342">
        <f t="shared" si="5"/>
        <v>208</v>
      </c>
      <c r="H203" s="56">
        <v>207898</v>
      </c>
    </row>
    <row r="204" spans="1:19" ht="15.75">
      <c r="A204" s="334">
        <v>407314</v>
      </c>
      <c r="B204" s="240" t="s">
        <v>501</v>
      </c>
      <c r="F204" s="342">
        <f t="shared" si="5"/>
        <v>0</v>
      </c>
      <c r="H204" s="56">
        <v>0</v>
      </c>
    </row>
    <row r="205" spans="1:19" ht="15.75">
      <c r="A205" s="334">
        <v>407319</v>
      </c>
      <c r="B205" s="240" t="s">
        <v>453</v>
      </c>
      <c r="F205" s="342">
        <f t="shared" si="5"/>
        <v>0</v>
      </c>
      <c r="H205" s="56">
        <v>0</v>
      </c>
    </row>
    <row r="206" spans="1:19" ht="15.75">
      <c r="A206" s="334">
        <v>407332</v>
      </c>
      <c r="B206" s="240" t="s">
        <v>454</v>
      </c>
      <c r="F206" s="342">
        <f t="shared" si="5"/>
        <v>0</v>
      </c>
      <c r="H206" s="56">
        <v>0</v>
      </c>
    </row>
    <row r="207" spans="1:19" ht="15.75">
      <c r="A207" s="334" t="s">
        <v>502</v>
      </c>
      <c r="B207" s="240" t="s">
        <v>503</v>
      </c>
      <c r="F207" s="342">
        <f t="shared" si="5"/>
        <v>0</v>
      </c>
      <c r="H207" s="56">
        <v>0</v>
      </c>
    </row>
    <row r="208" spans="1:19" ht="15.75">
      <c r="A208" s="242" t="s">
        <v>588</v>
      </c>
      <c r="B208" s="240" t="s">
        <v>589</v>
      </c>
      <c r="F208" s="342">
        <f t="shared" si="5"/>
        <v>48</v>
      </c>
      <c r="H208" s="56">
        <v>48374</v>
      </c>
    </row>
    <row r="209" spans="1:8" ht="15.75">
      <c r="A209" s="242" t="s">
        <v>504</v>
      </c>
      <c r="B209" s="240" t="s">
        <v>505</v>
      </c>
      <c r="F209" s="342">
        <f t="shared" si="5"/>
        <v>0</v>
      </c>
      <c r="H209" s="56">
        <v>0</v>
      </c>
    </row>
    <row r="210" spans="1:8" ht="15.75">
      <c r="A210" s="242" t="s">
        <v>506</v>
      </c>
      <c r="B210" s="240" t="s">
        <v>507</v>
      </c>
      <c r="F210" s="342">
        <f t="shared" si="5"/>
        <v>-49</v>
      </c>
      <c r="H210" s="56">
        <v>-48910</v>
      </c>
    </row>
    <row r="211" spans="1:8" ht="15.75">
      <c r="A211" s="242" t="s">
        <v>455</v>
      </c>
      <c r="B211" s="240" t="s">
        <v>464</v>
      </c>
      <c r="F211" s="342">
        <f t="shared" si="5"/>
        <v>0</v>
      </c>
      <c r="H211" s="56">
        <v>0</v>
      </c>
    </row>
    <row r="212" spans="1:8" ht="15.75">
      <c r="A212" s="242" t="s">
        <v>590</v>
      </c>
      <c r="B212" s="240" t="s">
        <v>591</v>
      </c>
      <c r="F212" s="342">
        <f t="shared" si="5"/>
        <v>-279</v>
      </c>
      <c r="H212" s="56">
        <v>-278685</v>
      </c>
    </row>
    <row r="213" spans="1:8" ht="15.75">
      <c r="A213" s="242" t="s">
        <v>508</v>
      </c>
      <c r="B213" s="240" t="s">
        <v>509</v>
      </c>
      <c r="F213" s="342">
        <f t="shared" si="5"/>
        <v>304</v>
      </c>
      <c r="H213" s="56">
        <v>303710</v>
      </c>
    </row>
    <row r="214" spans="1:8" ht="15.75">
      <c r="A214" s="242" t="s">
        <v>592</v>
      </c>
      <c r="B214" s="240" t="s">
        <v>593</v>
      </c>
      <c r="F214" s="342">
        <f t="shared" si="5"/>
        <v>-38</v>
      </c>
      <c r="H214" s="56">
        <v>-37628</v>
      </c>
    </row>
    <row r="215" spans="1:8" ht="15.75">
      <c r="A215" s="242" t="s">
        <v>594</v>
      </c>
      <c r="B215" s="240" t="s">
        <v>595</v>
      </c>
      <c r="F215" s="342">
        <f t="shared" si="5"/>
        <v>-1731</v>
      </c>
      <c r="H215" s="56">
        <v>-1731369</v>
      </c>
    </row>
    <row r="216" spans="1:8" ht="15.75">
      <c r="A216" s="242" t="s">
        <v>596</v>
      </c>
      <c r="B216" s="240" t="s">
        <v>597</v>
      </c>
      <c r="F216" s="342">
        <f t="shared" si="5"/>
        <v>-8</v>
      </c>
      <c r="H216" s="56">
        <v>-8413</v>
      </c>
    </row>
    <row r="217" spans="1:8" ht="15.75">
      <c r="A217" s="242" t="s">
        <v>510</v>
      </c>
      <c r="B217" s="240" t="s">
        <v>598</v>
      </c>
      <c r="F217" s="342">
        <f t="shared" si="5"/>
        <v>-34</v>
      </c>
      <c r="H217" s="56">
        <v>-34010</v>
      </c>
    </row>
    <row r="218" spans="1:8" ht="15.75">
      <c r="A218" s="408"/>
      <c r="B218" s="240" t="s">
        <v>511</v>
      </c>
      <c r="F218" s="342">
        <f t="shared" si="5"/>
        <v>1132</v>
      </c>
      <c r="H218" s="56">
        <v>1131675</v>
      </c>
    </row>
    <row r="219" spans="1:8" ht="12.75">
      <c r="A219" s="181"/>
      <c r="B219" s="183" t="s">
        <v>296</v>
      </c>
      <c r="F219" s="342">
        <f t="shared" si="5"/>
        <v>15546</v>
      </c>
      <c r="H219" s="56">
        <v>15545910</v>
      </c>
    </row>
    <row r="220" spans="1:8" ht="12.75">
      <c r="A220" s="181"/>
      <c r="B220" s="183"/>
      <c r="F220" s="342">
        <f t="shared" si="5"/>
        <v>0</v>
      </c>
      <c r="H220" s="56"/>
    </row>
    <row r="221" spans="1:8" ht="12.75">
      <c r="A221" s="184"/>
      <c r="B221" s="183" t="s">
        <v>297</v>
      </c>
      <c r="F221" s="342">
        <f t="shared" si="5"/>
        <v>39944</v>
      </c>
      <c r="H221" s="56">
        <v>39944379</v>
      </c>
    </row>
    <row r="222" spans="1:8" ht="12.75">
      <c r="A222" s="184"/>
      <c r="B222" s="183"/>
      <c r="F222" s="342">
        <f t="shared" si="5"/>
        <v>0</v>
      </c>
      <c r="H222" s="56"/>
    </row>
    <row r="223" spans="1:8" ht="12.75">
      <c r="A223" s="184"/>
      <c r="B223" s="183" t="s">
        <v>298</v>
      </c>
      <c r="F223" s="342">
        <f t="shared" si="5"/>
        <v>260577</v>
      </c>
      <c r="H223" s="56">
        <v>260577166</v>
      </c>
    </row>
    <row r="224" spans="1:8" ht="12.75">
      <c r="A224" s="184"/>
      <c r="B224" s="183"/>
      <c r="F224" s="342">
        <f t="shared" si="5"/>
        <v>0</v>
      </c>
      <c r="H224" s="56"/>
    </row>
    <row r="225" spans="1:19" ht="12.75">
      <c r="A225" s="184"/>
      <c r="B225" s="183" t="s">
        <v>299</v>
      </c>
      <c r="F225" s="342">
        <f t="shared" si="5"/>
        <v>28262</v>
      </c>
      <c r="H225" s="56">
        <v>28261576</v>
      </c>
    </row>
    <row r="226" spans="1:19" ht="12.75">
      <c r="A226" s="184"/>
      <c r="B226" s="183"/>
      <c r="F226" s="342">
        <f t="shared" si="5"/>
        <v>0</v>
      </c>
      <c r="H226" s="56"/>
    </row>
    <row r="227" spans="1:19" ht="12.75">
      <c r="A227" s="184"/>
      <c r="B227" s="183" t="s">
        <v>54</v>
      </c>
      <c r="F227" s="342">
        <f t="shared" si="5"/>
        <v>-4387</v>
      </c>
      <c r="H227" s="56">
        <v>-4386873</v>
      </c>
    </row>
    <row r="228" spans="1:19" ht="12.75">
      <c r="A228" s="184"/>
      <c r="B228" s="183" t="s">
        <v>300</v>
      </c>
      <c r="F228" s="342">
        <f t="shared" si="5"/>
        <v>-3743</v>
      </c>
      <c r="H228" s="56">
        <v>-3743490</v>
      </c>
    </row>
    <row r="229" spans="1:19" ht="12.75">
      <c r="A229" s="184"/>
      <c r="B229" s="183" t="s">
        <v>301</v>
      </c>
      <c r="F229" s="342">
        <f t="shared" si="5"/>
        <v>0</v>
      </c>
      <c r="H229" s="56">
        <v>0</v>
      </c>
    </row>
    <row r="230" spans="1:19" s="509" customFormat="1" ht="12.75">
      <c r="A230" s="504"/>
      <c r="B230" s="186" t="s">
        <v>302</v>
      </c>
      <c r="C230" s="506"/>
      <c r="D230" s="506"/>
      <c r="E230" s="507"/>
      <c r="F230" s="508">
        <f t="shared" si="5"/>
        <v>36392</v>
      </c>
      <c r="G230" s="507"/>
      <c r="H230" s="411">
        <v>36391939</v>
      </c>
      <c r="I230" s="515"/>
      <c r="J230"/>
      <c r="K230"/>
      <c r="L230"/>
      <c r="M230"/>
      <c r="N230"/>
      <c r="O230"/>
      <c r="P230"/>
      <c r="Q230"/>
      <c r="R230"/>
      <c r="S230"/>
    </row>
    <row r="231" spans="1:19" ht="12.75"/>
    <row r="232" spans="1:19" s="509" customFormat="1" ht="12.75">
      <c r="A232" s="512"/>
      <c r="B232" s="191" t="s">
        <v>104</v>
      </c>
      <c r="C232" s="506"/>
      <c r="D232" s="506"/>
      <c r="E232" s="507"/>
      <c r="F232" s="508"/>
      <c r="G232" s="507"/>
      <c r="H232" s="506"/>
      <c r="I232" s="515"/>
      <c r="J232"/>
      <c r="K232"/>
      <c r="L232" s="511"/>
      <c r="M232" s="511"/>
      <c r="N232" s="511"/>
      <c r="O232" s="511"/>
      <c r="P232" s="511"/>
      <c r="Q232" s="511"/>
      <c r="R232" s="511"/>
      <c r="S232" s="511"/>
    </row>
    <row r="233" spans="1:19" ht="12.75">
      <c r="A233" s="188"/>
      <c r="B233" s="189" t="s">
        <v>303</v>
      </c>
    </row>
    <row r="234" spans="1:19" ht="12.75">
      <c r="A234" s="190">
        <v>303000</v>
      </c>
      <c r="B234" s="191" t="s">
        <v>304</v>
      </c>
      <c r="F234" s="342">
        <f t="shared" si="5"/>
        <v>1979</v>
      </c>
      <c r="H234" s="56">
        <v>1978903</v>
      </c>
    </row>
    <row r="235" spans="1:19" ht="12.75">
      <c r="A235" s="192" t="s">
        <v>305</v>
      </c>
      <c r="B235" s="189" t="s">
        <v>306</v>
      </c>
      <c r="F235" s="342">
        <f t="shared" si="5"/>
        <v>47323</v>
      </c>
      <c r="H235" s="56">
        <v>47322733</v>
      </c>
    </row>
    <row r="236" spans="1:19" ht="12.75">
      <c r="A236" s="193"/>
      <c r="B236" s="189" t="s">
        <v>307</v>
      </c>
      <c r="F236" s="342">
        <f t="shared" si="5"/>
        <v>49302</v>
      </c>
      <c r="H236" s="56">
        <v>49301636</v>
      </c>
    </row>
    <row r="237" spans="1:19" ht="12.75">
      <c r="A237" s="193"/>
      <c r="B237" s="189"/>
      <c r="F237" s="342">
        <f t="shared" ref="F237:F302" si="6">ROUND(H237/1000,0)</f>
        <v>0</v>
      </c>
      <c r="H237" s="56"/>
    </row>
    <row r="238" spans="1:19" ht="12.75">
      <c r="A238" s="193"/>
      <c r="B238" s="189" t="s">
        <v>308</v>
      </c>
      <c r="F238" s="342">
        <f t="shared" si="6"/>
        <v>0</v>
      </c>
      <c r="H238" s="56"/>
    </row>
    <row r="239" spans="1:19" ht="12.75">
      <c r="A239" s="194" t="s">
        <v>309</v>
      </c>
      <c r="B239" s="189" t="s">
        <v>310</v>
      </c>
      <c r="F239" s="342">
        <f t="shared" si="6"/>
        <v>911</v>
      </c>
      <c r="H239" s="56">
        <v>911162</v>
      </c>
    </row>
    <row r="240" spans="1:19" ht="12.75">
      <c r="A240" s="194" t="s">
        <v>311</v>
      </c>
      <c r="B240" s="189" t="s">
        <v>312</v>
      </c>
      <c r="F240" s="342">
        <f t="shared" si="6"/>
        <v>1926</v>
      </c>
      <c r="H240" s="56">
        <v>1925739</v>
      </c>
    </row>
    <row r="241" spans="1:8" ht="12.75">
      <c r="A241" s="194" t="s">
        <v>313</v>
      </c>
      <c r="B241" s="189" t="s">
        <v>314</v>
      </c>
      <c r="F241" s="342">
        <f t="shared" si="6"/>
        <v>16041</v>
      </c>
      <c r="H241" s="56">
        <v>16040909</v>
      </c>
    </row>
    <row r="242" spans="1:8" ht="12.75">
      <c r="A242" s="194">
        <v>353000</v>
      </c>
      <c r="B242" s="189" t="s">
        <v>315</v>
      </c>
      <c r="F242" s="342">
        <f t="shared" si="6"/>
        <v>1409</v>
      </c>
      <c r="H242" s="56">
        <v>1409241</v>
      </c>
    </row>
    <row r="243" spans="1:8" ht="12.75">
      <c r="A243" s="194">
        <v>354000</v>
      </c>
      <c r="B243" s="189" t="s">
        <v>316</v>
      </c>
      <c r="F243" s="342">
        <f t="shared" si="6"/>
        <v>10493</v>
      </c>
      <c r="H243" s="56">
        <v>10492782</v>
      </c>
    </row>
    <row r="244" spans="1:8" ht="12.75">
      <c r="A244" s="194">
        <v>355000</v>
      </c>
      <c r="B244" s="189" t="s">
        <v>317</v>
      </c>
      <c r="F244" s="342">
        <f t="shared" si="6"/>
        <v>1326</v>
      </c>
      <c r="H244" s="56">
        <v>1326369</v>
      </c>
    </row>
    <row r="245" spans="1:8" ht="12.75">
      <c r="A245" s="194">
        <v>356000</v>
      </c>
      <c r="B245" s="189" t="s">
        <v>318</v>
      </c>
      <c r="F245" s="342">
        <f t="shared" si="6"/>
        <v>373</v>
      </c>
      <c r="H245" s="56">
        <v>373150</v>
      </c>
    </row>
    <row r="246" spans="1:8" ht="12.75">
      <c r="A246" s="194">
        <v>357000</v>
      </c>
      <c r="B246" s="189" t="s">
        <v>235</v>
      </c>
      <c r="F246" s="342">
        <f t="shared" si="6"/>
        <v>2020</v>
      </c>
      <c r="H246" s="56">
        <v>2020365</v>
      </c>
    </row>
    <row r="247" spans="1:8" ht="12.75">
      <c r="A247" s="194"/>
      <c r="B247" s="189" t="s">
        <v>319</v>
      </c>
      <c r="F247" s="342">
        <f t="shared" si="6"/>
        <v>34500</v>
      </c>
      <c r="H247" s="56">
        <v>34499717</v>
      </c>
    </row>
    <row r="248" spans="1:8" ht="12.75">
      <c r="A248" s="194"/>
      <c r="B248" s="189"/>
      <c r="F248" s="342">
        <f t="shared" si="6"/>
        <v>0</v>
      </c>
      <c r="H248" s="56"/>
    </row>
    <row r="249" spans="1:8" ht="12.75">
      <c r="A249" s="194"/>
      <c r="B249" s="189" t="s">
        <v>320</v>
      </c>
      <c r="F249" s="342">
        <f t="shared" si="6"/>
        <v>0</v>
      </c>
      <c r="H249" s="56"/>
    </row>
    <row r="250" spans="1:8" ht="12.75">
      <c r="A250" s="194">
        <v>374200</v>
      </c>
      <c r="B250" s="189" t="s">
        <v>310</v>
      </c>
      <c r="F250" s="342">
        <f t="shared" si="6"/>
        <v>64</v>
      </c>
      <c r="H250" s="56">
        <v>63925</v>
      </c>
    </row>
    <row r="251" spans="1:8" ht="12.75">
      <c r="A251" s="194">
        <v>374400</v>
      </c>
      <c r="B251" s="189" t="s">
        <v>310</v>
      </c>
      <c r="F251" s="342">
        <f t="shared" si="6"/>
        <v>510</v>
      </c>
      <c r="H251" s="56">
        <v>510460</v>
      </c>
    </row>
    <row r="252" spans="1:8" ht="12.75">
      <c r="A252" s="194">
        <v>375000</v>
      </c>
      <c r="B252" s="189" t="s">
        <v>312</v>
      </c>
      <c r="F252" s="342">
        <f t="shared" si="6"/>
        <v>931</v>
      </c>
      <c r="H252" s="56">
        <v>930542</v>
      </c>
    </row>
    <row r="253" spans="1:8" ht="12.75">
      <c r="A253" s="194">
        <v>376000</v>
      </c>
      <c r="B253" s="195" t="s">
        <v>253</v>
      </c>
      <c r="F253" s="342">
        <f t="shared" si="6"/>
        <v>320529</v>
      </c>
      <c r="H253" s="56">
        <v>320529216</v>
      </c>
    </row>
    <row r="254" spans="1:8" ht="12.75">
      <c r="A254" s="194">
        <v>378000</v>
      </c>
      <c r="B254" s="189" t="s">
        <v>321</v>
      </c>
      <c r="F254" s="342">
        <f t="shared" si="6"/>
        <v>4781</v>
      </c>
      <c r="H254" s="56">
        <v>4781446</v>
      </c>
    </row>
    <row r="255" spans="1:8" ht="12.75">
      <c r="A255" s="194">
        <v>379000</v>
      </c>
      <c r="B255" s="189" t="s">
        <v>322</v>
      </c>
      <c r="F255" s="342">
        <f t="shared" si="6"/>
        <v>1945</v>
      </c>
      <c r="H255" s="56">
        <v>1944601</v>
      </c>
    </row>
    <row r="256" spans="1:8" ht="12.75">
      <c r="A256" s="194">
        <v>380000</v>
      </c>
      <c r="B256" s="189" t="s">
        <v>254</v>
      </c>
      <c r="F256" s="342">
        <f t="shared" si="6"/>
        <v>232926</v>
      </c>
      <c r="H256" s="56">
        <v>232926317</v>
      </c>
    </row>
    <row r="257" spans="1:8" ht="12.75">
      <c r="A257" s="194" t="s">
        <v>599</v>
      </c>
      <c r="B257" s="189" t="s">
        <v>323</v>
      </c>
      <c r="F257" s="342">
        <f t="shared" si="6"/>
        <v>85804</v>
      </c>
      <c r="H257" s="56">
        <v>85803781</v>
      </c>
    </row>
    <row r="258" spans="1:8" ht="12.75">
      <c r="A258" s="194">
        <v>382000</v>
      </c>
      <c r="B258" s="189" t="s">
        <v>324</v>
      </c>
      <c r="F258" s="342">
        <f t="shared" si="6"/>
        <v>0</v>
      </c>
      <c r="H258" s="56">
        <v>0</v>
      </c>
    </row>
    <row r="259" spans="1:8" ht="12.75">
      <c r="A259" s="194">
        <v>383000</v>
      </c>
      <c r="B259" s="189" t="s">
        <v>325</v>
      </c>
      <c r="F259" s="342">
        <f t="shared" si="6"/>
        <v>0</v>
      </c>
      <c r="H259" s="56">
        <v>0</v>
      </c>
    </row>
    <row r="260" spans="1:8" ht="12.75">
      <c r="A260" s="194">
        <v>384000</v>
      </c>
      <c r="B260" s="189" t="s">
        <v>326</v>
      </c>
      <c r="F260" s="342">
        <f t="shared" si="6"/>
        <v>0</v>
      </c>
      <c r="H260" s="56">
        <v>0</v>
      </c>
    </row>
    <row r="261" spans="1:8" ht="12.75">
      <c r="A261" s="194">
        <v>385000</v>
      </c>
      <c r="B261" s="189" t="s">
        <v>327</v>
      </c>
      <c r="F261" s="342">
        <f t="shared" si="6"/>
        <v>3032</v>
      </c>
      <c r="H261" s="56">
        <v>3032271</v>
      </c>
    </row>
    <row r="262" spans="1:8" ht="12.75">
      <c r="A262" s="194">
        <v>387000</v>
      </c>
      <c r="B262" s="189" t="s">
        <v>235</v>
      </c>
      <c r="F262" s="342">
        <f t="shared" si="6"/>
        <v>0</v>
      </c>
      <c r="H262" s="56">
        <v>0</v>
      </c>
    </row>
    <row r="263" spans="1:8" ht="12.75">
      <c r="A263" s="194"/>
      <c r="B263" s="189" t="s">
        <v>328</v>
      </c>
      <c r="F263" s="342">
        <f t="shared" si="6"/>
        <v>650523</v>
      </c>
      <c r="H263" s="56">
        <v>650522559</v>
      </c>
    </row>
    <row r="264" spans="1:8" ht="12.75">
      <c r="A264" s="194"/>
      <c r="B264" s="189"/>
      <c r="F264" s="342">
        <f t="shared" si="6"/>
        <v>0</v>
      </c>
      <c r="H264" s="56"/>
    </row>
    <row r="265" spans="1:8" ht="12.75">
      <c r="A265" s="194"/>
      <c r="B265" s="189" t="s">
        <v>329</v>
      </c>
      <c r="F265" s="342">
        <f t="shared" si="6"/>
        <v>0</v>
      </c>
      <c r="H265" s="56"/>
    </row>
    <row r="266" spans="1:8" ht="12.75">
      <c r="A266" s="194" t="s">
        <v>330</v>
      </c>
      <c r="B266" s="189" t="s">
        <v>310</v>
      </c>
      <c r="F266" s="342">
        <f t="shared" si="6"/>
        <v>5185</v>
      </c>
      <c r="H266" s="56">
        <v>5184912</v>
      </c>
    </row>
    <row r="267" spans="1:8" ht="12.75">
      <c r="A267" s="192" t="s">
        <v>331</v>
      </c>
      <c r="B267" s="189" t="s">
        <v>312</v>
      </c>
      <c r="F267" s="342">
        <f t="shared" si="6"/>
        <v>48957</v>
      </c>
      <c r="H267" s="56">
        <v>48956705</v>
      </c>
    </row>
    <row r="268" spans="1:8" ht="12.75">
      <c r="A268" s="192" t="s">
        <v>332</v>
      </c>
      <c r="B268" s="189" t="s">
        <v>333</v>
      </c>
      <c r="F268" s="342">
        <f t="shared" si="6"/>
        <v>12141</v>
      </c>
      <c r="H268" s="56">
        <v>12140749</v>
      </c>
    </row>
    <row r="269" spans="1:8" ht="12.75">
      <c r="A269" s="192" t="s">
        <v>334</v>
      </c>
      <c r="B269" s="189" t="s">
        <v>335</v>
      </c>
      <c r="F269" s="342">
        <f t="shared" si="6"/>
        <v>14284</v>
      </c>
      <c r="H269" s="56">
        <v>14284031</v>
      </c>
    </row>
    <row r="270" spans="1:8" ht="12.75">
      <c r="A270" s="194">
        <v>393000</v>
      </c>
      <c r="B270" s="189" t="s">
        <v>336</v>
      </c>
      <c r="F270" s="342">
        <f t="shared" si="6"/>
        <v>1127</v>
      </c>
      <c r="H270" s="56">
        <v>1126701</v>
      </c>
    </row>
    <row r="271" spans="1:8" ht="12.75">
      <c r="A271" s="194">
        <v>394000</v>
      </c>
      <c r="B271" s="189" t="s">
        <v>337</v>
      </c>
      <c r="F271" s="342">
        <f t="shared" si="6"/>
        <v>8317</v>
      </c>
      <c r="H271" s="56">
        <v>8316971</v>
      </c>
    </row>
    <row r="272" spans="1:8" ht="12.75">
      <c r="A272" s="194" t="s">
        <v>600</v>
      </c>
      <c r="B272" s="189" t="s">
        <v>338</v>
      </c>
      <c r="F272" s="342">
        <f t="shared" si="6"/>
        <v>500</v>
      </c>
      <c r="H272" s="56">
        <v>499663</v>
      </c>
    </row>
    <row r="273" spans="1:8" ht="12.75">
      <c r="A273" s="194" t="s">
        <v>339</v>
      </c>
      <c r="B273" s="189" t="s">
        <v>340</v>
      </c>
      <c r="F273" s="342">
        <f t="shared" si="6"/>
        <v>3377</v>
      </c>
      <c r="H273" s="56">
        <v>3376866</v>
      </c>
    </row>
    <row r="274" spans="1:8" ht="12.75">
      <c r="A274" s="194" t="s">
        <v>341</v>
      </c>
      <c r="B274" s="189" t="s">
        <v>342</v>
      </c>
      <c r="F274" s="342">
        <f t="shared" si="6"/>
        <v>18164</v>
      </c>
      <c r="H274" s="56">
        <v>18163808</v>
      </c>
    </row>
    <row r="275" spans="1:8" ht="12.75">
      <c r="A275" s="194">
        <v>398000</v>
      </c>
      <c r="B275" s="189" t="s">
        <v>343</v>
      </c>
      <c r="F275" s="342">
        <f t="shared" si="6"/>
        <v>121</v>
      </c>
      <c r="H275" s="56">
        <v>121030</v>
      </c>
    </row>
    <row r="276" spans="1:8" ht="12.75">
      <c r="A276" s="194"/>
      <c r="B276" s="189" t="s">
        <v>344</v>
      </c>
      <c r="F276" s="342">
        <f t="shared" si="6"/>
        <v>112171</v>
      </c>
      <c r="H276" s="56">
        <v>112171436</v>
      </c>
    </row>
    <row r="277" spans="1:8" ht="12.75">
      <c r="A277" s="194"/>
      <c r="B277" s="189"/>
      <c r="F277" s="342">
        <f t="shared" si="6"/>
        <v>0</v>
      </c>
      <c r="H277" s="56"/>
    </row>
    <row r="278" spans="1:8" ht="12.75">
      <c r="A278" s="194"/>
      <c r="B278" s="189" t="s">
        <v>345</v>
      </c>
      <c r="F278" s="342">
        <f t="shared" si="6"/>
        <v>846495</v>
      </c>
      <c r="H278" s="56">
        <v>846495348</v>
      </c>
    </row>
    <row r="279" spans="1:8" ht="12.75">
      <c r="A279" s="194"/>
      <c r="B279" s="189"/>
      <c r="F279" s="342">
        <f t="shared" si="6"/>
        <v>0</v>
      </c>
      <c r="H279" s="56"/>
    </row>
    <row r="280" spans="1:8" ht="12.75">
      <c r="A280" s="194"/>
      <c r="B280" s="189"/>
      <c r="F280" s="342">
        <f t="shared" si="6"/>
        <v>0</v>
      </c>
      <c r="H280" s="56"/>
    </row>
    <row r="281" spans="1:8" ht="12.75">
      <c r="A281" s="192"/>
      <c r="B281" s="189" t="s">
        <v>63</v>
      </c>
      <c r="F281" s="342">
        <f t="shared" si="6"/>
        <v>0</v>
      </c>
      <c r="H281" s="56"/>
    </row>
    <row r="282" spans="1:8" ht="12.75">
      <c r="A282" s="192"/>
      <c r="B282" s="189" t="s">
        <v>41</v>
      </c>
      <c r="F282" s="342">
        <f t="shared" si="6"/>
        <v>-13149</v>
      </c>
      <c r="H282" s="56">
        <v>-13149497</v>
      </c>
    </row>
    <row r="283" spans="1:8" ht="12.75">
      <c r="A283" s="192"/>
      <c r="B283" s="189" t="s">
        <v>60</v>
      </c>
      <c r="F283" s="342">
        <f t="shared" si="6"/>
        <v>-188334</v>
      </c>
      <c r="H283" s="56">
        <v>-188333960</v>
      </c>
    </row>
    <row r="284" spans="1:8" ht="12.75">
      <c r="A284" s="192"/>
      <c r="B284" s="189" t="s">
        <v>61</v>
      </c>
      <c r="F284" s="342">
        <f t="shared" si="6"/>
        <v>-35836</v>
      </c>
      <c r="H284" s="56">
        <v>-35836236</v>
      </c>
    </row>
    <row r="285" spans="1:8" ht="12.75">
      <c r="A285" s="188"/>
      <c r="B285" s="189" t="s">
        <v>346</v>
      </c>
      <c r="F285" s="342">
        <f t="shared" si="6"/>
        <v>-237320</v>
      </c>
      <c r="H285" s="56">
        <v>-237319693</v>
      </c>
    </row>
    <row r="286" spans="1:8" ht="12.75">
      <c r="A286" s="188"/>
      <c r="B286" s="189"/>
      <c r="F286" s="342">
        <f t="shared" si="6"/>
        <v>0</v>
      </c>
      <c r="H286" s="56"/>
    </row>
    <row r="287" spans="1:8" ht="12.75">
      <c r="A287" s="188"/>
      <c r="B287" s="189" t="s">
        <v>347</v>
      </c>
      <c r="F287" s="342">
        <f t="shared" si="6"/>
        <v>0</v>
      </c>
      <c r="H287" s="56"/>
    </row>
    <row r="288" spans="1:8" ht="12.75">
      <c r="A288" s="192"/>
      <c r="B288" s="189" t="s">
        <v>348</v>
      </c>
      <c r="F288" s="342">
        <f t="shared" si="6"/>
        <v>-1088</v>
      </c>
      <c r="H288" s="56">
        <v>-1087622</v>
      </c>
    </row>
    <row r="289" spans="1:8" ht="12.75">
      <c r="A289" s="192"/>
      <c r="B289" s="189" t="s">
        <v>349</v>
      </c>
      <c r="F289" s="342">
        <f t="shared" si="6"/>
        <v>-25429</v>
      </c>
      <c r="H289" s="56">
        <v>-25429065</v>
      </c>
    </row>
    <row r="290" spans="1:8" ht="12.75">
      <c r="A290" s="192"/>
      <c r="B290" s="189" t="s">
        <v>41</v>
      </c>
      <c r="F290" s="342">
        <f t="shared" si="6"/>
        <v>0</v>
      </c>
      <c r="H290" s="56">
        <v>0</v>
      </c>
    </row>
    <row r="291" spans="1:8" ht="12.75">
      <c r="A291" s="192"/>
      <c r="B291" s="189" t="s">
        <v>350</v>
      </c>
      <c r="F291" s="342">
        <f t="shared" si="6"/>
        <v>0</v>
      </c>
      <c r="H291" s="56">
        <v>0</v>
      </c>
    </row>
    <row r="292" spans="1:8" ht="12.75">
      <c r="A292" s="192"/>
      <c r="B292" s="189" t="s">
        <v>351</v>
      </c>
      <c r="F292" s="342">
        <f t="shared" si="6"/>
        <v>-26517</v>
      </c>
      <c r="H292" s="56">
        <v>-26516687</v>
      </c>
    </row>
    <row r="293" spans="1:8" ht="12.75">
      <c r="A293" s="192"/>
      <c r="B293" s="189"/>
      <c r="F293" s="342">
        <f t="shared" si="6"/>
        <v>0</v>
      </c>
      <c r="H293" s="56"/>
    </row>
    <row r="294" spans="1:8" ht="12.75">
      <c r="A294" s="192"/>
      <c r="B294" s="189" t="s">
        <v>352</v>
      </c>
      <c r="F294" s="342">
        <f t="shared" si="6"/>
        <v>-263836</v>
      </c>
      <c r="H294" s="56">
        <v>-263836380</v>
      </c>
    </row>
    <row r="295" spans="1:8" ht="12.75">
      <c r="A295" s="192"/>
      <c r="B295" s="189"/>
      <c r="F295" s="342">
        <f t="shared" si="6"/>
        <v>0</v>
      </c>
      <c r="H295" s="56"/>
    </row>
    <row r="296" spans="1:8" ht="12.75">
      <c r="A296" s="188"/>
      <c r="B296" s="189" t="s">
        <v>353</v>
      </c>
      <c r="F296" s="342">
        <f t="shared" si="6"/>
        <v>582659</v>
      </c>
      <c r="H296" s="56">
        <v>582658968</v>
      </c>
    </row>
    <row r="297" spans="1:8" ht="12.75">
      <c r="A297" s="188"/>
      <c r="B297" s="189"/>
      <c r="F297" s="342">
        <f t="shared" si="6"/>
        <v>0</v>
      </c>
      <c r="H297" s="56"/>
    </row>
    <row r="298" spans="1:8" ht="12.75">
      <c r="A298" s="196"/>
      <c r="B298" s="197" t="s">
        <v>354</v>
      </c>
      <c r="F298" s="342">
        <f t="shared" si="6"/>
        <v>0</v>
      </c>
      <c r="H298" s="56"/>
    </row>
    <row r="299" spans="1:8" ht="12.75">
      <c r="A299" s="198">
        <v>282900</v>
      </c>
      <c r="B299" s="197" t="s">
        <v>355</v>
      </c>
      <c r="F299" s="342">
        <f t="shared" si="6"/>
        <v>-72787</v>
      </c>
      <c r="H299" s="56">
        <v>-72787102</v>
      </c>
    </row>
    <row r="300" spans="1:8" ht="12.75">
      <c r="A300" s="198">
        <v>282900</v>
      </c>
      <c r="B300" s="197" t="s">
        <v>356</v>
      </c>
      <c r="F300" s="342">
        <f t="shared" si="6"/>
        <v>-11027</v>
      </c>
      <c r="H300" s="56">
        <v>-11027362</v>
      </c>
    </row>
    <row r="301" spans="1:8" ht="15.75">
      <c r="A301" s="264">
        <v>282919</v>
      </c>
      <c r="B301" s="245" t="s">
        <v>457</v>
      </c>
      <c r="F301" s="342">
        <f t="shared" si="6"/>
        <v>-789</v>
      </c>
      <c r="H301" s="56">
        <v>-789176</v>
      </c>
    </row>
    <row r="302" spans="1:8" ht="12.75">
      <c r="A302" s="198">
        <v>283750</v>
      </c>
      <c r="B302" s="197" t="s">
        <v>393</v>
      </c>
      <c r="F302" s="342">
        <f t="shared" si="6"/>
        <v>29</v>
      </c>
      <c r="H302" s="56">
        <v>29187</v>
      </c>
    </row>
    <row r="303" spans="1:8" ht="12.75">
      <c r="A303" s="198">
        <v>283850</v>
      </c>
      <c r="B303" s="197" t="s">
        <v>357</v>
      </c>
      <c r="F303" s="342">
        <f t="shared" ref="F303:F329" si="7">ROUND(H303/1000,0)</f>
        <v>-197</v>
      </c>
      <c r="H303" s="56">
        <v>-197140</v>
      </c>
    </row>
    <row r="304" spans="1:8" ht="12.75">
      <c r="A304" s="192"/>
      <c r="B304" s="189" t="s">
        <v>358</v>
      </c>
      <c r="F304" s="342">
        <f t="shared" si="7"/>
        <v>-84772</v>
      </c>
      <c r="H304" s="56">
        <v>-84771593</v>
      </c>
    </row>
    <row r="305" spans="1:19" ht="12.75">
      <c r="A305" s="188"/>
      <c r="B305" s="189"/>
      <c r="F305" s="342">
        <f t="shared" si="7"/>
        <v>0</v>
      </c>
      <c r="H305" s="56"/>
    </row>
    <row r="306" spans="1:19" ht="12.75">
      <c r="A306" s="188"/>
      <c r="B306" s="189" t="s">
        <v>359</v>
      </c>
      <c r="F306" s="342">
        <f t="shared" si="7"/>
        <v>497887</v>
      </c>
      <c r="H306" s="56">
        <v>497887375</v>
      </c>
    </row>
    <row r="307" spans="1:19" ht="12.75"/>
    <row r="308" spans="1:19" s="509" customFormat="1" ht="12.75">
      <c r="A308" s="513"/>
      <c r="B308" s="514" t="s">
        <v>360</v>
      </c>
      <c r="C308" s="506"/>
      <c r="D308" s="506"/>
      <c r="E308" s="507"/>
      <c r="F308" s="508"/>
      <c r="G308" s="507"/>
      <c r="H308" s="506"/>
      <c r="I308" s="516"/>
      <c r="J308" s="511"/>
      <c r="K308" s="511"/>
      <c r="L308" s="511"/>
      <c r="M308" s="511"/>
      <c r="N308" s="511"/>
      <c r="O308" s="511"/>
      <c r="P308" s="511"/>
      <c r="Q308" s="511"/>
      <c r="R308" s="511"/>
      <c r="S308" s="511"/>
    </row>
    <row r="309" spans="1:19" ht="15.75">
      <c r="A309" s="371">
        <v>108121</v>
      </c>
      <c r="B309" s="243" t="s">
        <v>465</v>
      </c>
      <c r="F309" s="342">
        <f t="shared" si="7"/>
        <v>0</v>
      </c>
      <c r="H309" s="224">
        <v>0</v>
      </c>
    </row>
    <row r="310" spans="1:19" ht="15.75">
      <c r="A310" s="371">
        <v>182332</v>
      </c>
      <c r="B310" s="243" t="s">
        <v>458</v>
      </c>
      <c r="F310" s="342">
        <f t="shared" si="7"/>
        <v>2412</v>
      </c>
      <c r="H310" s="56">
        <v>2412130</v>
      </c>
    </row>
    <row r="311" spans="1:19" ht="15.75">
      <c r="A311" s="371">
        <v>182318</v>
      </c>
      <c r="B311" s="243" t="s">
        <v>459</v>
      </c>
      <c r="F311" s="342">
        <f t="shared" si="7"/>
        <v>-818</v>
      </c>
      <c r="H311" s="56">
        <v>-817758</v>
      </c>
    </row>
    <row r="312" spans="1:19" ht="15.75">
      <c r="A312" s="264">
        <v>117100</v>
      </c>
      <c r="B312" s="245" t="s">
        <v>361</v>
      </c>
      <c r="F312" s="342">
        <f t="shared" si="7"/>
        <v>3923</v>
      </c>
      <c r="H312" s="56">
        <v>3922913</v>
      </c>
    </row>
    <row r="313" spans="1:19" ht="15.75">
      <c r="A313" s="264">
        <v>164100</v>
      </c>
      <c r="B313" s="245" t="s">
        <v>362</v>
      </c>
      <c r="F313" s="342">
        <f t="shared" si="7"/>
        <v>15608</v>
      </c>
      <c r="H313" s="56">
        <v>15608258</v>
      </c>
    </row>
    <row r="314" spans="1:19" ht="15.75">
      <c r="A314" s="264">
        <v>164115</v>
      </c>
      <c r="B314" s="245" t="s">
        <v>512</v>
      </c>
      <c r="F314" s="342">
        <f t="shared" si="7"/>
        <v>21</v>
      </c>
      <c r="H314" s="56">
        <v>20637</v>
      </c>
    </row>
    <row r="315" spans="1:19" ht="15.75">
      <c r="A315" s="264">
        <v>182331</v>
      </c>
      <c r="B315" s="245" t="s">
        <v>601</v>
      </c>
      <c r="F315" s="342">
        <f t="shared" si="7"/>
        <v>3398</v>
      </c>
      <c r="H315" s="56">
        <v>3397513</v>
      </c>
    </row>
    <row r="316" spans="1:19" ht="15.75">
      <c r="A316" s="264">
        <v>182337</v>
      </c>
      <c r="B316" s="243" t="s">
        <v>602</v>
      </c>
      <c r="F316" s="342">
        <f t="shared" si="7"/>
        <v>8075</v>
      </c>
      <c r="H316" s="56">
        <v>8074705</v>
      </c>
    </row>
    <row r="317" spans="1:19" ht="15.75">
      <c r="A317" s="264">
        <v>283436</v>
      </c>
      <c r="B317" s="245" t="s">
        <v>603</v>
      </c>
      <c r="F317" s="342">
        <f t="shared" si="7"/>
        <v>-2014</v>
      </c>
      <c r="H317" s="56">
        <v>-2013859</v>
      </c>
    </row>
    <row r="318" spans="1:19" ht="15.75">
      <c r="A318" s="264">
        <v>252000</v>
      </c>
      <c r="B318" s="246" t="s">
        <v>363</v>
      </c>
      <c r="F318" s="342">
        <f t="shared" si="7"/>
        <v>0</v>
      </c>
      <c r="H318" s="56">
        <v>0</v>
      </c>
    </row>
    <row r="319" spans="1:19" ht="15.75">
      <c r="A319" s="264">
        <v>254393</v>
      </c>
      <c r="B319" s="246" t="s">
        <v>513</v>
      </c>
      <c r="F319" s="342">
        <f t="shared" si="7"/>
        <v>-17132</v>
      </c>
      <c r="H319" s="56">
        <v>-17131511</v>
      </c>
    </row>
    <row r="320" spans="1:19" ht="15.75">
      <c r="A320" s="264">
        <v>190393</v>
      </c>
      <c r="B320" s="246" t="s">
        <v>514</v>
      </c>
      <c r="F320" s="342">
        <f t="shared" si="7"/>
        <v>3598</v>
      </c>
      <c r="H320" s="56">
        <v>3597617</v>
      </c>
    </row>
    <row r="321" spans="1:19" ht="15.75">
      <c r="A321" s="264">
        <v>235199</v>
      </c>
      <c r="B321" s="246" t="s">
        <v>364</v>
      </c>
      <c r="F321" s="342">
        <f t="shared" si="7"/>
        <v>-1</v>
      </c>
      <c r="H321" s="56">
        <v>-1377</v>
      </c>
      <c r="J321" s="477"/>
      <c r="K321" s="477"/>
      <c r="L321" s="477"/>
      <c r="M321" s="477"/>
      <c r="N321" s="477"/>
      <c r="O321" s="477"/>
      <c r="P321" s="477"/>
      <c r="Q321" s="477"/>
      <c r="R321" s="477"/>
      <c r="S321" s="477"/>
    </row>
    <row r="322" spans="1:19" ht="15.75">
      <c r="A322" s="264">
        <v>254911</v>
      </c>
      <c r="B322" s="246" t="s">
        <v>460</v>
      </c>
      <c r="F322" s="342">
        <f t="shared" si="7"/>
        <v>0</v>
      </c>
      <c r="H322" s="56">
        <v>0</v>
      </c>
      <c r="J322" s="477"/>
      <c r="K322" s="477"/>
      <c r="L322" s="477"/>
      <c r="M322" s="477"/>
      <c r="N322" s="477"/>
      <c r="O322" s="477"/>
      <c r="P322" s="477"/>
      <c r="Q322" s="477"/>
      <c r="R322" s="477"/>
      <c r="S322" s="477"/>
    </row>
    <row r="323" spans="1:19" ht="15.75">
      <c r="A323" s="264">
        <v>182302</v>
      </c>
      <c r="B323" s="246" t="s">
        <v>422</v>
      </c>
      <c r="F323" s="342">
        <f t="shared" si="7"/>
        <v>4336</v>
      </c>
      <c r="H323" s="56">
        <v>4336499</v>
      </c>
      <c r="J323" s="477"/>
      <c r="K323" s="477"/>
      <c r="L323" s="477"/>
      <c r="M323" s="477"/>
      <c r="N323" s="477"/>
      <c r="O323" s="477"/>
      <c r="P323" s="477"/>
      <c r="Q323" s="477"/>
      <c r="R323" s="477"/>
      <c r="S323" s="477"/>
    </row>
    <row r="324" spans="1:19" ht="15.75">
      <c r="A324" s="264">
        <v>283302</v>
      </c>
      <c r="B324" s="246" t="s">
        <v>461</v>
      </c>
      <c r="F324" s="342">
        <f t="shared" si="7"/>
        <v>-911</v>
      </c>
      <c r="H324" s="56">
        <v>-910665</v>
      </c>
    </row>
    <row r="325" spans="1:19" ht="15.75">
      <c r="A325" s="244"/>
      <c r="B325" s="246" t="s">
        <v>365</v>
      </c>
      <c r="F325" s="342">
        <f t="shared" si="7"/>
        <v>15047</v>
      </c>
      <c r="H325" s="56">
        <v>15046912</v>
      </c>
    </row>
    <row r="326" spans="1:19" ht="15.75">
      <c r="A326" s="264">
        <v>186710</v>
      </c>
      <c r="B326" s="245" t="s">
        <v>366</v>
      </c>
      <c r="F326" s="342">
        <f t="shared" si="7"/>
        <v>0</v>
      </c>
      <c r="H326" s="56">
        <v>0</v>
      </c>
    </row>
    <row r="327" spans="1:19" ht="12.75">
      <c r="A327" s="200"/>
      <c r="B327" s="199" t="s">
        <v>367</v>
      </c>
      <c r="F327" s="342">
        <f t="shared" si="7"/>
        <v>35542</v>
      </c>
      <c r="H327" s="56">
        <v>35542014</v>
      </c>
    </row>
    <row r="328" spans="1:19" ht="12.75">
      <c r="A328" s="200"/>
      <c r="B328" s="199"/>
      <c r="F328" s="342">
        <f t="shared" si="7"/>
        <v>0</v>
      </c>
      <c r="H328" s="56"/>
    </row>
    <row r="329" spans="1:19" ht="12.75">
      <c r="A329" s="200"/>
      <c r="B329" s="199" t="s">
        <v>368</v>
      </c>
      <c r="F329" s="342">
        <f t="shared" si="7"/>
        <v>533429</v>
      </c>
      <c r="H329" s="56">
        <v>533429389</v>
      </c>
    </row>
    <row r="330" spans="1:19" ht="12.75"/>
    <row r="331" spans="1:19" ht="12.75"/>
    <row r="332" spans="1:19" ht="12.75"/>
    <row r="333" spans="1:19" ht="12.75"/>
  </sheetData>
  <customSheetViews>
    <customSheetView guid="{5BE913A1-B14F-11D2-B0DC-0000832CDFF0}" scale="75" showPageBreaks="1" printArea="1" showRuler="0">
      <pageMargins left="1" right="1" top="0.5" bottom="0.5" header="0.5" footer="0.5"/>
      <printOptions horizontalCentered="1"/>
      <pageSetup scale="89" orientation="portrait" horizontalDpi="300" verticalDpi="300" r:id="rId1"/>
      <headerFooter alignWithMargins="0"/>
    </customSheetView>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3" orientation="portrait" horizontalDpi="300" verticalDpi="300" r:id="rId3"/>
  <headerFooter alignWithMargins="0"/>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BA3F5-C192-4976-8CAA-6ED8EE761623}">
  <sheetPr codeName="Sheet7"/>
  <dimension ref="A1:DY71"/>
  <sheetViews>
    <sheetView workbookViewId="0"/>
  </sheetViews>
  <sheetFormatPr defaultRowHeight="12.75"/>
  <cols>
    <col min="1" max="1" width="23.42578125" style="477" customWidth="1"/>
    <col min="2" max="2" width="19.85546875" style="477" customWidth="1"/>
    <col min="3" max="3" width="6" style="477" customWidth="1"/>
    <col min="4" max="6" width="13.7109375" style="477" customWidth="1"/>
    <col min="7" max="7" width="3" style="477" customWidth="1"/>
    <col min="8" max="8" width="30.85546875" style="477" customWidth="1"/>
    <col min="9" max="9" width="15.85546875" style="477" bestFit="1" customWidth="1"/>
    <col min="10" max="10" width="11.42578125" style="477"/>
    <col min="12" max="12" width="1.7109375" style="972" customWidth="1"/>
    <col min="14" max="14" width="25.7109375" style="477" customWidth="1"/>
    <col min="15" max="15" width="14.140625" style="477" customWidth="1"/>
    <col min="16" max="16" width="2.42578125" style="477" customWidth="1"/>
    <col min="17" max="20" width="13.7109375" style="477" customWidth="1"/>
    <col min="21" max="21" width="8.85546875" style="477"/>
    <col min="22" max="22" width="1.7109375" style="972" customWidth="1"/>
    <col min="24" max="24" width="17.28515625" style="477" customWidth="1"/>
    <col min="25" max="26" width="14.85546875" style="477" bestFit="1" customWidth="1"/>
    <col min="27" max="27" width="14.42578125" style="477" customWidth="1"/>
    <col min="28" max="28" width="1.28515625" style="477" customWidth="1"/>
    <col min="29" max="29" width="13.85546875" style="477" bestFit="1" customWidth="1"/>
    <col min="30" max="31" width="15.85546875" style="477" customWidth="1"/>
    <col min="32" max="32" width="14" style="477" customWidth="1"/>
    <col min="33" max="33" width="0.85546875" style="477" customWidth="1"/>
    <col min="34" max="34" width="14" style="477" bestFit="1" customWidth="1"/>
    <col min="35" max="35" width="11.7109375" style="477" bestFit="1" customWidth="1"/>
    <col min="36" max="36" width="0.85546875" style="477" customWidth="1"/>
    <col min="37" max="37" width="13.85546875" style="477" bestFit="1" customWidth="1"/>
    <col min="38" max="38" width="13.85546875" style="477" customWidth="1"/>
    <col min="39" max="39" width="13.5703125" style="477" bestFit="1" customWidth="1"/>
    <col min="40" max="40" width="14.5703125" style="477" bestFit="1" customWidth="1"/>
    <col min="41" max="41" width="11.5703125" style="477" bestFit="1" customWidth="1"/>
    <col min="42" max="42" width="1.7109375" style="972" customWidth="1"/>
    <col min="43" max="43" width="6.28515625" style="199" customWidth="1"/>
    <col min="44" max="44" width="27" style="199" customWidth="1"/>
    <col min="45" max="45" width="17.85546875" style="199" customWidth="1"/>
    <col min="46" max="46" width="3.140625" style="199" customWidth="1"/>
    <col min="47" max="47" width="16.5703125" style="199" customWidth="1"/>
    <col min="48" max="48" width="24.28515625" style="199" bestFit="1" customWidth="1"/>
    <col min="49" max="49" width="24.140625" style="199" bestFit="1" customWidth="1"/>
    <col min="51" max="51" width="1.7109375" style="972" customWidth="1"/>
    <col min="53" max="53" width="10.28515625" style="477" customWidth="1"/>
    <col min="54" max="54" width="25.85546875" style="477" customWidth="1"/>
    <col min="55" max="55" width="16.85546875" style="477" bestFit="1" customWidth="1"/>
    <col min="56" max="56" width="16.85546875" style="477" customWidth="1"/>
    <col min="57" max="57" width="14.5703125" style="477" customWidth="1"/>
    <col min="58" max="58" width="16.28515625" style="477" bestFit="1" customWidth="1"/>
    <col min="60" max="60" width="1.7109375" style="972" customWidth="1"/>
    <col min="61" max="61" width="9" customWidth="1"/>
    <col min="62" max="62" width="10.28515625" style="477" customWidth="1"/>
    <col min="63" max="63" width="25.85546875" style="477" customWidth="1"/>
    <col min="64" max="64" width="16.85546875" style="477" bestFit="1" customWidth="1"/>
    <col min="65" max="65" width="16.85546875" style="477" customWidth="1"/>
    <col min="66" max="66" width="14.5703125" style="477" customWidth="1"/>
    <col min="67" max="67" width="16.28515625" style="477" bestFit="1" customWidth="1"/>
    <col min="68" max="68" width="14.28515625" style="477" customWidth="1"/>
    <col min="69" max="69" width="14.7109375" style="477" customWidth="1"/>
    <col min="71" max="71" width="1.7109375" style="972" customWidth="1"/>
    <col min="73" max="73" width="10.28515625" style="477" customWidth="1"/>
    <col min="74" max="74" width="25.85546875" style="477" customWidth="1"/>
    <col min="75" max="75" width="16.85546875" style="477" bestFit="1" customWidth="1"/>
    <col min="76" max="76" width="16.85546875" style="477" customWidth="1"/>
    <col min="77" max="77" width="14.5703125" style="477" customWidth="1"/>
    <col min="78" max="78" width="16.28515625" style="477" bestFit="1" customWidth="1"/>
    <col min="79" max="79" width="14.28515625" style="477" customWidth="1"/>
    <col min="80" max="80" width="14.7109375" style="477" customWidth="1"/>
    <col min="81" max="81" width="14.5703125" style="477" bestFit="1" customWidth="1"/>
    <col min="83" max="83" width="1.7109375" style="972" customWidth="1"/>
    <col min="85" max="85" width="27.42578125" style="477" customWidth="1"/>
    <col min="86" max="86" width="5.7109375" style="477" customWidth="1"/>
    <col min="87" max="87" width="9.7109375" style="477" customWidth="1"/>
    <col min="88" max="88" width="15.140625" style="477" customWidth="1"/>
    <col min="89" max="89" width="14.7109375" style="477" customWidth="1"/>
    <col min="90" max="90" width="14.140625" style="477" customWidth="1"/>
    <col min="91" max="91" width="17.28515625" style="477" bestFit="1" customWidth="1"/>
    <col min="92" max="92" width="16.5703125" style="477" bestFit="1" customWidth="1"/>
    <col min="93" max="93" width="14.140625" style="477" customWidth="1"/>
    <col min="94" max="94" width="1.7109375" style="477" customWidth="1"/>
    <col min="95" max="95" width="32.140625" style="477" bestFit="1" customWidth="1"/>
    <col min="96" max="96" width="19.5703125" style="477" customWidth="1"/>
    <col min="97" max="97" width="2.42578125" style="477" customWidth="1"/>
    <col min="98" max="98" width="13.140625" style="477" bestFit="1" customWidth="1"/>
    <col min="99" max="99" width="1.7109375" style="972" customWidth="1"/>
    <col min="101" max="101" width="7" style="478" bestFit="1" customWidth="1"/>
    <col min="102" max="102" width="40.5703125" style="478" bestFit="1" customWidth="1"/>
    <col min="103" max="104" width="13.7109375" style="478" bestFit="1" customWidth="1"/>
    <col min="105" max="105" width="14.42578125" style="478" bestFit="1" customWidth="1"/>
    <col min="106" max="106" width="0.5703125" style="478" customWidth="1"/>
    <col min="107" max="107" width="14" style="478" customWidth="1"/>
    <col min="108" max="109" width="13.7109375" style="478" bestFit="1" customWidth="1"/>
    <col min="110" max="110" width="0.7109375" style="478" customWidth="1"/>
    <col min="111" max="112" width="12.28515625" style="478" bestFit="1" customWidth="1"/>
    <col min="113" max="113" width="13.7109375" style="478" bestFit="1" customWidth="1"/>
    <col min="115" max="115" width="1.7109375" style="972" customWidth="1"/>
    <col min="117" max="117" width="7" style="478" bestFit="1" customWidth="1"/>
    <col min="118" max="118" width="40.5703125" style="478" bestFit="1" customWidth="1"/>
    <col min="119" max="121" width="13.7109375" style="478" bestFit="1" customWidth="1"/>
    <col min="122" max="122" width="0.5703125" style="478" customWidth="1"/>
    <col min="123" max="123" width="12.28515625" style="478" bestFit="1" customWidth="1"/>
    <col min="124" max="125" width="13.7109375" style="478" bestFit="1" customWidth="1"/>
    <col min="126" max="126" width="0.7109375" style="478" customWidth="1"/>
    <col min="127" max="128" width="12.28515625" style="478" bestFit="1" customWidth="1"/>
    <col min="129" max="129" width="13.7109375" style="478" bestFit="1" customWidth="1"/>
  </cols>
  <sheetData>
    <row r="1" spans="1:129" ht="26.25" thickBot="1">
      <c r="C1" s="880" t="s">
        <v>111</v>
      </c>
      <c r="Q1" s="880" t="s">
        <v>111</v>
      </c>
      <c r="AK1" s="890" t="s">
        <v>766</v>
      </c>
      <c r="AL1" s="477" t="s">
        <v>745</v>
      </c>
      <c r="AM1" s="944" t="s">
        <v>765</v>
      </c>
      <c r="AN1" s="944" t="s">
        <v>764</v>
      </c>
      <c r="AR1" s="3762" t="s">
        <v>111</v>
      </c>
      <c r="AS1" s="3763"/>
      <c r="AT1" s="3763"/>
      <c r="AU1" s="3763"/>
      <c r="AV1" s="3763"/>
      <c r="AW1" s="953"/>
      <c r="CG1" s="477" t="s">
        <v>111</v>
      </c>
      <c r="CR1" s="477" t="s">
        <v>763</v>
      </c>
    </row>
    <row r="2" spans="1:129" ht="39" thickBot="1">
      <c r="C2" s="880" t="s">
        <v>788</v>
      </c>
      <c r="Q2" s="880" t="s">
        <v>759</v>
      </c>
      <c r="AB2" s="959" t="s">
        <v>111</v>
      </c>
      <c r="AC2" s="959"/>
      <c r="AK2" s="958" t="s">
        <v>762</v>
      </c>
      <c r="AL2" s="973">
        <v>-776128265.72060001</v>
      </c>
      <c r="AR2" s="3762" t="s">
        <v>761</v>
      </c>
      <c r="AS2" s="3763"/>
      <c r="AT2" s="3763"/>
      <c r="AU2" s="3763"/>
      <c r="AV2" s="3763"/>
      <c r="AW2" s="953"/>
      <c r="BA2" s="957" t="s">
        <v>760</v>
      </c>
      <c r="BB2" s="956" t="s">
        <v>70</v>
      </c>
      <c r="BC2" s="956" t="s">
        <v>682</v>
      </c>
      <c r="BD2" s="956"/>
      <c r="BE2" s="956" t="s">
        <v>678</v>
      </c>
      <c r="BF2" s="955"/>
      <c r="BJ2" s="957" t="s">
        <v>760</v>
      </c>
      <c r="BK2" s="956" t="s">
        <v>70</v>
      </c>
      <c r="BL2" s="956" t="s">
        <v>682</v>
      </c>
      <c r="BM2" s="956"/>
      <c r="BN2" s="956" t="s">
        <v>678</v>
      </c>
      <c r="BO2" s="955"/>
      <c r="BU2" s="957" t="s">
        <v>760</v>
      </c>
      <c r="BV2" s="956" t="s">
        <v>70</v>
      </c>
      <c r="BW2" s="956" t="s">
        <v>682</v>
      </c>
      <c r="BX2" s="956"/>
      <c r="BY2" s="956" t="s">
        <v>678</v>
      </c>
      <c r="BZ2" s="955"/>
      <c r="CG2" s="894" t="s">
        <v>792</v>
      </c>
      <c r="CY2" s="3759" t="s">
        <v>79</v>
      </c>
      <c r="CZ2" s="3760"/>
      <c r="DA2" s="3761"/>
      <c r="DC2" s="3759" t="s">
        <v>763</v>
      </c>
      <c r="DD2" s="3760"/>
      <c r="DE2" s="3761"/>
      <c r="DG2" s="3759" t="s">
        <v>683</v>
      </c>
      <c r="DH2" s="3760"/>
      <c r="DI2" s="3761"/>
      <c r="DO2" s="3759" t="s">
        <v>79</v>
      </c>
      <c r="DP2" s="3760"/>
      <c r="DQ2" s="3761"/>
      <c r="DS2" s="3759" t="s">
        <v>763</v>
      </c>
      <c r="DT2" s="3760"/>
      <c r="DU2" s="3761"/>
      <c r="DW2" s="3759" t="s">
        <v>683</v>
      </c>
      <c r="DX2" s="3760"/>
      <c r="DY2" s="3761"/>
    </row>
    <row r="3" spans="1:129">
      <c r="C3" s="892" t="s">
        <v>754</v>
      </c>
      <c r="Q3" s="892" t="s">
        <v>754</v>
      </c>
      <c r="AB3" s="880" t="s">
        <v>759</v>
      </c>
      <c r="AC3" s="880"/>
      <c r="AK3" s="890" t="s">
        <v>758</v>
      </c>
      <c r="AL3" s="973">
        <v>-773849913</v>
      </c>
      <c r="AM3" s="888">
        <f>AL3-AL2</f>
        <v>2278352.720600009</v>
      </c>
      <c r="AN3" s="888">
        <f>AM3/12</f>
        <v>189862.72671666741</v>
      </c>
      <c r="AR3" s="3764" t="s">
        <v>754</v>
      </c>
      <c r="AS3" s="3764"/>
      <c r="AT3" s="3764"/>
      <c r="AU3" s="3764"/>
      <c r="AV3" s="3764"/>
      <c r="AW3" s="953"/>
      <c r="BA3" s="952">
        <v>283850</v>
      </c>
      <c r="BB3" s="951" t="s">
        <v>757</v>
      </c>
      <c r="BC3" s="950"/>
      <c r="BD3" s="950"/>
      <c r="BE3" s="950"/>
      <c r="BF3" s="949"/>
      <c r="BJ3" s="952">
        <v>283750</v>
      </c>
      <c r="BK3" s="951" t="s">
        <v>756</v>
      </c>
      <c r="BL3" s="950"/>
      <c r="BM3" s="950"/>
      <c r="BN3" s="950"/>
      <c r="BO3" s="949"/>
      <c r="BU3" s="952">
        <v>282919</v>
      </c>
      <c r="BV3" s="951" t="s">
        <v>755</v>
      </c>
      <c r="BW3" s="950"/>
      <c r="BX3" s="950"/>
      <c r="BY3" s="950"/>
      <c r="BZ3" s="949"/>
      <c r="CG3" s="477" t="s">
        <v>754</v>
      </c>
      <c r="CQ3" s="886" t="s">
        <v>62</v>
      </c>
      <c r="CR3" s="886" t="s">
        <v>672</v>
      </c>
      <c r="CW3" s="478" t="s">
        <v>810</v>
      </c>
      <c r="CY3" s="579" t="s">
        <v>686</v>
      </c>
      <c r="CZ3" s="579" t="s">
        <v>809</v>
      </c>
      <c r="DA3" s="579" t="s">
        <v>24</v>
      </c>
      <c r="DB3" s="579"/>
      <c r="DC3" s="579" t="s">
        <v>686</v>
      </c>
      <c r="DD3" s="579" t="s">
        <v>809</v>
      </c>
      <c r="DE3" s="579" t="s">
        <v>24</v>
      </c>
      <c r="DF3" s="579"/>
      <c r="DG3" s="579" t="s">
        <v>686</v>
      </c>
      <c r="DH3" s="579" t="s">
        <v>809</v>
      </c>
      <c r="DI3" s="579" t="s">
        <v>24</v>
      </c>
      <c r="DM3" s="478" t="s">
        <v>810</v>
      </c>
      <c r="DO3" s="579" t="s">
        <v>686</v>
      </c>
      <c r="DP3" s="579" t="s">
        <v>809</v>
      </c>
      <c r="DQ3" s="579" t="s">
        <v>24</v>
      </c>
      <c r="DR3" s="579"/>
      <c r="DS3" s="579" t="s">
        <v>686</v>
      </c>
      <c r="DT3" s="579" t="s">
        <v>809</v>
      </c>
      <c r="DU3" s="579" t="s">
        <v>24</v>
      </c>
      <c r="DV3" s="579"/>
      <c r="DW3" s="579" t="s">
        <v>686</v>
      </c>
      <c r="DX3" s="579" t="s">
        <v>809</v>
      </c>
      <c r="DY3" s="579" t="s">
        <v>24</v>
      </c>
    </row>
    <row r="4" spans="1:129">
      <c r="AB4" s="880" t="s">
        <v>753</v>
      </c>
      <c r="AC4" s="880"/>
      <c r="AK4" s="890" t="s">
        <v>752</v>
      </c>
      <c r="AL4" s="973">
        <v>-770112770</v>
      </c>
      <c r="AM4" s="888">
        <f>AL4-AL2</f>
        <v>6015495.720600009</v>
      </c>
      <c r="AN4" s="888">
        <f>AM4/12</f>
        <v>501291.31005000073</v>
      </c>
      <c r="AS4" s="935"/>
      <c r="AT4" s="935"/>
      <c r="BA4" s="948"/>
      <c r="BB4" s="947" t="s">
        <v>751</v>
      </c>
      <c r="BC4" s="947" t="s">
        <v>750</v>
      </c>
      <c r="BD4" s="947"/>
      <c r="BF4" s="946"/>
      <c r="BJ4" s="948"/>
      <c r="BK4" s="947" t="s">
        <v>751</v>
      </c>
      <c r="BL4" s="947" t="s">
        <v>750</v>
      </c>
      <c r="BM4" s="947"/>
      <c r="BO4" s="946"/>
      <c r="BU4" s="948"/>
      <c r="BV4" s="947" t="s">
        <v>751</v>
      </c>
      <c r="BW4" s="947" t="s">
        <v>750</v>
      </c>
      <c r="BX4" s="947"/>
      <c r="BZ4" s="946"/>
      <c r="CQ4" s="477" t="s">
        <v>672</v>
      </c>
      <c r="CR4" s="992">
        <f>'G-1.01 DFIT'!DU8</f>
        <v>49301636</v>
      </c>
      <c r="CW4" s="1006">
        <v>182324</v>
      </c>
      <c r="CX4" s="229" t="s">
        <v>808</v>
      </c>
      <c r="CY4" s="1001">
        <f t="shared" ref="CY4:CY16" si="0">SUM(DC4,DG4)</f>
        <v>0</v>
      </c>
      <c r="CZ4" s="1001">
        <f t="shared" ref="CZ4:CZ16" si="1">SUM(DD4,DH4)</f>
        <v>7350000</v>
      </c>
      <c r="DA4" s="1001">
        <f t="shared" ref="DA4:DA16" si="2">SUM(CY4:CZ4)</f>
        <v>7350000</v>
      </c>
      <c r="DB4" s="1001"/>
      <c r="DC4" s="1003">
        <v>0</v>
      </c>
      <c r="DD4" s="1003">
        <v>4733400</v>
      </c>
      <c r="DE4" s="1001">
        <f t="shared" ref="DE4:DE16" si="3">SUM(DC4:DD4)</f>
        <v>4733400</v>
      </c>
      <c r="DF4" s="1001"/>
      <c r="DG4" s="1003">
        <v>0</v>
      </c>
      <c r="DH4" s="1003">
        <v>2616600</v>
      </c>
      <c r="DI4" s="1001">
        <f t="shared" ref="DI4:DI16" si="4">SUM(DG4:DH4)</f>
        <v>2616600</v>
      </c>
      <c r="DM4" s="1006">
        <v>302000</v>
      </c>
      <c r="DN4" s="229" t="s">
        <v>806</v>
      </c>
      <c r="DO4" s="1001">
        <f t="shared" ref="DO4:DP7" si="5">SUM(DS4,DW4)</f>
        <v>0</v>
      </c>
      <c r="DP4" s="1001">
        <f t="shared" si="5"/>
        <v>0</v>
      </c>
      <c r="DQ4" s="1001">
        <f>SUM(DO4:DP4)</f>
        <v>0</v>
      </c>
      <c r="DR4" s="1001"/>
      <c r="DS4" s="1004">
        <v>0</v>
      </c>
      <c r="DT4" s="1004">
        <v>0</v>
      </c>
      <c r="DU4" s="1001">
        <f>SUM(DS4:DT4)</f>
        <v>0</v>
      </c>
      <c r="DV4" s="1001"/>
      <c r="DW4" s="1004">
        <v>0</v>
      </c>
      <c r="DX4" s="1004">
        <v>0</v>
      </c>
      <c r="DY4" s="1001">
        <f>SUM(DW4:DX4)</f>
        <v>0</v>
      </c>
    </row>
    <row r="5" spans="1:129" ht="38.25">
      <c r="X5" s="979" t="s">
        <v>749</v>
      </c>
      <c r="AB5" s="895"/>
      <c r="AC5" s="895"/>
      <c r="AQ5" s="945"/>
      <c r="AR5" s="940"/>
      <c r="AS5" s="880" t="s">
        <v>659</v>
      </c>
      <c r="AT5" s="880"/>
      <c r="AU5" s="940" t="s">
        <v>748</v>
      </c>
      <c r="AV5" s="940" t="s">
        <v>695</v>
      </c>
      <c r="AW5" s="940" t="s">
        <v>695</v>
      </c>
      <c r="BA5" s="943" t="s">
        <v>679</v>
      </c>
      <c r="BB5" s="939" t="s">
        <v>744</v>
      </c>
      <c r="BC5" s="939" t="s">
        <v>743</v>
      </c>
      <c r="BD5" s="939" t="s">
        <v>742</v>
      </c>
      <c r="BE5" s="939" t="s">
        <v>747</v>
      </c>
      <c r="BF5" s="942" t="s">
        <v>745</v>
      </c>
      <c r="BJ5" s="943" t="s">
        <v>679</v>
      </c>
      <c r="BK5" s="939" t="s">
        <v>744</v>
      </c>
      <c r="BL5" s="939" t="s">
        <v>743</v>
      </c>
      <c r="BM5" s="939" t="s">
        <v>742</v>
      </c>
      <c r="BN5" s="939" t="s">
        <v>741</v>
      </c>
      <c r="BO5" s="942" t="s">
        <v>740</v>
      </c>
      <c r="BP5" s="941" t="s">
        <v>746</v>
      </c>
      <c r="BQ5" s="941" t="s">
        <v>745</v>
      </c>
      <c r="BU5" s="943" t="s">
        <v>679</v>
      </c>
      <c r="BV5" s="939" t="s">
        <v>744</v>
      </c>
      <c r="BW5" s="939" t="s">
        <v>743</v>
      </c>
      <c r="BX5" s="939" t="s">
        <v>742</v>
      </c>
      <c r="BY5" s="939" t="s">
        <v>741</v>
      </c>
      <c r="BZ5" s="942" t="s">
        <v>740</v>
      </c>
      <c r="CA5" s="941"/>
      <c r="CB5" s="941"/>
      <c r="CG5" s="477" t="s">
        <v>674</v>
      </c>
      <c r="CQ5" s="477" t="s">
        <v>673</v>
      </c>
      <c r="CR5" s="994">
        <f>-'G-1.01 DFIT'!DT35</f>
        <v>-43763396.210259989</v>
      </c>
      <c r="CW5" s="1006">
        <v>182325</v>
      </c>
      <c r="CX5" s="229" t="s">
        <v>717</v>
      </c>
      <c r="CY5" s="1001">
        <f t="shared" si="0"/>
        <v>0</v>
      </c>
      <c r="CZ5" s="1001">
        <f t="shared" si="1"/>
        <v>2000000</v>
      </c>
      <c r="DA5" s="1001">
        <f t="shared" si="2"/>
        <v>2000000</v>
      </c>
      <c r="DB5" s="1001"/>
      <c r="DC5" s="1003">
        <v>0</v>
      </c>
      <c r="DD5" s="1003">
        <v>1288000</v>
      </c>
      <c r="DE5" s="1001">
        <f t="shared" si="3"/>
        <v>1288000</v>
      </c>
      <c r="DF5" s="1001"/>
      <c r="DG5" s="1003">
        <v>0</v>
      </c>
      <c r="DH5" s="1003">
        <v>712000</v>
      </c>
      <c r="DI5" s="1001">
        <f t="shared" si="4"/>
        <v>712000</v>
      </c>
      <c r="DM5" s="1006">
        <v>303000</v>
      </c>
      <c r="DN5" s="229" t="s">
        <v>805</v>
      </c>
      <c r="DO5" s="1001">
        <f t="shared" si="5"/>
        <v>1794111</v>
      </c>
      <c r="DP5" s="1001">
        <f t="shared" si="5"/>
        <v>1332909</v>
      </c>
      <c r="DQ5" s="1001">
        <f>SUM(DO5:DP5)</f>
        <v>3127020</v>
      </c>
      <c r="DR5" s="1001"/>
      <c r="DS5" s="1004">
        <v>1022594</v>
      </c>
      <c r="DT5" s="1004">
        <v>956309</v>
      </c>
      <c r="DU5" s="1001">
        <f>SUM(DS5:DT5)</f>
        <v>1978903</v>
      </c>
      <c r="DV5" s="1001"/>
      <c r="DW5" s="1004">
        <v>771517</v>
      </c>
      <c r="DX5" s="1004">
        <v>376600</v>
      </c>
      <c r="DY5" s="1001">
        <f>SUM(DW5:DX5)</f>
        <v>1148117</v>
      </c>
    </row>
    <row r="6" spans="1:129">
      <c r="C6" s="880" t="s">
        <v>739</v>
      </c>
      <c r="D6" s="880" t="s">
        <v>787</v>
      </c>
      <c r="E6" s="880"/>
      <c r="F6" s="880"/>
      <c r="Q6" s="880" t="s">
        <v>24</v>
      </c>
      <c r="R6" s="880"/>
      <c r="S6" s="880"/>
      <c r="T6" s="880"/>
      <c r="X6" s="880"/>
      <c r="Y6" s="880">
        <v>282900</v>
      </c>
      <c r="Z6" s="880">
        <v>283000</v>
      </c>
      <c r="AA6" s="880" t="s">
        <v>24</v>
      </c>
      <c r="AB6" s="880"/>
      <c r="AC6" s="880">
        <v>282900</v>
      </c>
      <c r="AD6" s="880">
        <v>282900</v>
      </c>
      <c r="AE6" s="880">
        <v>282900</v>
      </c>
      <c r="AF6" s="880">
        <v>282900</v>
      </c>
      <c r="AG6" s="880"/>
      <c r="AH6" s="880"/>
      <c r="AI6" s="880">
        <v>282900</v>
      </c>
      <c r="AQ6" s="940"/>
      <c r="AR6" s="940"/>
      <c r="AS6" s="880" t="s">
        <v>738</v>
      </c>
      <c r="AT6" s="880"/>
      <c r="AU6" s="880"/>
      <c r="AV6" s="880"/>
      <c r="AW6" s="880"/>
      <c r="BA6" s="928">
        <f>'G-1.01 DFIT'!X9</f>
        <v>202206</v>
      </c>
      <c r="BB6" s="989"/>
      <c r="BC6" s="927"/>
      <c r="BD6" s="926">
        <v>-1353755.21</v>
      </c>
      <c r="BE6" s="988">
        <v>0</v>
      </c>
      <c r="BF6" s="925">
        <f t="shared" ref="BF6:BF18" si="6">SUM(BD6:BE6)</f>
        <v>-1353755.21</v>
      </c>
      <c r="BJ6" s="928">
        <v>202206</v>
      </c>
      <c r="BK6" s="989"/>
      <c r="BL6" s="939"/>
      <c r="BM6" s="926">
        <v>399975.44</v>
      </c>
      <c r="BN6" s="991">
        <v>0</v>
      </c>
      <c r="BO6" s="925">
        <f t="shared" ref="BO6:BO18" si="7">SUM(BM6:BN6)</f>
        <v>399975.44</v>
      </c>
      <c r="BP6" s="990"/>
      <c r="BQ6" s="924">
        <f t="shared" ref="BQ6:BQ18" si="8">SUM(BO6:BP6)</f>
        <v>399975.44</v>
      </c>
      <c r="BU6" s="928">
        <v>202206</v>
      </c>
      <c r="BV6" s="989"/>
      <c r="BW6" s="939"/>
      <c r="BX6" s="926">
        <v>-4268191</v>
      </c>
      <c r="BY6" s="991">
        <v>0</v>
      </c>
      <c r="BZ6" s="925">
        <f t="shared" ref="BZ6:BZ18" si="9">SUM(BX6:BY6)</f>
        <v>-4268191</v>
      </c>
      <c r="CA6" s="990"/>
      <c r="CB6" s="924">
        <v>-4268191</v>
      </c>
      <c r="CC6" s="924">
        <v>0</v>
      </c>
      <c r="CJ6" s="892" t="s">
        <v>80</v>
      </c>
      <c r="CK6" s="891" t="s">
        <v>672</v>
      </c>
      <c r="CL6" s="891" t="s">
        <v>785</v>
      </c>
      <c r="CM6" s="891" t="s">
        <v>45</v>
      </c>
      <c r="CN6" s="891" t="s">
        <v>654</v>
      </c>
      <c r="CO6" s="891" t="s">
        <v>82</v>
      </c>
      <c r="CR6" s="992"/>
      <c r="CW6" s="1006">
        <v>182333</v>
      </c>
      <c r="CX6" s="229" t="s">
        <v>661</v>
      </c>
      <c r="CY6" s="1001">
        <f t="shared" si="0"/>
        <v>0</v>
      </c>
      <c r="CZ6" s="1001">
        <f t="shared" si="1"/>
        <v>1015666</v>
      </c>
      <c r="DA6" s="1001">
        <f t="shared" si="2"/>
        <v>1015666</v>
      </c>
      <c r="DB6" s="1001"/>
      <c r="DC6" s="1003">
        <v>0</v>
      </c>
      <c r="DD6" s="1003">
        <v>654089</v>
      </c>
      <c r="DE6" s="1001">
        <f t="shared" si="3"/>
        <v>654089</v>
      </c>
      <c r="DF6" s="1001"/>
      <c r="DG6" s="1003">
        <v>0</v>
      </c>
      <c r="DH6" s="1003">
        <v>361577</v>
      </c>
      <c r="DI6" s="1001">
        <f t="shared" si="4"/>
        <v>361577</v>
      </c>
      <c r="DM6" s="1006" t="s">
        <v>305</v>
      </c>
      <c r="DN6" s="229" t="s">
        <v>804</v>
      </c>
      <c r="DO6" s="1001">
        <f t="shared" si="5"/>
        <v>4302313</v>
      </c>
      <c r="DP6" s="1001">
        <f t="shared" si="5"/>
        <v>59962117</v>
      </c>
      <c r="DQ6" s="1001">
        <f>SUM(DO6:DP6)</f>
        <v>64264430</v>
      </c>
      <c r="DR6" s="1001"/>
      <c r="DS6" s="1004">
        <v>4302313</v>
      </c>
      <c r="DT6" s="1004">
        <v>43020420</v>
      </c>
      <c r="DU6" s="1001">
        <f>SUM(DS6:DT6)</f>
        <v>47322733</v>
      </c>
      <c r="DV6" s="1001"/>
      <c r="DW6" s="1004">
        <v>0</v>
      </c>
      <c r="DX6" s="1004">
        <v>16941697</v>
      </c>
      <c r="DY6" s="1001">
        <f>SUM(DW6:DX6)</f>
        <v>16941697</v>
      </c>
    </row>
    <row r="7" spans="1:129">
      <c r="C7" s="892" t="s">
        <v>737</v>
      </c>
      <c r="D7" s="892" t="s">
        <v>79</v>
      </c>
      <c r="E7" s="892" t="s">
        <v>80</v>
      </c>
      <c r="F7" s="892" t="s">
        <v>81</v>
      </c>
      <c r="Q7" s="892" t="s">
        <v>79</v>
      </c>
      <c r="R7" s="892" t="s">
        <v>729</v>
      </c>
      <c r="S7" s="892" t="s">
        <v>736</v>
      </c>
      <c r="T7" s="892" t="s">
        <v>735</v>
      </c>
      <c r="Y7" s="880" t="s">
        <v>682</v>
      </c>
      <c r="Z7" s="880" t="s">
        <v>682</v>
      </c>
      <c r="AA7" s="880" t="s">
        <v>682</v>
      </c>
      <c r="AB7" s="880"/>
      <c r="AC7" s="880" t="s">
        <v>682</v>
      </c>
      <c r="AD7" s="880" t="s">
        <v>681</v>
      </c>
      <c r="AE7" s="880" t="s">
        <v>680</v>
      </c>
      <c r="AF7" s="880" t="s">
        <v>680</v>
      </c>
      <c r="AI7" s="880" t="s">
        <v>675</v>
      </c>
      <c r="AQ7" s="940"/>
      <c r="AR7" s="880"/>
      <c r="AS7" s="892">
        <v>283200</v>
      </c>
      <c r="AT7" s="935"/>
      <c r="AU7" s="892">
        <v>283850</v>
      </c>
      <c r="AV7" s="938">
        <v>283750</v>
      </c>
      <c r="AW7" s="938">
        <v>282919</v>
      </c>
      <c r="BA7" s="928">
        <f>'G-1.01 DFIT'!X10</f>
        <v>202207</v>
      </c>
      <c r="BB7" s="927">
        <f t="shared" ref="BB7:BB18" si="10">BD6</f>
        <v>-1353755.21</v>
      </c>
      <c r="BC7" s="927">
        <v>2580.83</v>
      </c>
      <c r="BD7" s="926">
        <v>-1351174.38</v>
      </c>
      <c r="BE7" s="988">
        <v>0</v>
      </c>
      <c r="BF7" s="925">
        <f t="shared" si="6"/>
        <v>-1351174.38</v>
      </c>
      <c r="BJ7" s="928">
        <v>202207</v>
      </c>
      <c r="BK7" s="927">
        <f t="shared" ref="BK7:BK18" si="11">BM6</f>
        <v>399975.44</v>
      </c>
      <c r="BL7" s="927">
        <v>0</v>
      </c>
      <c r="BM7" s="926">
        <v>399975.44</v>
      </c>
      <c r="BN7" s="991">
        <v>0</v>
      </c>
      <c r="BO7" s="925">
        <f t="shared" si="7"/>
        <v>399975.44</v>
      </c>
      <c r="BP7" s="990"/>
      <c r="BQ7" s="924">
        <f t="shared" si="8"/>
        <v>399975.44</v>
      </c>
      <c r="BU7" s="928">
        <v>202207</v>
      </c>
      <c r="BV7" s="927">
        <f t="shared" ref="BV7:BV18" si="12">BX6</f>
        <v>-4268191</v>
      </c>
      <c r="BW7" s="927">
        <v>0</v>
      </c>
      <c r="BX7" s="926">
        <v>-4268191</v>
      </c>
      <c r="BY7" s="991">
        <v>0</v>
      </c>
      <c r="BZ7" s="925">
        <f t="shared" si="9"/>
        <v>-4268191</v>
      </c>
      <c r="CA7" s="990"/>
      <c r="CB7" s="924">
        <v>-4268191</v>
      </c>
      <c r="CC7" s="924">
        <v>0</v>
      </c>
      <c r="CK7" s="890"/>
      <c r="CL7" s="890"/>
      <c r="CM7" s="890"/>
      <c r="CR7" s="992">
        <f>SUM(CR4:CR6)</f>
        <v>5538239.7897400111</v>
      </c>
      <c r="CW7" s="1006">
        <v>182381</v>
      </c>
      <c r="CX7" s="229" t="s">
        <v>807</v>
      </c>
      <c r="CY7" s="1001">
        <f t="shared" si="0"/>
        <v>0</v>
      </c>
      <c r="CZ7" s="1001">
        <f t="shared" si="1"/>
        <v>27443492</v>
      </c>
      <c r="DA7" s="1001">
        <f t="shared" si="2"/>
        <v>27443492</v>
      </c>
      <c r="DB7" s="1001"/>
      <c r="DC7" s="1003">
        <v>0</v>
      </c>
      <c r="DD7" s="1003">
        <v>17673609</v>
      </c>
      <c r="DE7" s="1001">
        <f t="shared" si="3"/>
        <v>17673609</v>
      </c>
      <c r="DF7" s="1001"/>
      <c r="DG7" s="1003">
        <v>0</v>
      </c>
      <c r="DH7" s="1003">
        <v>9769883</v>
      </c>
      <c r="DI7" s="1001">
        <f t="shared" si="4"/>
        <v>9769883</v>
      </c>
      <c r="DM7" s="1006">
        <v>303110</v>
      </c>
      <c r="DN7" s="229" t="s">
        <v>802</v>
      </c>
      <c r="DO7" s="1001">
        <f t="shared" si="5"/>
        <v>0</v>
      </c>
      <c r="DP7" s="1001">
        <f t="shared" si="5"/>
        <v>0</v>
      </c>
      <c r="DQ7" s="1001">
        <f>SUM(DO7:DP7)</f>
        <v>0</v>
      </c>
      <c r="DR7" s="1001"/>
      <c r="DS7" s="1004">
        <v>0</v>
      </c>
      <c r="DT7" s="1004">
        <v>0</v>
      </c>
      <c r="DU7" s="1001">
        <f>SUM(DS7:DT7)</f>
        <v>0</v>
      </c>
      <c r="DV7" s="1001"/>
      <c r="DW7" s="1004">
        <v>0</v>
      </c>
      <c r="DX7" s="1004">
        <v>0</v>
      </c>
      <c r="DY7" s="1001">
        <f>SUM(DW7:DX7)</f>
        <v>0</v>
      </c>
    </row>
    <row r="8" spans="1:129">
      <c r="A8" s="477" t="s">
        <v>734</v>
      </c>
      <c r="H8" s="880"/>
      <c r="I8" s="880" t="s">
        <v>733</v>
      </c>
      <c r="N8" s="477" t="s">
        <v>729</v>
      </c>
      <c r="O8" s="937"/>
      <c r="P8" s="937"/>
      <c r="Q8" s="879">
        <f>'G-1.01 DFIT'!AD67</f>
        <v>-534076856.95597672</v>
      </c>
      <c r="R8" s="902">
        <f>Q8</f>
        <v>-534076856.95597672</v>
      </c>
      <c r="X8" s="893" t="s">
        <v>679</v>
      </c>
      <c r="Y8" s="892" t="s">
        <v>678</v>
      </c>
      <c r="Z8" s="892" t="s">
        <v>678</v>
      </c>
      <c r="AA8" s="892" t="s">
        <v>678</v>
      </c>
      <c r="AB8" s="880"/>
      <c r="AC8" s="892" t="s">
        <v>677</v>
      </c>
      <c r="AD8" s="892" t="s">
        <v>677</v>
      </c>
      <c r="AE8" s="892" t="s">
        <v>677</v>
      </c>
      <c r="AF8" s="892" t="s">
        <v>676</v>
      </c>
      <c r="AG8" s="893"/>
      <c r="AH8" s="892" t="s">
        <v>198</v>
      </c>
      <c r="AI8" s="892" t="s">
        <v>675</v>
      </c>
      <c r="AQ8" s="940"/>
      <c r="AR8" s="880"/>
      <c r="AS8" s="935" t="s">
        <v>732</v>
      </c>
      <c r="AT8" s="935"/>
      <c r="AU8" s="935" t="s">
        <v>731</v>
      </c>
      <c r="AV8" s="935" t="s">
        <v>731</v>
      </c>
      <c r="AW8" s="935" t="s">
        <v>731</v>
      </c>
      <c r="BA8" s="928">
        <f>'G-1.01 DFIT'!X11</f>
        <v>202208</v>
      </c>
      <c r="BB8" s="927">
        <f t="shared" si="10"/>
        <v>-1351174.38</v>
      </c>
      <c r="BC8" s="927">
        <v>2580.83</v>
      </c>
      <c r="BD8" s="926">
        <v>-1348593.55</v>
      </c>
      <c r="BE8" s="988">
        <v>0</v>
      </c>
      <c r="BF8" s="925">
        <f t="shared" si="6"/>
        <v>-1348593.55</v>
      </c>
      <c r="BJ8" s="928">
        <v>202208</v>
      </c>
      <c r="BK8" s="927">
        <f t="shared" si="11"/>
        <v>399975.44</v>
      </c>
      <c r="BL8" s="927">
        <v>0</v>
      </c>
      <c r="BM8" s="926">
        <v>399975.44</v>
      </c>
      <c r="BN8" s="991">
        <v>0</v>
      </c>
      <c r="BO8" s="925">
        <f t="shared" si="7"/>
        <v>399975.44</v>
      </c>
      <c r="BP8" s="990"/>
      <c r="BQ8" s="924">
        <f t="shared" si="8"/>
        <v>399975.44</v>
      </c>
      <c r="BU8" s="928">
        <v>202208</v>
      </c>
      <c r="BV8" s="927">
        <f t="shared" si="12"/>
        <v>-4268191</v>
      </c>
      <c r="BW8" s="927">
        <v>0</v>
      </c>
      <c r="BX8" s="926">
        <v>-4268191</v>
      </c>
      <c r="BY8" s="991">
        <v>0</v>
      </c>
      <c r="BZ8" s="925">
        <f t="shared" si="9"/>
        <v>-4268191</v>
      </c>
      <c r="CA8" s="990"/>
      <c r="CB8" s="924">
        <v>-4463792</v>
      </c>
      <c r="CC8" s="924">
        <v>-195601</v>
      </c>
      <c r="CG8" s="477" t="s">
        <v>672</v>
      </c>
      <c r="CI8" s="880" t="s">
        <v>655</v>
      </c>
      <c r="CJ8" s="879">
        <f>'G-1.01 DFIT'!E10</f>
        <v>-437203.62241999997</v>
      </c>
      <c r="CK8" s="879">
        <f>IF($CI8="I",$CJ8,0)</f>
        <v>-437203.62241999997</v>
      </c>
      <c r="CL8" s="879">
        <f t="shared" ref="CL8:CL13" si="13">IF($CI8="U",$CJ8,0)</f>
        <v>0</v>
      </c>
      <c r="CM8" s="879">
        <f t="shared" ref="CM8:CM13" si="14">IF($CI8="D",$CJ8,0)</f>
        <v>0</v>
      </c>
      <c r="CN8" s="879">
        <f>IF($CI8="O",$CJ8,0)</f>
        <v>0</v>
      </c>
      <c r="CW8" s="1006">
        <v>302000</v>
      </c>
      <c r="CX8" s="229" t="s">
        <v>806</v>
      </c>
      <c r="CY8" s="1001">
        <f t="shared" si="0"/>
        <v>2724717</v>
      </c>
      <c r="CZ8" s="1001">
        <f t="shared" si="1"/>
        <v>44049218</v>
      </c>
      <c r="DA8" s="1001">
        <f t="shared" si="2"/>
        <v>46773935</v>
      </c>
      <c r="DB8" s="1001"/>
      <c r="DC8" s="1003">
        <v>2724717</v>
      </c>
      <c r="DD8" s="1003">
        <v>28367696</v>
      </c>
      <c r="DE8" s="1001">
        <f t="shared" si="3"/>
        <v>31092413</v>
      </c>
      <c r="DF8" s="1001"/>
      <c r="DG8" s="1003">
        <v>0</v>
      </c>
      <c r="DH8" s="1003">
        <v>15681522</v>
      </c>
      <c r="DI8" s="1001">
        <f t="shared" si="4"/>
        <v>15681522</v>
      </c>
      <c r="DN8" s="229" t="s">
        <v>307</v>
      </c>
      <c r="DO8" s="1005">
        <f>SUM(DO4:DO7)</f>
        <v>6096424</v>
      </c>
      <c r="DP8" s="1005">
        <f>SUM(DP4:DP7)</f>
        <v>61295026</v>
      </c>
      <c r="DQ8" s="1005">
        <f>SUM(DQ4:DQ7)</f>
        <v>67391450</v>
      </c>
      <c r="DR8" s="1001"/>
      <c r="DS8" s="1005">
        <f>SUM(DS4:DS7)</f>
        <v>5324907</v>
      </c>
      <c r="DT8" s="1005">
        <f>SUM(DT4:DT7)</f>
        <v>43976729</v>
      </c>
      <c r="DU8" s="1005">
        <f>SUM(DU4:DU7)</f>
        <v>49301636</v>
      </c>
      <c r="DV8" s="1001"/>
      <c r="DW8" s="1005">
        <f>SUM(DW4:DW7)</f>
        <v>771517</v>
      </c>
      <c r="DX8" s="1005">
        <f>SUM(DX4:DX7)</f>
        <v>17318297</v>
      </c>
      <c r="DY8" s="1005">
        <f>SUM(DY4:DY7)</f>
        <v>18089814</v>
      </c>
    </row>
    <row r="9" spans="1:129">
      <c r="I9" s="936" t="s">
        <v>730</v>
      </c>
      <c r="Q9" s="879"/>
      <c r="R9" s="879"/>
      <c r="S9" s="879"/>
      <c r="T9" s="879"/>
      <c r="X9" s="182">
        <v>202206</v>
      </c>
      <c r="Y9" s="984">
        <v>-76158903.540000007</v>
      </c>
      <c r="Z9" s="983">
        <v>0</v>
      </c>
      <c r="AA9" s="973">
        <f t="shared" ref="AA9:AA21" si="15">SUM(Y9:Z9)</f>
        <v>-76158903.540000007</v>
      </c>
      <c r="AB9" s="973"/>
      <c r="AC9" s="984">
        <v>-847756.82</v>
      </c>
      <c r="AD9" s="984">
        <v>-533063155.48000002</v>
      </c>
      <c r="AE9" s="984">
        <v>-103515627.22</v>
      </c>
      <c r="AF9" s="984">
        <v>-60887989.909999996</v>
      </c>
      <c r="AH9" s="973">
        <f t="shared" ref="AH9:AH21" si="16">SUM(AA9:AF9)</f>
        <v>-774473432.97000003</v>
      </c>
      <c r="AI9" s="983">
        <v>0</v>
      </c>
      <c r="AQ9" s="940"/>
      <c r="AR9" s="890">
        <v>202206</v>
      </c>
      <c r="AS9" s="879">
        <v>0</v>
      </c>
      <c r="AT9" s="879"/>
      <c r="AU9" s="879">
        <f>'G-1.01 DFIT'!BF6</f>
        <v>-1353755.21</v>
      </c>
      <c r="AV9" s="879">
        <f>'G-1.01 DFIT'!BQ6</f>
        <v>399975.44</v>
      </c>
      <c r="AW9" s="879">
        <f>'G-1.01 DFIT'!BZ6</f>
        <v>-4268191</v>
      </c>
      <c r="BA9" s="928">
        <f>'G-1.01 DFIT'!X12</f>
        <v>202209</v>
      </c>
      <c r="BB9" s="927">
        <f t="shared" si="10"/>
        <v>-1348593.55</v>
      </c>
      <c r="BC9" s="927">
        <v>2580.83</v>
      </c>
      <c r="BD9" s="926">
        <v>-1346012.72</v>
      </c>
      <c r="BE9" s="988">
        <v>0</v>
      </c>
      <c r="BF9" s="925">
        <f t="shared" si="6"/>
        <v>-1346012.72</v>
      </c>
      <c r="BJ9" s="928">
        <v>202209</v>
      </c>
      <c r="BK9" s="927">
        <f t="shared" si="11"/>
        <v>399975.44</v>
      </c>
      <c r="BL9" s="927">
        <v>68069</v>
      </c>
      <c r="BM9" s="926">
        <v>468044.44</v>
      </c>
      <c r="BN9" s="991">
        <v>0</v>
      </c>
      <c r="BO9" s="925">
        <f t="shared" si="7"/>
        <v>468044.44</v>
      </c>
      <c r="BP9" s="990"/>
      <c r="BQ9" s="924">
        <f t="shared" si="8"/>
        <v>468044.44</v>
      </c>
      <c r="BU9" s="928">
        <v>202209</v>
      </c>
      <c r="BV9" s="927">
        <f t="shared" si="12"/>
        <v>-4268191</v>
      </c>
      <c r="BW9" s="927">
        <v>-195601</v>
      </c>
      <c r="BX9" s="926">
        <v>-4463792</v>
      </c>
      <c r="BY9" s="991">
        <v>0</v>
      </c>
      <c r="BZ9" s="925">
        <f t="shared" si="9"/>
        <v>-4463792</v>
      </c>
      <c r="CA9" s="990"/>
      <c r="CB9" s="924">
        <v>-4463792</v>
      </c>
      <c r="CC9" s="924">
        <v>0</v>
      </c>
      <c r="CG9" s="477" t="s">
        <v>785</v>
      </c>
      <c r="CI9" s="880" t="s">
        <v>789</v>
      </c>
      <c r="CJ9" s="879">
        <f>'G-1.01 DFIT'!E11</f>
        <v>-3285545.2399999998</v>
      </c>
      <c r="CK9" s="879">
        <f>IF($CI9="I",$CJ9,0)</f>
        <v>0</v>
      </c>
      <c r="CL9" s="879">
        <f t="shared" si="13"/>
        <v>-3285545.2399999998</v>
      </c>
      <c r="CM9" s="879">
        <f t="shared" si="14"/>
        <v>0</v>
      </c>
      <c r="CN9" s="879">
        <f>IF($CI9="O",$CJ9,0)</f>
        <v>0</v>
      </c>
      <c r="CQ9" s="886" t="s">
        <v>62</v>
      </c>
      <c r="CR9" s="886" t="s">
        <v>785</v>
      </c>
      <c r="CW9" s="1006">
        <v>303000</v>
      </c>
      <c r="CX9" s="229" t="s">
        <v>805</v>
      </c>
      <c r="CY9" s="1001">
        <f t="shared" si="0"/>
        <v>319716</v>
      </c>
      <c r="CZ9" s="1001">
        <f t="shared" si="1"/>
        <v>16240555</v>
      </c>
      <c r="DA9" s="1001">
        <f t="shared" si="2"/>
        <v>16560271</v>
      </c>
      <c r="DB9" s="1001"/>
      <c r="DC9" s="1003">
        <v>319716</v>
      </c>
      <c r="DD9" s="1003">
        <v>10569861</v>
      </c>
      <c r="DE9" s="1001">
        <f t="shared" si="3"/>
        <v>10889577</v>
      </c>
      <c r="DF9" s="1001"/>
      <c r="DG9" s="1003">
        <v>0</v>
      </c>
      <c r="DH9" s="1003">
        <v>5670694</v>
      </c>
      <c r="DI9" s="1001">
        <f t="shared" si="4"/>
        <v>5670694</v>
      </c>
      <c r="DO9" s="1001"/>
      <c r="DP9" s="1001"/>
      <c r="DQ9" s="1001"/>
      <c r="DR9" s="1001"/>
      <c r="DS9" s="1001"/>
      <c r="DT9" s="1001"/>
      <c r="DU9" s="1001"/>
      <c r="DV9" s="1001"/>
      <c r="DW9" s="1001"/>
      <c r="DX9" s="1001"/>
      <c r="DY9" s="1001"/>
    </row>
    <row r="10" spans="1:129">
      <c r="A10" s="477" t="s">
        <v>786</v>
      </c>
      <c r="B10" s="477" t="s">
        <v>672</v>
      </c>
      <c r="C10" s="880">
        <v>4</v>
      </c>
      <c r="D10" s="879">
        <f>ROUND('G-1.01 DFIT'!$S$10*J10,0)</f>
        <v>-609377</v>
      </c>
      <c r="E10" s="879">
        <f>D10*E34</f>
        <v>-437203.62241999997</v>
      </c>
      <c r="F10" s="879">
        <f>D10*F34</f>
        <v>-172173.37758</v>
      </c>
      <c r="H10" s="890" t="s">
        <v>672</v>
      </c>
      <c r="I10" s="965">
        <f>'G-1.01 DFIT'!DQ8-'G-1.01 DFIT'!DQ35</f>
        <v>6393769</v>
      </c>
      <c r="J10" s="964">
        <f>ROUND(I10/$I$14,8)</f>
        <v>5.9854699999999997E-3</v>
      </c>
      <c r="N10" s="477" t="s">
        <v>728</v>
      </c>
      <c r="Q10" s="879">
        <f>'G-1.01 DFIT'!AE67</f>
        <v>-101809321.63937648</v>
      </c>
      <c r="R10" s="879"/>
      <c r="S10" s="902">
        <f>Q10</f>
        <v>-101809321.63937648</v>
      </c>
      <c r="T10" s="879"/>
      <c r="X10" s="182">
        <f t="shared" ref="X10:X15" si="17">X9+1</f>
        <v>202207</v>
      </c>
      <c r="Y10" s="984">
        <v>-75731446.540000007</v>
      </c>
      <c r="Z10" s="983">
        <v>0</v>
      </c>
      <c r="AA10" s="973">
        <f t="shared" si="15"/>
        <v>-75731446.540000007</v>
      </c>
      <c r="AB10" s="973"/>
      <c r="AC10" s="984">
        <v>-845501.82</v>
      </c>
      <c r="AD10" s="984">
        <v>-533157747.48000002</v>
      </c>
      <c r="AE10" s="984">
        <v>-103645373.22</v>
      </c>
      <c r="AF10" s="984">
        <v>-60978368.909999996</v>
      </c>
      <c r="AH10" s="973">
        <f t="shared" si="16"/>
        <v>-774358437.97000003</v>
      </c>
      <c r="AI10" s="983">
        <v>0</v>
      </c>
      <c r="AJ10" s="888">
        <f t="shared" ref="AJ10:AJ21" si="18">AH10-AH9</f>
        <v>114995</v>
      </c>
      <c r="AK10" s="888"/>
      <c r="AQ10" s="985"/>
      <c r="AR10" s="890">
        <v>202306</v>
      </c>
      <c r="AS10" s="879">
        <v>0</v>
      </c>
      <c r="AT10" s="879"/>
      <c r="AU10" s="879">
        <f>'G-1.01 DFIT'!BF18</f>
        <v>-1323850.82</v>
      </c>
      <c r="AV10" s="879">
        <f>'G-1.01 DFIT'!BQ18</f>
        <v>-7184.3</v>
      </c>
      <c r="AW10" s="879">
        <f>'G-1.01 DFIT'!BZ18</f>
        <v>-6511185</v>
      </c>
      <c r="BA10" s="928">
        <f>'G-1.01 DFIT'!X13</f>
        <v>202210</v>
      </c>
      <c r="BB10" s="927">
        <f t="shared" si="10"/>
        <v>-1346012.72</v>
      </c>
      <c r="BC10" s="927">
        <v>2580.83</v>
      </c>
      <c r="BD10" s="926">
        <v>-1343431.89</v>
      </c>
      <c r="BE10" s="988">
        <v>0</v>
      </c>
      <c r="BF10" s="925">
        <f t="shared" si="6"/>
        <v>-1343431.89</v>
      </c>
      <c r="BJ10" s="928">
        <v>202210</v>
      </c>
      <c r="BK10" s="927">
        <f t="shared" si="11"/>
        <v>468044.44</v>
      </c>
      <c r="BL10" s="927">
        <v>0</v>
      </c>
      <c r="BM10" s="926">
        <v>468044.44</v>
      </c>
      <c r="BN10" s="991">
        <v>0</v>
      </c>
      <c r="BO10" s="925">
        <f t="shared" si="7"/>
        <v>468044.44</v>
      </c>
      <c r="BP10" s="990"/>
      <c r="BQ10" s="924">
        <f t="shared" si="8"/>
        <v>468044.44</v>
      </c>
      <c r="BU10" s="928">
        <v>202210</v>
      </c>
      <c r="BV10" s="927">
        <f t="shared" si="12"/>
        <v>-4463792</v>
      </c>
      <c r="BW10" s="927">
        <v>0</v>
      </c>
      <c r="BX10" s="926">
        <v>-4463792</v>
      </c>
      <c r="BY10" s="991">
        <v>0</v>
      </c>
      <c r="BZ10" s="925">
        <f t="shared" si="9"/>
        <v>-4463792</v>
      </c>
      <c r="CA10" s="990"/>
      <c r="CB10" s="924">
        <v>-4463792</v>
      </c>
      <c r="CC10" s="924">
        <v>0</v>
      </c>
      <c r="CG10" s="477" t="s">
        <v>45</v>
      </c>
      <c r="CI10" s="880" t="s">
        <v>670</v>
      </c>
      <c r="CJ10" s="879">
        <f>'G-1.01 DFIT'!E12</f>
        <v>-64457597.517719999</v>
      </c>
      <c r="CK10" s="879">
        <f>IF($CI10="I",$CJ10,0)</f>
        <v>0</v>
      </c>
      <c r="CL10" s="879">
        <f t="shared" si="13"/>
        <v>0</v>
      </c>
      <c r="CM10" s="879">
        <f t="shared" si="14"/>
        <v>-64457597.517719999</v>
      </c>
      <c r="CN10" s="879">
        <f>IF($CI10="O",$CJ10,0)</f>
        <v>0</v>
      </c>
      <c r="CQ10" s="477" t="s">
        <v>785</v>
      </c>
      <c r="CR10" s="992">
        <f>'G-1.01 DFIT'!DU10</f>
        <v>34499717</v>
      </c>
      <c r="CW10" s="1006">
        <v>303100</v>
      </c>
      <c r="CX10" s="229" t="s">
        <v>804</v>
      </c>
      <c r="CY10" s="1001">
        <f t="shared" si="0"/>
        <v>4126795</v>
      </c>
      <c r="CZ10" s="1001">
        <f t="shared" si="1"/>
        <v>111817414</v>
      </c>
      <c r="DA10" s="1001">
        <f t="shared" si="2"/>
        <v>115944209</v>
      </c>
      <c r="DB10" s="1001"/>
      <c r="DC10" s="1003">
        <v>4126795</v>
      </c>
      <c r="DD10" s="1003">
        <v>74853931</v>
      </c>
      <c r="DE10" s="1001">
        <f t="shared" si="3"/>
        <v>78980726</v>
      </c>
      <c r="DF10" s="1001"/>
      <c r="DG10" s="1003">
        <v>0</v>
      </c>
      <c r="DH10" s="1003">
        <v>36963483</v>
      </c>
      <c r="DI10" s="1001">
        <f t="shared" si="4"/>
        <v>36963483</v>
      </c>
      <c r="DN10" s="478" t="s">
        <v>785</v>
      </c>
      <c r="DO10" s="1001">
        <f t="shared" ref="DO10:DP12" si="19">SUM(DS10,DW10)</f>
        <v>0</v>
      </c>
      <c r="DP10" s="1001">
        <f t="shared" si="19"/>
        <v>50362209</v>
      </c>
      <c r="DQ10" s="1001">
        <f>SUM(DO10:DP10)</f>
        <v>50362209</v>
      </c>
      <c r="DR10" s="1001"/>
      <c r="DS10" s="1004">
        <v>0</v>
      </c>
      <c r="DT10" s="1004">
        <v>34499717</v>
      </c>
      <c r="DU10" s="1001">
        <f>SUM(DS10:DT10)</f>
        <v>34499717</v>
      </c>
      <c r="DV10" s="1001"/>
      <c r="DW10" s="1004">
        <v>0</v>
      </c>
      <c r="DX10" s="1004">
        <v>15862492</v>
      </c>
      <c r="DY10" s="1001">
        <f>SUM(DW10:DX10)</f>
        <v>15862492</v>
      </c>
    </row>
    <row r="11" spans="1:129">
      <c r="B11" s="477" t="s">
        <v>785</v>
      </c>
      <c r="C11" s="880">
        <v>1</v>
      </c>
      <c r="D11" s="879">
        <f>ROUND('G-1.01 DFIT'!$S$10*J11,0)</f>
        <v>-4799920</v>
      </c>
      <c r="E11" s="879">
        <f>D11*E33</f>
        <v>-3285545.2399999998</v>
      </c>
      <c r="F11" s="879">
        <f>D11*F33</f>
        <v>-1514374.76</v>
      </c>
      <c r="H11" s="890" t="s">
        <v>785</v>
      </c>
      <c r="I11" s="965">
        <f>'G-1.01 DFIT'!DQ10</f>
        <v>50362209</v>
      </c>
      <c r="J11" s="964">
        <f>ROUND(I11/$I$14,8)</f>
        <v>4.7146170000000001E-2</v>
      </c>
      <c r="Q11" s="879"/>
      <c r="R11" s="879"/>
      <c r="S11" s="879"/>
      <c r="T11" s="879"/>
      <c r="X11" s="182">
        <f t="shared" si="17"/>
        <v>202208</v>
      </c>
      <c r="Y11" s="984">
        <v>-75303989.540000007</v>
      </c>
      <c r="Z11" s="983">
        <v>0</v>
      </c>
      <c r="AA11" s="973">
        <f t="shared" si="15"/>
        <v>-75303989.540000007</v>
      </c>
      <c r="AB11" s="973"/>
      <c r="AC11" s="984">
        <v>-843246.82</v>
      </c>
      <c r="AD11" s="984">
        <v>-533252339.48000002</v>
      </c>
      <c r="AE11" s="984">
        <v>-103775119.22</v>
      </c>
      <c r="AF11" s="984">
        <v>-61068747.909999996</v>
      </c>
      <c r="AH11" s="973">
        <f t="shared" si="16"/>
        <v>-774243442.97000003</v>
      </c>
      <c r="AI11" s="983">
        <v>0</v>
      </c>
      <c r="AJ11" s="888">
        <f t="shared" si="18"/>
        <v>114995</v>
      </c>
      <c r="AK11" s="888"/>
      <c r="AQ11" s="985"/>
      <c r="AR11" s="933" t="s">
        <v>706</v>
      </c>
      <c r="AS11" s="934">
        <f>AS9+AS10</f>
        <v>0</v>
      </c>
      <c r="AT11" s="934"/>
      <c r="AU11" s="934">
        <f>AU9+AU10</f>
        <v>-2677606.0300000003</v>
      </c>
      <c r="AV11" s="934">
        <f>AV9+AV10</f>
        <v>392791.14</v>
      </c>
      <c r="AW11" s="934">
        <f>AW9+AW10</f>
        <v>-10779376</v>
      </c>
      <c r="BA11" s="928">
        <f>'G-1.01 DFIT'!X14</f>
        <v>202211</v>
      </c>
      <c r="BB11" s="927">
        <f t="shared" si="10"/>
        <v>-1343431.89</v>
      </c>
      <c r="BC11" s="927">
        <v>2580.83</v>
      </c>
      <c r="BD11" s="926">
        <v>-1340851.06</v>
      </c>
      <c r="BE11" s="988">
        <v>0</v>
      </c>
      <c r="BF11" s="925">
        <f t="shared" si="6"/>
        <v>-1340851.06</v>
      </c>
      <c r="BJ11" s="928">
        <v>202211</v>
      </c>
      <c r="BK11" s="927">
        <f t="shared" si="11"/>
        <v>468044.44</v>
      </c>
      <c r="BL11" s="927">
        <v>0</v>
      </c>
      <c r="BM11" s="926">
        <v>468044.44</v>
      </c>
      <c r="BN11" s="991">
        <v>0</v>
      </c>
      <c r="BO11" s="925">
        <f t="shared" si="7"/>
        <v>468044.44</v>
      </c>
      <c r="BP11" s="990"/>
      <c r="BQ11" s="924">
        <f t="shared" si="8"/>
        <v>468044.44</v>
      </c>
      <c r="BU11" s="928">
        <v>202211</v>
      </c>
      <c r="BV11" s="927">
        <f t="shared" si="12"/>
        <v>-4463792</v>
      </c>
      <c r="BW11" s="927">
        <v>0</v>
      </c>
      <c r="BX11" s="926">
        <v>-4463792</v>
      </c>
      <c r="BY11" s="991">
        <v>0</v>
      </c>
      <c r="BZ11" s="925">
        <f t="shared" si="9"/>
        <v>-4463792</v>
      </c>
      <c r="CA11" s="990"/>
      <c r="CB11" s="924">
        <v>-5923743</v>
      </c>
      <c r="CC11" s="924">
        <v>-1459951</v>
      </c>
      <c r="CG11" s="477" t="s">
        <v>669</v>
      </c>
      <c r="CI11" s="880" t="s">
        <v>657</v>
      </c>
      <c r="CJ11" s="879">
        <f>'G-1.01 DFIT'!E13</f>
        <v>-4592044.6802699994</v>
      </c>
      <c r="CK11" s="879">
        <f>IF($CI11="I",$CJ11,0)</f>
        <v>0</v>
      </c>
      <c r="CL11" s="879">
        <f t="shared" si="13"/>
        <v>0</v>
      </c>
      <c r="CM11" s="879">
        <f t="shared" si="14"/>
        <v>0</v>
      </c>
      <c r="CN11" s="879">
        <f>IF($CI11="O",$CJ11,0)</f>
        <v>-4592044.6802699994</v>
      </c>
      <c r="CR11" s="992"/>
      <c r="CW11" s="1006" t="s">
        <v>796</v>
      </c>
      <c r="CX11" s="229" t="s">
        <v>803</v>
      </c>
      <c r="CY11" s="1001">
        <f t="shared" si="0"/>
        <v>0</v>
      </c>
      <c r="CZ11" s="1001">
        <f t="shared" si="1"/>
        <v>17496275</v>
      </c>
      <c r="DA11" s="1001">
        <f t="shared" si="2"/>
        <v>17496275</v>
      </c>
      <c r="DB11" s="1001"/>
      <c r="DC11" s="1003">
        <v>0</v>
      </c>
      <c r="DD11" s="1003">
        <v>11712531</v>
      </c>
      <c r="DE11" s="1001">
        <f t="shared" si="3"/>
        <v>11712531</v>
      </c>
      <c r="DF11" s="1001"/>
      <c r="DG11" s="1003">
        <v>0</v>
      </c>
      <c r="DH11" s="1003">
        <v>5783744</v>
      </c>
      <c r="DI11" s="1001">
        <f t="shared" si="4"/>
        <v>5783744</v>
      </c>
      <c r="DN11" s="478" t="s">
        <v>45</v>
      </c>
      <c r="DO11" s="1001">
        <f t="shared" si="19"/>
        <v>948341053</v>
      </c>
      <c r="DP11" s="1001">
        <f t="shared" si="19"/>
        <v>2518937</v>
      </c>
      <c r="DQ11" s="1001">
        <f>SUM(DO11:DP11)</f>
        <v>950859990</v>
      </c>
      <c r="DR11" s="1001"/>
      <c r="DS11" s="1004">
        <v>648833763</v>
      </c>
      <c r="DT11" s="1004">
        <v>1688796</v>
      </c>
      <c r="DU11" s="1001">
        <f>SUM(DS11:DT11)</f>
        <v>650522559</v>
      </c>
      <c r="DV11" s="1001"/>
      <c r="DW11" s="1004">
        <v>299507290</v>
      </c>
      <c r="DX11" s="1004">
        <v>830141</v>
      </c>
      <c r="DY11" s="1001">
        <f>SUM(DW11:DX11)</f>
        <v>300337431</v>
      </c>
    </row>
    <row r="12" spans="1:129">
      <c r="B12" s="477" t="s">
        <v>45</v>
      </c>
      <c r="C12" s="880">
        <v>12</v>
      </c>
      <c r="D12" s="879">
        <f>ROUND('G-1.01 DFIT'!$S$10*J12,0)</f>
        <v>-90624522</v>
      </c>
      <c r="E12" s="879">
        <f>D12*E35</f>
        <v>-64457597.517719999</v>
      </c>
      <c r="F12" s="879">
        <f>D12*F35</f>
        <v>-26166924.482280001</v>
      </c>
      <c r="H12" s="890" t="s">
        <v>45</v>
      </c>
      <c r="I12" s="965">
        <f>'G-1.01 DFIT'!DQ11</f>
        <v>950859990</v>
      </c>
      <c r="J12" s="964">
        <f>ROUND(I12/$I$14,8)</f>
        <v>0.89013973000000002</v>
      </c>
      <c r="N12" s="477" t="s">
        <v>727</v>
      </c>
      <c r="Q12" s="879">
        <f>'G-1.01 DFIT'!AF67</f>
        <v>-59479025.616839044</v>
      </c>
      <c r="R12" s="879"/>
      <c r="S12" s="879"/>
      <c r="T12" s="902">
        <f>Q12</f>
        <v>-59479025.616839044</v>
      </c>
      <c r="X12" s="182">
        <f t="shared" si="17"/>
        <v>202209</v>
      </c>
      <c r="Y12" s="984">
        <v>-74482468.540000007</v>
      </c>
      <c r="Z12" s="983">
        <v>0</v>
      </c>
      <c r="AA12" s="973">
        <f t="shared" si="15"/>
        <v>-74482468.540000007</v>
      </c>
      <c r="AB12" s="973"/>
      <c r="AC12" s="984">
        <v>-809033.82</v>
      </c>
      <c r="AD12" s="984">
        <v>-538429377.48000002</v>
      </c>
      <c r="AE12" s="984">
        <v>-103060910.22</v>
      </c>
      <c r="AF12" s="984">
        <v>-60538488.909999996</v>
      </c>
      <c r="AH12" s="973">
        <f t="shared" si="16"/>
        <v>-777320278.97000003</v>
      </c>
      <c r="AI12" s="983">
        <v>0</v>
      </c>
      <c r="AJ12" s="888">
        <f t="shared" si="18"/>
        <v>-3076836</v>
      </c>
      <c r="AK12" s="888"/>
      <c r="AQ12" s="932"/>
      <c r="AR12" s="933"/>
      <c r="AS12" s="879"/>
      <c r="AT12" s="879"/>
      <c r="AU12" s="879"/>
      <c r="AV12" s="879"/>
      <c r="AW12" s="879"/>
      <c r="BA12" s="928">
        <f>'G-1.01 DFIT'!X15</f>
        <v>202212</v>
      </c>
      <c r="BB12" s="927">
        <f t="shared" si="10"/>
        <v>-1340851.06</v>
      </c>
      <c r="BC12" s="927">
        <v>2580.83</v>
      </c>
      <c r="BD12" s="926">
        <v>-1338270.23</v>
      </c>
      <c r="BE12" s="988">
        <v>0</v>
      </c>
      <c r="BF12" s="925">
        <f t="shared" si="6"/>
        <v>-1338270.23</v>
      </c>
      <c r="BJ12" s="928">
        <v>202212</v>
      </c>
      <c r="BK12" s="927">
        <f t="shared" si="11"/>
        <v>468044.44</v>
      </c>
      <c r="BL12" s="927">
        <v>-475228.74</v>
      </c>
      <c r="BM12" s="926">
        <v>-7184.3</v>
      </c>
      <c r="BN12" s="991">
        <v>0</v>
      </c>
      <c r="BO12" s="925">
        <f t="shared" si="7"/>
        <v>-7184.3</v>
      </c>
      <c r="BP12" s="990"/>
      <c r="BQ12" s="924">
        <f t="shared" si="8"/>
        <v>-7184.3</v>
      </c>
      <c r="BU12" s="928">
        <v>202212</v>
      </c>
      <c r="BV12" s="927">
        <f t="shared" si="12"/>
        <v>-4463792</v>
      </c>
      <c r="BW12" s="927">
        <v>-1459951</v>
      </c>
      <c r="BX12" s="926">
        <v>-5923743</v>
      </c>
      <c r="BY12" s="991">
        <v>0</v>
      </c>
      <c r="BZ12" s="925">
        <f t="shared" si="9"/>
        <v>-5923743</v>
      </c>
      <c r="CA12" s="990"/>
      <c r="CB12" s="924">
        <v>-5923743</v>
      </c>
      <c r="CC12" s="924">
        <v>0</v>
      </c>
      <c r="CG12" s="477" t="s">
        <v>668</v>
      </c>
      <c r="CI12" s="880" t="s">
        <v>657</v>
      </c>
      <c r="CJ12" s="879">
        <f>'G-1.01 DFIT'!E15</f>
        <v>-11265793.828433853</v>
      </c>
      <c r="CK12" s="879">
        <f>CJ12*CT23</f>
        <v>-3161765.6680584336</v>
      </c>
      <c r="CL12" s="879">
        <f t="shared" si="13"/>
        <v>0</v>
      </c>
      <c r="CM12" s="879">
        <f t="shared" si="14"/>
        <v>0</v>
      </c>
      <c r="CN12" s="879">
        <f>CJ12*CT22</f>
        <v>-8104028.16037542</v>
      </c>
      <c r="CO12" s="879">
        <f>CJ12-CK12-CL12-CM12-CN12</f>
        <v>0</v>
      </c>
      <c r="CR12" s="994"/>
      <c r="CW12" s="1006">
        <v>303110</v>
      </c>
      <c r="CX12" s="229" t="s">
        <v>802</v>
      </c>
      <c r="CY12" s="1001">
        <f t="shared" si="0"/>
        <v>0</v>
      </c>
      <c r="CZ12" s="1001">
        <f t="shared" si="1"/>
        <v>7805190</v>
      </c>
      <c r="DA12" s="1001">
        <f t="shared" si="2"/>
        <v>7805190</v>
      </c>
      <c r="DB12" s="1001"/>
      <c r="DC12" s="1003">
        <v>0</v>
      </c>
      <c r="DD12" s="1003">
        <v>5225028</v>
      </c>
      <c r="DE12" s="1001">
        <f t="shared" si="3"/>
        <v>5225028</v>
      </c>
      <c r="DF12" s="1001"/>
      <c r="DG12" s="1003">
        <v>0</v>
      </c>
      <c r="DH12" s="1003">
        <v>2580162</v>
      </c>
      <c r="DI12" s="1001">
        <f t="shared" si="4"/>
        <v>2580162</v>
      </c>
      <c r="DN12" s="478" t="s">
        <v>61</v>
      </c>
      <c r="DO12" s="1001">
        <f t="shared" si="19"/>
        <v>60598337</v>
      </c>
      <c r="DP12" s="1001">
        <f t="shared" si="19"/>
        <v>83465794</v>
      </c>
      <c r="DQ12" s="1001">
        <f>SUM(DO12:DP12)</f>
        <v>144064131</v>
      </c>
      <c r="DR12" s="1001"/>
      <c r="DS12" s="1004">
        <v>52288067</v>
      </c>
      <c r="DT12" s="1004">
        <v>59883369</v>
      </c>
      <c r="DU12" s="1001">
        <f>SUM(DS12:DT12)</f>
        <v>112171436</v>
      </c>
      <c r="DV12" s="1001"/>
      <c r="DW12" s="1004">
        <v>8310270</v>
      </c>
      <c r="DX12" s="1004">
        <v>23582425</v>
      </c>
      <c r="DY12" s="1001">
        <f>SUM(DW12:DX12)</f>
        <v>31892695</v>
      </c>
    </row>
    <row r="13" spans="1:129">
      <c r="B13" s="477" t="s">
        <v>784</v>
      </c>
      <c r="C13" s="880">
        <v>13</v>
      </c>
      <c r="D13" s="879">
        <f>ROUND('G-1.01 DFIT'!$S$10*J13,0)</f>
        <v>-5775503</v>
      </c>
      <c r="E13" s="879">
        <f>D13*E36</f>
        <v>-4592044.6802699994</v>
      </c>
      <c r="F13" s="879">
        <f>D13*F36</f>
        <v>-1183458.3197300001</v>
      </c>
      <c r="H13" s="890" t="s">
        <v>726</v>
      </c>
      <c r="I13" s="963">
        <f>'G-1.01 DFIT'!DO12</f>
        <v>60598337</v>
      </c>
      <c r="J13" s="962">
        <f>ROUND(I13/$I$14,8)</f>
        <v>5.6728630000000002E-2</v>
      </c>
      <c r="Q13" s="902"/>
      <c r="R13" s="879"/>
      <c r="S13" s="879"/>
      <c r="T13" s="879"/>
      <c r="X13" s="182">
        <f t="shared" si="17"/>
        <v>202210</v>
      </c>
      <c r="Y13" s="984">
        <v>-74055011.540000007</v>
      </c>
      <c r="Z13" s="983">
        <v>0</v>
      </c>
      <c r="AA13" s="973">
        <f t="shared" si="15"/>
        <v>-74055011.540000007</v>
      </c>
      <c r="AB13" s="973"/>
      <c r="AC13" s="984">
        <v>-806778.82</v>
      </c>
      <c r="AD13" s="984">
        <v>-538523969.48000002</v>
      </c>
      <c r="AE13" s="984">
        <v>-103190656.22</v>
      </c>
      <c r="AF13" s="984">
        <v>-60628867.909999996</v>
      </c>
      <c r="AH13" s="973">
        <f t="shared" si="16"/>
        <v>-777205283.97000003</v>
      </c>
      <c r="AI13" s="983">
        <v>0</v>
      </c>
      <c r="AJ13" s="888">
        <f t="shared" si="18"/>
        <v>114995</v>
      </c>
      <c r="AK13" s="888"/>
      <c r="AR13" s="933" t="s">
        <v>724</v>
      </c>
      <c r="AS13" s="879">
        <f>AS11/2</f>
        <v>0</v>
      </c>
      <c r="AT13" s="879"/>
      <c r="AU13" s="879">
        <f>AU11/2</f>
        <v>-1338803.0150000001</v>
      </c>
      <c r="AV13" s="879">
        <f>AV11/2</f>
        <v>196395.57</v>
      </c>
      <c r="AW13" s="879">
        <f>AW11/2</f>
        <v>-5389688</v>
      </c>
      <c r="BA13" s="928">
        <f>'G-1.01 DFIT'!X16</f>
        <v>202301</v>
      </c>
      <c r="BB13" s="927">
        <f t="shared" si="10"/>
        <v>-1338270.23</v>
      </c>
      <c r="BC13" s="927">
        <v>2223.9899999999998</v>
      </c>
      <c r="BD13" s="926">
        <v>-1336046.24</v>
      </c>
      <c r="BE13" s="988">
        <v>0</v>
      </c>
      <c r="BF13" s="925">
        <f t="shared" si="6"/>
        <v>-1336046.24</v>
      </c>
      <c r="BJ13" s="928">
        <v>202301</v>
      </c>
      <c r="BK13" s="927">
        <f t="shared" si="11"/>
        <v>-7184.3</v>
      </c>
      <c r="BL13" s="927">
        <v>0</v>
      </c>
      <c r="BM13" s="926">
        <v>-7184.3</v>
      </c>
      <c r="BN13" s="991">
        <v>0</v>
      </c>
      <c r="BO13" s="925">
        <f t="shared" si="7"/>
        <v>-7184.3</v>
      </c>
      <c r="BP13" s="990"/>
      <c r="BQ13" s="924">
        <f t="shared" si="8"/>
        <v>-7184.3</v>
      </c>
      <c r="BU13" s="928">
        <v>202301</v>
      </c>
      <c r="BV13" s="927">
        <f t="shared" si="12"/>
        <v>-5923743</v>
      </c>
      <c r="BW13" s="927">
        <v>0</v>
      </c>
      <c r="BX13" s="926">
        <v>-5923743</v>
      </c>
      <c r="BY13" s="991">
        <v>0</v>
      </c>
      <c r="BZ13" s="925">
        <f t="shared" si="9"/>
        <v>-5923743</v>
      </c>
      <c r="CA13" s="990"/>
      <c r="CB13" s="924">
        <v>-5923743</v>
      </c>
      <c r="CC13" s="924">
        <v>0</v>
      </c>
      <c r="CG13" s="477" t="s">
        <v>667</v>
      </c>
      <c r="CI13" s="880" t="s">
        <v>657</v>
      </c>
      <c r="CJ13" s="889">
        <f>'G-1.01 DFIT'!E16</f>
        <v>0</v>
      </c>
      <c r="CK13" s="889">
        <f>CJ13*CT23</f>
        <v>0</v>
      </c>
      <c r="CL13" s="889">
        <f t="shared" si="13"/>
        <v>0</v>
      </c>
      <c r="CM13" s="889">
        <f t="shared" si="14"/>
        <v>0</v>
      </c>
      <c r="CN13" s="889">
        <f>CJ13*CT22</f>
        <v>0</v>
      </c>
      <c r="CO13" s="879">
        <f>CJ13-CK13-CL13-CM13-CN13</f>
        <v>0</v>
      </c>
      <c r="CR13" s="992">
        <f>SUM(CR10:CR12)</f>
        <v>34499717</v>
      </c>
      <c r="CW13" s="1006">
        <v>303115</v>
      </c>
      <c r="CX13" s="229" t="s">
        <v>802</v>
      </c>
      <c r="CY13" s="1001">
        <f t="shared" si="0"/>
        <v>0</v>
      </c>
      <c r="CZ13" s="1001">
        <f t="shared" si="1"/>
        <v>68822259</v>
      </c>
      <c r="DA13" s="1001">
        <f t="shared" si="2"/>
        <v>68822259</v>
      </c>
      <c r="DB13" s="1001"/>
      <c r="DC13" s="1003">
        <v>0</v>
      </c>
      <c r="DD13" s="1003">
        <v>46071685</v>
      </c>
      <c r="DE13" s="1001">
        <f t="shared" si="3"/>
        <v>46071685</v>
      </c>
      <c r="DF13" s="1001"/>
      <c r="DG13" s="1003">
        <v>0</v>
      </c>
      <c r="DH13" s="1003">
        <v>22750574</v>
      </c>
      <c r="DI13" s="1001">
        <f t="shared" si="4"/>
        <v>22750574</v>
      </c>
      <c r="DO13" s="1001"/>
      <c r="DP13" s="1001"/>
      <c r="DQ13" s="1001"/>
      <c r="DR13" s="1001"/>
      <c r="DS13" s="1004"/>
      <c r="DT13" s="1004"/>
      <c r="DU13" s="1001"/>
      <c r="DV13" s="1001"/>
      <c r="DW13" s="1004"/>
      <c r="DX13" s="1004"/>
      <c r="DY13" s="1001">
        <f>SUM(DW13:DX13)</f>
        <v>0</v>
      </c>
    </row>
    <row r="14" spans="1:129" ht="13.5" thickBot="1">
      <c r="C14" s="880"/>
      <c r="D14" s="879"/>
      <c r="E14" s="879"/>
      <c r="F14" s="879"/>
      <c r="H14" s="890"/>
      <c r="I14" s="923">
        <f>SUM(I10:I13)</f>
        <v>1068214305</v>
      </c>
      <c r="J14" s="883">
        <f>SUM(J10:J13)</f>
        <v>1</v>
      </c>
      <c r="N14" s="477" t="s">
        <v>725</v>
      </c>
      <c r="O14" s="477" t="s">
        <v>723</v>
      </c>
      <c r="Q14" s="902">
        <f>'G-1.01 DFIT'!AA67</f>
        <v>-75827362.393177196</v>
      </c>
      <c r="R14" s="879">
        <f>Q14*R34</f>
        <v>-53164080.321104392</v>
      </c>
      <c r="S14" s="879">
        <f>Q14*S34</f>
        <v>-15702330.204379132</v>
      </c>
      <c r="T14" s="879">
        <f>Q14*T34</f>
        <v>-6960951.8676936673</v>
      </c>
      <c r="X14" s="182">
        <f t="shared" si="17"/>
        <v>202211</v>
      </c>
      <c r="Y14" s="984">
        <v>-73627554.540000007</v>
      </c>
      <c r="Z14" s="983">
        <v>0</v>
      </c>
      <c r="AA14" s="973">
        <f t="shared" si="15"/>
        <v>-73627554.540000007</v>
      </c>
      <c r="AB14" s="973"/>
      <c r="AC14" s="984">
        <v>-804523.82</v>
      </c>
      <c r="AD14" s="984">
        <v>-538618561.48000002</v>
      </c>
      <c r="AE14" s="984">
        <v>-103320402.22</v>
      </c>
      <c r="AF14" s="984">
        <v>-60719246.909999996</v>
      </c>
      <c r="AH14" s="973">
        <f t="shared" si="16"/>
        <v>-777090288.97000003</v>
      </c>
      <c r="AI14" s="983">
        <v>0</v>
      </c>
      <c r="AJ14" s="888">
        <f t="shared" si="18"/>
        <v>114995</v>
      </c>
      <c r="AK14" s="888"/>
      <c r="AQ14" s="932"/>
      <c r="AR14" s="890">
        <v>202207</v>
      </c>
      <c r="AS14" s="879">
        <v>0</v>
      </c>
      <c r="AT14" s="879"/>
      <c r="AU14" s="879">
        <f>'G-1.01 DFIT'!BF7</f>
        <v>-1351174.38</v>
      </c>
      <c r="AV14" s="879">
        <f>'G-1.01 DFIT'!BQ7</f>
        <v>399975.44</v>
      </c>
      <c r="AW14" s="879">
        <f>'G-1.01 DFIT'!BZ7</f>
        <v>-4268191</v>
      </c>
      <c r="BA14" s="928">
        <f>'G-1.01 DFIT'!X17</f>
        <v>202302</v>
      </c>
      <c r="BB14" s="927">
        <f t="shared" si="10"/>
        <v>-1336046.24</v>
      </c>
      <c r="BC14" s="927">
        <v>2571.9</v>
      </c>
      <c r="BD14" s="926">
        <v>-1333474.3400000001</v>
      </c>
      <c r="BE14" s="988">
        <v>0</v>
      </c>
      <c r="BF14" s="925">
        <f t="shared" si="6"/>
        <v>-1333474.3400000001</v>
      </c>
      <c r="BJ14" s="928">
        <v>202302</v>
      </c>
      <c r="BK14" s="927">
        <f t="shared" si="11"/>
        <v>-7184.3</v>
      </c>
      <c r="BL14" s="927">
        <v>0</v>
      </c>
      <c r="BM14" s="926">
        <v>-7184.3</v>
      </c>
      <c r="BN14" s="991">
        <v>0</v>
      </c>
      <c r="BO14" s="925">
        <f t="shared" si="7"/>
        <v>-7184.3</v>
      </c>
      <c r="BP14" s="990"/>
      <c r="BQ14" s="924">
        <f t="shared" si="8"/>
        <v>-7184.3</v>
      </c>
      <c r="BU14" s="928">
        <v>202302</v>
      </c>
      <c r="BV14" s="927">
        <f t="shared" si="12"/>
        <v>-5923743</v>
      </c>
      <c r="BW14" s="927">
        <v>0</v>
      </c>
      <c r="BX14" s="926">
        <v>-5923743</v>
      </c>
      <c r="BY14" s="991">
        <v>0</v>
      </c>
      <c r="BZ14" s="925">
        <f t="shared" si="9"/>
        <v>-5923743</v>
      </c>
      <c r="CA14" s="990"/>
      <c r="CB14" s="924">
        <v>-6217464</v>
      </c>
      <c r="CC14" s="924">
        <v>-293721</v>
      </c>
      <c r="CG14" s="477" t="s">
        <v>666</v>
      </c>
      <c r="CI14" s="880"/>
      <c r="CJ14" s="879">
        <f>SUM(CJ8:CJ13)</f>
        <v>-84038184.888843849</v>
      </c>
      <c r="CK14" s="879">
        <f>SUM(CK8:CK13)</f>
        <v>-3598969.2904784335</v>
      </c>
      <c r="CL14" s="879">
        <f>SUM(CL8:CL13)</f>
        <v>-3285545.2399999998</v>
      </c>
      <c r="CM14" s="879">
        <f>SUM(CM8:CM13)</f>
        <v>-64457597.517719999</v>
      </c>
      <c r="CN14" s="879">
        <f>SUM(CN8:CN13)</f>
        <v>-12696072.840645419</v>
      </c>
      <c r="CR14" s="992"/>
      <c r="CW14" s="1006">
        <v>303120</v>
      </c>
      <c r="CX14" s="229" t="s">
        <v>801</v>
      </c>
      <c r="CY14" s="1001">
        <f t="shared" si="0"/>
        <v>0</v>
      </c>
      <c r="CZ14" s="1001">
        <f t="shared" si="1"/>
        <v>20467720</v>
      </c>
      <c r="DA14" s="1001">
        <f t="shared" si="2"/>
        <v>20467720</v>
      </c>
      <c r="DB14" s="1001"/>
      <c r="DC14" s="1003">
        <v>0</v>
      </c>
      <c r="DD14" s="1003">
        <v>13701706</v>
      </c>
      <c r="DE14" s="1001">
        <f t="shared" si="3"/>
        <v>13701706</v>
      </c>
      <c r="DF14" s="1001"/>
      <c r="DG14" s="1003">
        <v>0</v>
      </c>
      <c r="DH14" s="1003">
        <v>6766014</v>
      </c>
      <c r="DI14" s="1001">
        <f t="shared" si="4"/>
        <v>6766014</v>
      </c>
      <c r="DN14" s="478" t="s">
        <v>798</v>
      </c>
      <c r="DO14" s="1002">
        <f t="shared" ref="DO14:DU14" si="20">SUM(DO8:DO13)</f>
        <v>1015035814</v>
      </c>
      <c r="DP14" s="1002">
        <f t="shared" si="20"/>
        <v>197641966</v>
      </c>
      <c r="DQ14" s="1002">
        <f t="shared" si="20"/>
        <v>1212677780</v>
      </c>
      <c r="DR14" s="1001">
        <f t="shared" si="20"/>
        <v>0</v>
      </c>
      <c r="DS14" s="1002">
        <f t="shared" si="20"/>
        <v>706446737</v>
      </c>
      <c r="DT14" s="1002">
        <f t="shared" si="20"/>
        <v>140048611</v>
      </c>
      <c r="DU14" s="1002">
        <f t="shared" si="20"/>
        <v>846495348</v>
      </c>
      <c r="DV14" s="1001"/>
      <c r="DW14" s="1002">
        <f>SUM(DW8:DW13)</f>
        <v>308589077</v>
      </c>
      <c r="DX14" s="1002">
        <f>SUM(DX8:DX13)</f>
        <v>57593355</v>
      </c>
      <c r="DY14" s="1002">
        <f>SUM(DY8:DY13)</f>
        <v>366182432</v>
      </c>
    </row>
    <row r="15" spans="1:129">
      <c r="A15" s="477" t="s">
        <v>783</v>
      </c>
      <c r="B15" s="477" t="s">
        <v>723</v>
      </c>
      <c r="C15" s="880">
        <v>4</v>
      </c>
      <c r="D15" s="879">
        <f>'G-1.01 DFIT'!S14</f>
        <v>-15702330.204379132</v>
      </c>
      <c r="E15" s="879">
        <f>D15*E34</f>
        <v>-11265793.828433853</v>
      </c>
      <c r="F15" s="879">
        <f>D15*F34</f>
        <v>-4436536.3759452803</v>
      </c>
      <c r="H15" s="890" t="s">
        <v>722</v>
      </c>
      <c r="I15" s="923">
        <f>'G-1.01 DFIT'!DP12</f>
        <v>83465794</v>
      </c>
      <c r="Q15" s="879"/>
      <c r="R15" s="879"/>
      <c r="S15" s="879"/>
      <c r="T15" s="879"/>
      <c r="X15" s="182">
        <f t="shared" si="17"/>
        <v>202212</v>
      </c>
      <c r="Y15" s="984">
        <v>-73382673.540000007</v>
      </c>
      <c r="Z15" s="983">
        <v>0</v>
      </c>
      <c r="AA15" s="973">
        <f t="shared" si="15"/>
        <v>-73382673.540000007</v>
      </c>
      <c r="AB15" s="973"/>
      <c r="AC15" s="984">
        <v>-829328.82</v>
      </c>
      <c r="AD15" s="984">
        <v>-537831752.48000002</v>
      </c>
      <c r="AE15" s="984">
        <v>-101133064.22</v>
      </c>
      <c r="AF15" s="984">
        <v>-60673093.909999996</v>
      </c>
      <c r="AH15" s="981">
        <f t="shared" si="16"/>
        <v>-773849912.97000003</v>
      </c>
      <c r="AI15" s="983">
        <v>0</v>
      </c>
      <c r="AJ15" s="888">
        <f t="shared" si="18"/>
        <v>3240376</v>
      </c>
      <c r="AK15" s="888"/>
      <c r="AQ15" s="985"/>
      <c r="AR15" s="890">
        <v>202208</v>
      </c>
      <c r="AS15" s="879">
        <v>0</v>
      </c>
      <c r="AT15" s="879"/>
      <c r="AU15" s="879">
        <f>'G-1.01 DFIT'!BF8</f>
        <v>-1348593.55</v>
      </c>
      <c r="AV15" s="879">
        <f>'G-1.01 DFIT'!BQ8</f>
        <v>399975.44</v>
      </c>
      <c r="AW15" s="879">
        <f>'G-1.01 DFIT'!BZ8</f>
        <v>-4268191</v>
      </c>
      <c r="BA15" s="928">
        <f>'G-1.01 DFIT'!X18</f>
        <v>202303</v>
      </c>
      <c r="BB15" s="927">
        <f t="shared" si="10"/>
        <v>-1333474.3400000001</v>
      </c>
      <c r="BC15" s="927">
        <v>2571.9</v>
      </c>
      <c r="BD15" s="926">
        <v>-1330902.44</v>
      </c>
      <c r="BE15" s="988">
        <v>0</v>
      </c>
      <c r="BF15" s="925">
        <f t="shared" si="6"/>
        <v>-1330902.44</v>
      </c>
      <c r="BJ15" s="928">
        <v>202303</v>
      </c>
      <c r="BK15" s="927">
        <f t="shared" si="11"/>
        <v>-7184.3</v>
      </c>
      <c r="BL15" s="927">
        <v>0</v>
      </c>
      <c r="BM15" s="926">
        <v>-7184.3</v>
      </c>
      <c r="BN15" s="991">
        <v>0</v>
      </c>
      <c r="BO15" s="925">
        <f t="shared" si="7"/>
        <v>-7184.3</v>
      </c>
      <c r="BP15" s="990"/>
      <c r="BQ15" s="924">
        <f t="shared" si="8"/>
        <v>-7184.3</v>
      </c>
      <c r="BU15" s="928">
        <v>202303</v>
      </c>
      <c r="BV15" s="927">
        <f t="shared" si="12"/>
        <v>-5923743</v>
      </c>
      <c r="BW15" s="927">
        <v>-293721</v>
      </c>
      <c r="BX15" s="926">
        <v>-6217464</v>
      </c>
      <c r="BY15" s="991">
        <v>0</v>
      </c>
      <c r="BZ15" s="925">
        <f t="shared" si="9"/>
        <v>-6217464</v>
      </c>
      <c r="CA15" s="990"/>
      <c r="CB15" s="924">
        <v>-6217464</v>
      </c>
      <c r="CC15" s="924">
        <v>0</v>
      </c>
      <c r="CI15" s="880"/>
      <c r="CJ15" s="879"/>
      <c r="CK15" s="879"/>
      <c r="CL15" s="879"/>
      <c r="CM15" s="879"/>
      <c r="CN15" s="879"/>
      <c r="CR15" s="992"/>
      <c r="CW15" s="1006">
        <v>303121</v>
      </c>
      <c r="CX15" s="229" t="s">
        <v>800</v>
      </c>
      <c r="CY15" s="1001">
        <f t="shared" si="0"/>
        <v>16115343</v>
      </c>
      <c r="CZ15" s="1001">
        <f t="shared" si="1"/>
        <v>58365</v>
      </c>
      <c r="DA15" s="1001">
        <f t="shared" si="2"/>
        <v>16173708</v>
      </c>
      <c r="DB15" s="1001"/>
      <c r="DC15" s="1003">
        <v>16115343</v>
      </c>
      <c r="DD15" s="1003">
        <v>39071</v>
      </c>
      <c r="DE15" s="1001">
        <f t="shared" si="3"/>
        <v>16154414</v>
      </c>
      <c r="DF15" s="1001"/>
      <c r="DG15" s="1003">
        <v>0</v>
      </c>
      <c r="DH15" s="1003">
        <v>19294</v>
      </c>
      <c r="DI15" s="1001">
        <f t="shared" si="4"/>
        <v>19294</v>
      </c>
      <c r="DO15" s="1001"/>
      <c r="DP15" s="1001"/>
      <c r="DQ15" s="1001"/>
      <c r="DR15" s="1001"/>
      <c r="DS15" s="1001"/>
      <c r="DT15" s="1001"/>
      <c r="DU15" s="1001"/>
      <c r="DV15" s="1001"/>
      <c r="DW15" s="1001"/>
      <c r="DX15" s="1001"/>
      <c r="DY15" s="1001"/>
    </row>
    <row r="16" spans="1:129">
      <c r="A16" s="477" t="s">
        <v>783</v>
      </c>
      <c r="B16" s="477" t="s">
        <v>721</v>
      </c>
      <c r="C16" s="880">
        <v>12</v>
      </c>
      <c r="D16" s="889">
        <f>'G-1.01 DFIT'!S16</f>
        <v>0</v>
      </c>
      <c r="E16" s="889">
        <f>D16*E35</f>
        <v>0</v>
      </c>
      <c r="F16" s="889">
        <f>D16*F35</f>
        <v>0</v>
      </c>
      <c r="H16" s="890" t="s">
        <v>720</v>
      </c>
      <c r="I16" s="923">
        <f>'G-1.01 DFIT'!DQ35</f>
        <v>60997681</v>
      </c>
      <c r="N16" s="477" t="s">
        <v>669</v>
      </c>
      <c r="O16" s="477" t="s">
        <v>721</v>
      </c>
      <c r="Q16" s="931">
        <f>'G-1.01 DFIT'!AC67</f>
        <v>0</v>
      </c>
      <c r="R16" s="889">
        <f>Q16*R35</f>
        <v>0</v>
      </c>
      <c r="S16" s="889">
        <f>Q16*S35</f>
        <v>0</v>
      </c>
      <c r="T16" s="889"/>
      <c r="X16" s="182">
        <f>X15+89</f>
        <v>202301</v>
      </c>
      <c r="Y16" s="984">
        <v>-72912915.540000007</v>
      </c>
      <c r="Z16" s="983">
        <v>0</v>
      </c>
      <c r="AA16" s="973">
        <f t="shared" si="15"/>
        <v>-72912915.540000007</v>
      </c>
      <c r="AB16" s="973"/>
      <c r="AC16" s="984">
        <v>-829328.82</v>
      </c>
      <c r="AD16" s="984">
        <v>-538434055.48000002</v>
      </c>
      <c r="AE16" s="984">
        <v>-101239177.22</v>
      </c>
      <c r="AF16" s="984">
        <v>-60730109.909999996</v>
      </c>
      <c r="AH16" s="973">
        <f t="shared" si="16"/>
        <v>-774145586.97000003</v>
      </c>
      <c r="AI16" s="983">
        <v>0</v>
      </c>
      <c r="AJ16" s="888">
        <f t="shared" si="18"/>
        <v>-295674</v>
      </c>
      <c r="AK16" s="888"/>
      <c r="AQ16" s="985"/>
      <c r="AR16" s="890">
        <v>202209</v>
      </c>
      <c r="AS16" s="879">
        <v>0</v>
      </c>
      <c r="AT16" s="879"/>
      <c r="AU16" s="879">
        <f>'G-1.01 DFIT'!BF9</f>
        <v>-1346012.72</v>
      </c>
      <c r="AV16" s="879">
        <f>'G-1.01 DFIT'!BQ9</f>
        <v>468044.44</v>
      </c>
      <c r="AW16" s="879">
        <f>'G-1.01 DFIT'!BZ9</f>
        <v>-4463792</v>
      </c>
      <c r="BA16" s="928">
        <f>'G-1.01 DFIT'!X19</f>
        <v>202304</v>
      </c>
      <c r="BB16" s="927">
        <f t="shared" si="10"/>
        <v>-1330902.44</v>
      </c>
      <c r="BC16" s="927">
        <v>2571.9</v>
      </c>
      <c r="BD16" s="926">
        <v>-1328330.54</v>
      </c>
      <c r="BE16" s="988">
        <v>0</v>
      </c>
      <c r="BF16" s="925">
        <f t="shared" si="6"/>
        <v>-1328330.54</v>
      </c>
      <c r="BJ16" s="928">
        <v>202304</v>
      </c>
      <c r="BK16" s="927">
        <f t="shared" si="11"/>
        <v>-7184.3</v>
      </c>
      <c r="BL16" s="927">
        <v>0</v>
      </c>
      <c r="BM16" s="926">
        <v>-7184.3</v>
      </c>
      <c r="BN16" s="991">
        <v>0</v>
      </c>
      <c r="BO16" s="925">
        <f t="shared" si="7"/>
        <v>-7184.3</v>
      </c>
      <c r="BP16" s="990"/>
      <c r="BQ16" s="924">
        <f t="shared" si="8"/>
        <v>-7184.3</v>
      </c>
      <c r="BU16" s="928">
        <v>202304</v>
      </c>
      <c r="BV16" s="927">
        <f t="shared" si="12"/>
        <v>-6217464</v>
      </c>
      <c r="BW16" s="927">
        <v>0</v>
      </c>
      <c r="BX16" s="926">
        <v>-6217464</v>
      </c>
      <c r="BY16" s="991">
        <v>0</v>
      </c>
      <c r="BZ16" s="925">
        <f t="shared" si="9"/>
        <v>-6217464</v>
      </c>
      <c r="CA16" s="990"/>
      <c r="CB16" s="924">
        <v>-6217464</v>
      </c>
      <c r="CC16" s="924">
        <v>0</v>
      </c>
      <c r="CG16" s="477" t="s">
        <v>653</v>
      </c>
      <c r="CH16" s="182" t="s">
        <v>652</v>
      </c>
      <c r="CI16" s="880"/>
      <c r="CJ16" s="879">
        <f>'G-1.01 DFIT'!E21</f>
        <v>-197140.30667729556</v>
      </c>
      <c r="CK16" s="879">
        <f>ROUND($CJ$16*CK27,0)</f>
        <v>-1290</v>
      </c>
      <c r="CL16" s="879">
        <f>ROUND($CJ$16*CL27,0)</f>
        <v>-8035</v>
      </c>
      <c r="CM16" s="879">
        <f>ROUND($CJ$16*CM27,0)</f>
        <v>-151500</v>
      </c>
      <c r="CN16" s="879">
        <f>ROUND($CJ$16*CN27,0)</f>
        <v>-36316</v>
      </c>
      <c r="CO16" s="879">
        <f>CJ16-CK16-CL16-CM16-CN16</f>
        <v>0.69332270443555899</v>
      </c>
      <c r="CR16" s="992"/>
      <c r="CW16" s="1006" t="s">
        <v>795</v>
      </c>
      <c r="CX16" s="229" t="s">
        <v>799</v>
      </c>
      <c r="CY16" s="1001">
        <f t="shared" si="0"/>
        <v>0</v>
      </c>
      <c r="CZ16" s="1001">
        <f t="shared" si="1"/>
        <v>9537844</v>
      </c>
      <c r="DA16" s="1001">
        <f t="shared" si="2"/>
        <v>9537844</v>
      </c>
      <c r="DB16" s="1001"/>
      <c r="DC16" s="1003">
        <v>0</v>
      </c>
      <c r="DD16" s="1003">
        <v>6384919</v>
      </c>
      <c r="DE16" s="1001">
        <f t="shared" si="3"/>
        <v>6384919</v>
      </c>
      <c r="DF16" s="1001"/>
      <c r="DG16" s="1003">
        <v>0</v>
      </c>
      <c r="DH16" s="1003">
        <v>3152925</v>
      </c>
      <c r="DI16" s="1001">
        <f t="shared" si="4"/>
        <v>3152925</v>
      </c>
      <c r="DO16" s="1001"/>
      <c r="DP16" s="1001"/>
      <c r="DQ16" s="1001"/>
      <c r="DR16" s="1001"/>
      <c r="DS16" s="1001"/>
      <c r="DT16" s="1001"/>
      <c r="DU16" s="1001"/>
      <c r="DV16" s="1001"/>
      <c r="DW16" s="1001"/>
      <c r="DX16" s="1001"/>
      <c r="DY16" s="1001"/>
    </row>
    <row r="17" spans="1:129" ht="13.5" thickBot="1">
      <c r="A17" s="477" t="s">
        <v>782</v>
      </c>
      <c r="C17" s="880"/>
      <c r="D17" s="879">
        <f>SUM(D10:D16)</f>
        <v>-117511652.20437913</v>
      </c>
      <c r="E17" s="879">
        <f>SUM(E10:E16)</f>
        <v>-84038184.888843849</v>
      </c>
      <c r="F17" s="879">
        <f>SUM(F10:F16)</f>
        <v>-33473467.315535281</v>
      </c>
      <c r="H17" s="890"/>
      <c r="I17" s="918"/>
      <c r="N17" s="477" t="s">
        <v>666</v>
      </c>
      <c r="Q17" s="908">
        <f>SUM(Q8:Q16)</f>
        <v>-771192566.60536945</v>
      </c>
      <c r="R17" s="879">
        <f>SUM(R8:R16)</f>
        <v>-587240937.27708113</v>
      </c>
      <c r="S17" s="879">
        <f>SUM(S9:S16)</f>
        <v>-117511651.8437556</v>
      </c>
      <c r="T17" s="879">
        <f>SUM(T9:T16)</f>
        <v>-66439977.484532714</v>
      </c>
      <c r="U17" s="199"/>
      <c r="X17" s="182">
        <f>X16+1</f>
        <v>202302</v>
      </c>
      <c r="Y17" s="984">
        <v>-72443157.540000007</v>
      </c>
      <c r="Z17" s="983">
        <v>0</v>
      </c>
      <c r="AA17" s="973">
        <f t="shared" si="15"/>
        <v>-72443157.540000007</v>
      </c>
      <c r="AB17" s="973"/>
      <c r="AC17" s="984">
        <v>-829328.82</v>
      </c>
      <c r="AD17" s="984">
        <v>-539036358.48000002</v>
      </c>
      <c r="AE17" s="984">
        <v>-101345290.22</v>
      </c>
      <c r="AF17" s="984">
        <v>-60787125.909999996</v>
      </c>
      <c r="AH17" s="973">
        <f t="shared" si="16"/>
        <v>-774441260.97000003</v>
      </c>
      <c r="AI17" s="983">
        <v>0</v>
      </c>
      <c r="AJ17" s="888">
        <f t="shared" si="18"/>
        <v>-295674</v>
      </c>
      <c r="AK17" s="888"/>
      <c r="AQ17" s="985"/>
      <c r="AR17" s="890">
        <v>202210</v>
      </c>
      <c r="AS17" s="879">
        <v>0</v>
      </c>
      <c r="AT17" s="879"/>
      <c r="AU17" s="879">
        <f>'G-1.01 DFIT'!BF10</f>
        <v>-1343431.89</v>
      </c>
      <c r="AV17" s="879">
        <f>'G-1.01 DFIT'!BQ10</f>
        <v>468044.44</v>
      </c>
      <c r="AW17" s="879">
        <f>'G-1.01 DFIT'!BZ10</f>
        <v>-4463792</v>
      </c>
      <c r="BA17" s="928">
        <f>'G-1.01 DFIT'!X20</f>
        <v>202305</v>
      </c>
      <c r="BB17" s="927">
        <f t="shared" si="10"/>
        <v>-1328330.54</v>
      </c>
      <c r="BC17" s="927">
        <v>2571.9</v>
      </c>
      <c r="BD17" s="926">
        <v>-1325758.6399999999</v>
      </c>
      <c r="BE17" s="988">
        <v>0</v>
      </c>
      <c r="BF17" s="925">
        <f t="shared" si="6"/>
        <v>-1325758.6399999999</v>
      </c>
      <c r="BJ17" s="928">
        <v>202305</v>
      </c>
      <c r="BK17" s="927">
        <f t="shared" si="11"/>
        <v>-7184.3</v>
      </c>
      <c r="BL17" s="927">
        <v>0</v>
      </c>
      <c r="BM17" s="926">
        <v>-7184.3</v>
      </c>
      <c r="BN17" s="991">
        <v>0</v>
      </c>
      <c r="BO17" s="925">
        <f t="shared" si="7"/>
        <v>-7184.3</v>
      </c>
      <c r="BP17" s="990"/>
      <c r="BQ17" s="924">
        <f t="shared" si="8"/>
        <v>-7184.3</v>
      </c>
      <c r="BU17" s="928">
        <v>202305</v>
      </c>
      <c r="BV17" s="927">
        <f t="shared" si="12"/>
        <v>-6217464</v>
      </c>
      <c r="BW17" s="927">
        <v>0</v>
      </c>
      <c r="BX17" s="926">
        <v>-6217464</v>
      </c>
      <c r="BY17" s="991">
        <v>0</v>
      </c>
      <c r="BZ17" s="925">
        <f t="shared" si="9"/>
        <v>-6217464</v>
      </c>
      <c r="CA17" s="990"/>
      <c r="CB17" s="924">
        <v>-6511185</v>
      </c>
      <c r="CC17" s="924">
        <v>-293721</v>
      </c>
      <c r="CG17" s="477" t="str">
        <f>'G-1.01 DFIT'!A19</f>
        <v>ADFIT-Plant - AFUDC Equity</v>
      </c>
      <c r="CH17" s="182"/>
      <c r="CI17" s="880" t="s">
        <v>657</v>
      </c>
      <c r="CJ17" s="879">
        <f>'G-1.01 DFIT'!E19</f>
        <v>-789176.11506226042</v>
      </c>
      <c r="CK17" s="879">
        <f>IF($CI17="I",$CJ17,0)</f>
        <v>0</v>
      </c>
      <c r="CL17" s="879">
        <f>IF($CI17="U",$CJ17,0)</f>
        <v>0</v>
      </c>
      <c r="CM17" s="879">
        <f>IF($CI17="D",$CJ17,0)</f>
        <v>0</v>
      </c>
      <c r="CN17" s="879">
        <f>IF($CI17="O",$CJ17,0)</f>
        <v>-789176.11506226042</v>
      </c>
      <c r="CO17" s="879"/>
      <c r="CX17" s="229" t="s">
        <v>307</v>
      </c>
      <c r="CY17" s="1005">
        <f>SUM(CY4:CY16)</f>
        <v>23286571</v>
      </c>
      <c r="CZ17" s="1005">
        <f>SUM(CZ4:CZ16)</f>
        <v>334103998</v>
      </c>
      <c r="DA17" s="1005">
        <f>SUM(DA4:DA16)</f>
        <v>357390569</v>
      </c>
      <c r="DB17" s="1001"/>
      <c r="DC17" s="1005">
        <f>SUM(DC4:DC16)</f>
        <v>23286571</v>
      </c>
      <c r="DD17" s="1005">
        <f>SUM(DD4:DD16)</f>
        <v>221275526</v>
      </c>
      <c r="DE17" s="1005">
        <f>SUM(DE4:DE16)</f>
        <v>244562097</v>
      </c>
      <c r="DF17" s="1001"/>
      <c r="DG17" s="1005">
        <f>SUM(DG4:DG16)</f>
        <v>0</v>
      </c>
      <c r="DH17" s="1005">
        <f>SUM(DH4:DH16)</f>
        <v>112828472</v>
      </c>
      <c r="DI17" s="1005">
        <f>SUM(DI4:DI16)</f>
        <v>112828472</v>
      </c>
      <c r="DO17" s="1001"/>
      <c r="DP17" s="1001"/>
      <c r="DQ17" s="1001"/>
      <c r="DR17" s="1001"/>
      <c r="DS17" s="1001"/>
      <c r="DT17" s="1001"/>
      <c r="DU17" s="1001"/>
      <c r="DV17" s="1001"/>
      <c r="DW17" s="1001"/>
      <c r="DX17" s="1001"/>
      <c r="DY17" s="1001"/>
    </row>
    <row r="18" spans="1:129" ht="13.5" thickTop="1">
      <c r="C18" s="880"/>
      <c r="D18" s="879"/>
      <c r="E18" s="879"/>
      <c r="F18" s="879"/>
      <c r="H18" s="890"/>
      <c r="I18" s="961"/>
      <c r="Q18" s="930" t="s">
        <v>662</v>
      </c>
      <c r="R18" s="879"/>
      <c r="S18" s="879"/>
      <c r="T18" s="879"/>
      <c r="U18" s="199"/>
      <c r="X18" s="182">
        <f>X17+1</f>
        <v>202303</v>
      </c>
      <c r="Y18" s="984">
        <v>-71973399.540000007</v>
      </c>
      <c r="Z18" s="983">
        <v>0</v>
      </c>
      <c r="AA18" s="978">
        <f t="shared" si="15"/>
        <v>-71973399.540000007</v>
      </c>
      <c r="AB18" s="978"/>
      <c r="AC18" s="984">
        <v>-829328.82</v>
      </c>
      <c r="AD18" s="984">
        <v>-539638661.48000002</v>
      </c>
      <c r="AE18" s="984">
        <v>-101451403.22</v>
      </c>
      <c r="AF18" s="984">
        <v>-60844141.909999996</v>
      </c>
      <c r="AH18" s="978">
        <f t="shared" si="16"/>
        <v>-774736934.97000003</v>
      </c>
      <c r="AI18" s="983">
        <v>0</v>
      </c>
      <c r="AJ18" s="888">
        <f t="shared" si="18"/>
        <v>-295674</v>
      </c>
      <c r="AK18" s="888"/>
      <c r="AQ18" s="985"/>
      <c r="AR18" s="890">
        <v>202211</v>
      </c>
      <c r="AS18" s="879">
        <v>0</v>
      </c>
      <c r="AT18" s="879"/>
      <c r="AU18" s="879">
        <f>'G-1.01 DFIT'!BF11</f>
        <v>-1340851.06</v>
      </c>
      <c r="AV18" s="879">
        <f>'G-1.01 DFIT'!BQ11</f>
        <v>468044.44</v>
      </c>
      <c r="AW18" s="879">
        <f>'G-1.01 DFIT'!BZ11</f>
        <v>-4463792</v>
      </c>
      <c r="BA18" s="928">
        <f>'G-1.01 DFIT'!X21</f>
        <v>202306</v>
      </c>
      <c r="BB18" s="927">
        <f t="shared" si="10"/>
        <v>-1325758.6399999999</v>
      </c>
      <c r="BC18" s="927">
        <v>1907.82</v>
      </c>
      <c r="BD18" s="926">
        <v>-1323850.82</v>
      </c>
      <c r="BE18" s="988">
        <v>0</v>
      </c>
      <c r="BF18" s="925">
        <f t="shared" si="6"/>
        <v>-1323850.82</v>
      </c>
      <c r="BJ18" s="928">
        <v>202306</v>
      </c>
      <c r="BK18" s="927">
        <f t="shared" si="11"/>
        <v>-7184.3</v>
      </c>
      <c r="BL18" s="927">
        <v>0</v>
      </c>
      <c r="BM18" s="926">
        <v>-7184.3</v>
      </c>
      <c r="BN18" s="991">
        <v>0</v>
      </c>
      <c r="BO18" s="925">
        <f t="shared" si="7"/>
        <v>-7184.3</v>
      </c>
      <c r="BP18" s="990"/>
      <c r="BQ18" s="924">
        <f t="shared" si="8"/>
        <v>-7184.3</v>
      </c>
      <c r="BU18" s="928">
        <v>202306</v>
      </c>
      <c r="BV18" s="927">
        <f t="shared" si="12"/>
        <v>-6217464</v>
      </c>
      <c r="BW18" s="927">
        <v>-293721</v>
      </c>
      <c r="BX18" s="926">
        <v>-6511185</v>
      </c>
      <c r="BY18" s="991">
        <v>0</v>
      </c>
      <c r="BZ18" s="925">
        <f t="shared" si="9"/>
        <v>-6511185</v>
      </c>
      <c r="CA18" s="990"/>
      <c r="CB18" s="924"/>
      <c r="CG18" s="477" t="s">
        <v>656</v>
      </c>
      <c r="CI18" s="880" t="s">
        <v>655</v>
      </c>
      <c r="CJ18" s="879">
        <f>'G-1.01 DFIT'!E20</f>
        <v>29186.571843761238</v>
      </c>
      <c r="CK18" s="879">
        <f>IF($CI18="I",$CJ18,0)</f>
        <v>29186.571843761238</v>
      </c>
      <c r="CL18" s="879">
        <f>IF($CI18="U",$CJ18,0)</f>
        <v>0</v>
      </c>
      <c r="CM18" s="879">
        <f>IF($CI18="D",$CJ18,0)</f>
        <v>0</v>
      </c>
      <c r="CN18" s="879">
        <f>IF($CI18="O",$CJ18,0)</f>
        <v>0</v>
      </c>
      <c r="CQ18" s="886" t="s">
        <v>62</v>
      </c>
      <c r="CR18" s="886" t="s">
        <v>45</v>
      </c>
      <c r="CY18" s="1001"/>
      <c r="CZ18" s="1001"/>
      <c r="DA18" s="1001"/>
      <c r="DB18" s="1001"/>
      <c r="DC18" s="1001"/>
      <c r="DD18" s="1001"/>
      <c r="DE18" s="1001"/>
      <c r="DF18" s="1001"/>
      <c r="DG18" s="1001"/>
      <c r="DH18" s="1001"/>
      <c r="DI18" s="1001"/>
      <c r="DM18" s="478" t="s">
        <v>812</v>
      </c>
      <c r="DO18" s="1001"/>
      <c r="DP18" s="1001"/>
      <c r="DQ18" s="1001"/>
      <c r="DR18" s="1001"/>
      <c r="DS18" s="1001"/>
      <c r="DT18" s="1001"/>
      <c r="DU18" s="1001"/>
      <c r="DV18" s="1001"/>
      <c r="DW18" s="1001"/>
      <c r="DX18" s="1001"/>
      <c r="DY18" s="1001"/>
    </row>
    <row r="19" spans="1:129">
      <c r="A19" s="477" t="str">
        <f>'G-1.01 DFIT'!N27</f>
        <v>ADFIT-Plant - AFUDC Equity</v>
      </c>
      <c r="C19" s="880">
        <v>4</v>
      </c>
      <c r="D19" s="879">
        <f>'G-1.01 DFIT'!S27</f>
        <v>-1099958.3461966666</v>
      </c>
      <c r="E19" s="879">
        <f>D19*E34</f>
        <v>-789176.11506226042</v>
      </c>
      <c r="F19" s="879">
        <f>D19*F34</f>
        <v>-310782.23113440617</v>
      </c>
      <c r="H19" s="890"/>
      <c r="I19" s="961"/>
      <c r="N19" s="894" t="s">
        <v>719</v>
      </c>
      <c r="Q19" s="879"/>
      <c r="R19" s="879"/>
      <c r="S19" s="879"/>
      <c r="T19" s="879"/>
      <c r="X19" s="182">
        <f>X18+1</f>
        <v>202304</v>
      </c>
      <c r="Y19" s="984">
        <v>-71503641.540000007</v>
      </c>
      <c r="Z19" s="983">
        <v>0</v>
      </c>
      <c r="AA19" s="978">
        <f t="shared" si="15"/>
        <v>-71503641.540000007</v>
      </c>
      <c r="AB19" s="978"/>
      <c r="AC19" s="984">
        <v>-829328.82</v>
      </c>
      <c r="AD19" s="984">
        <v>-540240964.48000002</v>
      </c>
      <c r="AE19" s="984">
        <v>-101557516.22</v>
      </c>
      <c r="AF19" s="984">
        <v>-60901157.909999996</v>
      </c>
      <c r="AH19" s="978">
        <f t="shared" si="16"/>
        <v>-775032608.97000003</v>
      </c>
      <c r="AI19" s="983">
        <v>0</v>
      </c>
      <c r="AJ19" s="888">
        <f t="shared" si="18"/>
        <v>-295674</v>
      </c>
      <c r="AK19" s="888"/>
      <c r="AQ19" s="985"/>
      <c r="AR19" s="890">
        <v>202212</v>
      </c>
      <c r="AS19" s="879">
        <v>0</v>
      </c>
      <c r="AT19" s="879"/>
      <c r="AU19" s="879">
        <f>'G-1.01 DFIT'!BF12</f>
        <v>-1338270.23</v>
      </c>
      <c r="AV19" s="879">
        <f>'G-1.01 DFIT'!BQ12</f>
        <v>-7184.3</v>
      </c>
      <c r="AW19" s="879">
        <f>'G-1.01 DFIT'!BZ12</f>
        <v>-5923743</v>
      </c>
      <c r="BA19" s="922"/>
      <c r="BB19" s="921"/>
      <c r="BC19" s="920">
        <f>SUM(BC7:BC18)</f>
        <v>29904.390000000007</v>
      </c>
      <c r="BD19" s="920"/>
      <c r="BE19" s="920"/>
      <c r="BF19" s="919"/>
      <c r="BJ19" s="922"/>
      <c r="BK19" s="921"/>
      <c r="BL19" s="920">
        <f>SUM(BL7:BL18)</f>
        <v>-407159.74</v>
      </c>
      <c r="BM19" s="920"/>
      <c r="BN19" s="920"/>
      <c r="BO19" s="919"/>
      <c r="BU19" s="922"/>
      <c r="BV19" s="921"/>
      <c r="BW19" s="920">
        <f>SUM(BW7:BW18)</f>
        <v>-2242994</v>
      </c>
      <c r="BX19" s="920"/>
      <c r="BY19" s="920"/>
      <c r="BZ19" s="919"/>
      <c r="CG19" s="477" t="s">
        <v>651</v>
      </c>
      <c r="CJ19" s="885">
        <f>SUM(CJ16:CJ18)</f>
        <v>-957129.84989579476</v>
      </c>
      <c r="CK19" s="885">
        <f>SUM(CK16:CK18)</f>
        <v>27896.571843761238</v>
      </c>
      <c r="CL19" s="885">
        <f>SUM(CL16:CL18)</f>
        <v>-8035</v>
      </c>
      <c r="CM19" s="885">
        <f>SUM(CM16:CM18)</f>
        <v>-151500</v>
      </c>
      <c r="CN19" s="885">
        <f>SUM(CN16:CN18)</f>
        <v>-825492.11506226042</v>
      </c>
      <c r="CQ19" s="887" t="s">
        <v>658</v>
      </c>
      <c r="CR19" s="992">
        <f>'G-1.01 DFIT'!DU11</f>
        <v>650522559</v>
      </c>
      <c r="CX19" s="478" t="s">
        <v>671</v>
      </c>
      <c r="CY19" s="1001">
        <f t="shared" ref="CY19:CZ22" si="21">SUM(DC19,DG19)</f>
        <v>329680076</v>
      </c>
      <c r="CZ19" s="1001">
        <f t="shared" si="21"/>
        <v>1236589882</v>
      </c>
      <c r="DA19" s="1001">
        <f>SUM(CY19:CZ19)</f>
        <v>1566269958</v>
      </c>
      <c r="DB19" s="1001"/>
      <c r="DC19" s="1003">
        <v>213393431</v>
      </c>
      <c r="DD19" s="1003">
        <v>796363884</v>
      </c>
      <c r="DE19" s="1001">
        <f>SUM(DC19:DD19)</f>
        <v>1009757315</v>
      </c>
      <c r="DF19" s="1001"/>
      <c r="DG19" s="1003">
        <v>116286645</v>
      </c>
      <c r="DH19" s="1003">
        <v>440225998</v>
      </c>
      <c r="DI19" s="1001">
        <f>SUM(DG19:DH19)</f>
        <v>556512643</v>
      </c>
      <c r="DM19" s="478">
        <v>303000</v>
      </c>
      <c r="DN19" s="478" t="s">
        <v>723</v>
      </c>
      <c r="DO19" s="1001">
        <f t="shared" ref="DO19:DO34" si="22">SUM(DS19,DW19)</f>
        <v>0</v>
      </c>
      <c r="DP19" s="1004">
        <v>1288554</v>
      </c>
      <c r="DQ19" s="1001">
        <f t="shared" ref="DQ19:DQ34" si="23">SUM(DO19:DP19)</f>
        <v>1288554</v>
      </c>
      <c r="DR19" s="1001"/>
      <c r="DS19" s="1004">
        <v>0</v>
      </c>
      <c r="DT19" s="1001">
        <f t="shared" ref="DT19:DT34" si="24">DP19*$DT$39</f>
        <v>924485.95283999993</v>
      </c>
      <c r="DU19" s="1001">
        <f>SUM(DS19:DT19)</f>
        <v>924485.95283999993</v>
      </c>
      <c r="DV19" s="1001"/>
      <c r="DW19" s="1004">
        <v>0</v>
      </c>
      <c r="DX19" s="1001">
        <f t="shared" ref="DX19:DX34" si="25">DP19-DT19</f>
        <v>364068.04716000007</v>
      </c>
      <c r="DY19" s="1001">
        <f t="shared" ref="DY19:DY34" si="26">SUM(DW19:DX19)</f>
        <v>364068.04716000007</v>
      </c>
    </row>
    <row r="20" spans="1:129">
      <c r="A20" s="183" t="s">
        <v>695</v>
      </c>
      <c r="C20" s="880">
        <v>4</v>
      </c>
      <c r="D20" s="879">
        <f>'G-1.01 DFIT'!S25</f>
        <v>40680.416808966685</v>
      </c>
      <c r="E20" s="879">
        <f>D20*E34</f>
        <v>29186.571843761238</v>
      </c>
      <c r="F20" s="879">
        <f>D20*F34</f>
        <v>11493.844965205448</v>
      </c>
      <c r="H20" s="890"/>
      <c r="I20" s="961"/>
      <c r="N20" s="477" t="s">
        <v>665</v>
      </c>
      <c r="O20" s="477" t="s">
        <v>718</v>
      </c>
      <c r="P20" s="906" t="s">
        <v>698</v>
      </c>
      <c r="Q20" s="902">
        <v>0</v>
      </c>
      <c r="R20" s="879">
        <f>Q20</f>
        <v>0</v>
      </c>
      <c r="S20" s="879"/>
      <c r="T20" s="879"/>
      <c r="X20" s="182">
        <f>X19+1</f>
        <v>202305</v>
      </c>
      <c r="Y20" s="984">
        <v>-71033883.540000007</v>
      </c>
      <c r="Z20" s="983">
        <v>0</v>
      </c>
      <c r="AA20" s="973">
        <f t="shared" si="15"/>
        <v>-71033883.540000007</v>
      </c>
      <c r="AB20" s="973"/>
      <c r="AC20" s="984">
        <v>-829328.82</v>
      </c>
      <c r="AD20" s="984">
        <v>-540843267.48000002</v>
      </c>
      <c r="AE20" s="984">
        <v>-101663629.22</v>
      </c>
      <c r="AF20" s="984">
        <v>-60958173.909999996</v>
      </c>
      <c r="AH20" s="973">
        <f t="shared" si="16"/>
        <v>-775328282.97000003</v>
      </c>
      <c r="AI20" s="983">
        <v>0</v>
      </c>
      <c r="AJ20" s="888">
        <f t="shared" si="18"/>
        <v>-295674</v>
      </c>
      <c r="AK20" s="888"/>
      <c r="AQ20" s="985"/>
      <c r="AR20" s="890">
        <v>202301</v>
      </c>
      <c r="AS20" s="879">
        <v>0</v>
      </c>
      <c r="AT20" s="879"/>
      <c r="AU20" s="879">
        <f>'G-1.01 DFIT'!BF13</f>
        <v>-1336046.24</v>
      </c>
      <c r="AV20" s="879">
        <f>'G-1.01 DFIT'!BQ13</f>
        <v>-7184.3</v>
      </c>
      <c r="AW20" s="879">
        <f>'G-1.01 DFIT'!BZ13</f>
        <v>-5923743</v>
      </c>
      <c r="CJ20" s="879"/>
      <c r="CX20" s="478" t="s">
        <v>664</v>
      </c>
      <c r="CY20" s="1001">
        <f t="shared" si="21"/>
        <v>42086112</v>
      </c>
      <c r="CZ20" s="1001">
        <f t="shared" si="21"/>
        <v>950932946</v>
      </c>
      <c r="DA20" s="1001">
        <f>SUM(CY20:CZ20)</f>
        <v>993019058</v>
      </c>
      <c r="DB20" s="1001"/>
      <c r="DC20" s="1003">
        <v>27505626</v>
      </c>
      <c r="DD20" s="1003">
        <v>612400817</v>
      </c>
      <c r="DE20" s="1001">
        <f>SUM(DC20:DD20)</f>
        <v>639906443</v>
      </c>
      <c r="DF20" s="1001"/>
      <c r="DG20" s="1003">
        <v>14580486</v>
      </c>
      <c r="DH20" s="1003">
        <v>338532129</v>
      </c>
      <c r="DI20" s="1001">
        <f>SUM(DG20:DH20)</f>
        <v>353112615</v>
      </c>
      <c r="DN20" s="478" t="s">
        <v>721</v>
      </c>
      <c r="DO20" s="1001">
        <f t="shared" si="22"/>
        <v>0</v>
      </c>
      <c r="DP20" s="1004">
        <v>44356</v>
      </c>
      <c r="DQ20" s="1001">
        <f t="shared" si="23"/>
        <v>44356</v>
      </c>
      <c r="DR20" s="1001"/>
      <c r="DS20" s="1004">
        <v>0</v>
      </c>
      <c r="DT20" s="1001">
        <f t="shared" si="24"/>
        <v>31823.655759999998</v>
      </c>
      <c r="DU20" s="1001">
        <f>SUM(DS20:DT20)</f>
        <v>31823.655759999998</v>
      </c>
      <c r="DV20" s="1001"/>
      <c r="DW20" s="1004">
        <v>0</v>
      </c>
      <c r="DX20" s="1001">
        <f t="shared" si="25"/>
        <v>12532.344240000002</v>
      </c>
      <c r="DY20" s="1001">
        <f t="shared" si="26"/>
        <v>12532.344240000002</v>
      </c>
    </row>
    <row r="21" spans="1:129" ht="13.5" thickBot="1">
      <c r="A21" s="477" t="str">
        <f>'G-1.01 DFIT'!N26</f>
        <v>FMB &amp; MTN Redeemed</v>
      </c>
      <c r="C21" s="880">
        <v>12</v>
      </c>
      <c r="D21" s="889">
        <f>'G-1.01 DFIT'!S26</f>
        <v>-277170.52368655003</v>
      </c>
      <c r="E21" s="889">
        <f>D21*E35</f>
        <v>-197140.30667729556</v>
      </c>
      <c r="F21" s="889">
        <f>D21*F35</f>
        <v>-80030.217009254455</v>
      </c>
      <c r="H21" s="890"/>
      <c r="I21" s="918"/>
      <c r="N21" s="477" t="s">
        <v>717</v>
      </c>
      <c r="O21" s="477" t="s">
        <v>716</v>
      </c>
      <c r="P21" s="906" t="s">
        <v>697</v>
      </c>
      <c r="Q21" s="902">
        <v>0</v>
      </c>
      <c r="R21" s="879">
        <f>Q21</f>
        <v>0</v>
      </c>
      <c r="S21" s="879"/>
      <c r="T21" s="879"/>
      <c r="X21" s="182">
        <f>X20+1</f>
        <v>202306</v>
      </c>
      <c r="Y21" s="984">
        <v>-70564125.540000007</v>
      </c>
      <c r="Z21" s="983">
        <v>0</v>
      </c>
      <c r="AA21" s="978">
        <f t="shared" si="15"/>
        <v>-70564125.540000007</v>
      </c>
      <c r="AB21" s="973"/>
      <c r="AC21" s="984">
        <v>-829328.82</v>
      </c>
      <c r="AD21" s="984">
        <v>-541445570.48000002</v>
      </c>
      <c r="AE21" s="984">
        <v>-101769742.22</v>
      </c>
      <c r="AF21" s="984">
        <v>-61015189.909999996</v>
      </c>
      <c r="AH21" s="978">
        <f t="shared" si="16"/>
        <v>-775623956.97000003</v>
      </c>
      <c r="AI21" s="983">
        <v>0</v>
      </c>
      <c r="AJ21" s="888">
        <f t="shared" si="18"/>
        <v>-295674</v>
      </c>
      <c r="AK21" s="888"/>
      <c r="AQ21" s="985"/>
      <c r="AR21" s="890">
        <v>202302</v>
      </c>
      <c r="AS21" s="879">
        <v>0</v>
      </c>
      <c r="AT21" s="879"/>
      <c r="AU21" s="879">
        <f>'G-1.01 DFIT'!BF14</f>
        <v>-1333474.3400000001</v>
      </c>
      <c r="AV21" s="879">
        <f>'G-1.01 DFIT'!BQ14</f>
        <v>-7184.3</v>
      </c>
      <c r="AW21" s="879">
        <f>'G-1.01 DFIT'!BZ14</f>
        <v>-5923743</v>
      </c>
      <c r="CG21" s="477" t="s">
        <v>649</v>
      </c>
      <c r="CI21" s="912" t="s">
        <v>781</v>
      </c>
      <c r="CJ21" s="882">
        <f>SUM(CJ14,CJ19)</f>
        <v>-84995314.73873964</v>
      </c>
      <c r="CK21" s="882">
        <f>SUM(CK14,CK19)</f>
        <v>-3571072.7186346725</v>
      </c>
      <c r="CL21" s="882">
        <f>SUM(CL14,CL19)</f>
        <v>-3293580.2399999998</v>
      </c>
      <c r="CM21" s="882">
        <f>SUM(CM14,CM19)</f>
        <v>-64609097.517719999</v>
      </c>
      <c r="CN21" s="882">
        <f>SUM(CN14,CN19)</f>
        <v>-13521564.95570768</v>
      </c>
      <c r="CO21" s="997">
        <f>CJ21-CK21-CL21-CM21-CN21</f>
        <v>0.69332269951701164</v>
      </c>
      <c r="CQ21" s="886" t="s">
        <v>62</v>
      </c>
      <c r="CR21" s="886" t="s">
        <v>654</v>
      </c>
      <c r="CX21" s="478" t="s">
        <v>45</v>
      </c>
      <c r="CY21" s="1001">
        <f t="shared" si="21"/>
        <v>2233863022</v>
      </c>
      <c r="CZ21" s="1001">
        <f t="shared" si="21"/>
        <v>3189321</v>
      </c>
      <c r="DA21" s="1001">
        <f>SUM(CY21:CZ21)</f>
        <v>2237052343</v>
      </c>
      <c r="DB21" s="1001"/>
      <c r="DC21" s="1003">
        <v>1484338725</v>
      </c>
      <c r="DD21" s="1003">
        <v>2044929</v>
      </c>
      <c r="DE21" s="1001">
        <f>SUM(DC21:DD21)</f>
        <v>1486383654</v>
      </c>
      <c r="DF21" s="1001"/>
      <c r="DG21" s="1003">
        <v>749524297</v>
      </c>
      <c r="DH21" s="1003">
        <v>1144392</v>
      </c>
      <c r="DI21" s="1001">
        <f>SUM(DG21:DH21)</f>
        <v>750668689</v>
      </c>
      <c r="DM21" s="478">
        <v>303100</v>
      </c>
      <c r="DN21" s="478" t="s">
        <v>723</v>
      </c>
      <c r="DO21" s="1001">
        <f t="shared" si="22"/>
        <v>0</v>
      </c>
      <c r="DP21" s="1004">
        <v>26245700</v>
      </c>
      <c r="DQ21" s="1001">
        <f t="shared" si="23"/>
        <v>26245700</v>
      </c>
      <c r="DR21" s="1001"/>
      <c r="DS21" s="1004">
        <v>0</v>
      </c>
      <c r="DT21" s="1001">
        <f t="shared" si="24"/>
        <v>18830239.921999998</v>
      </c>
      <c r="DU21" s="1001">
        <f>SUM(DS21:DT21)</f>
        <v>18830239.921999998</v>
      </c>
      <c r="DV21" s="1001"/>
      <c r="DW21" s="1004">
        <v>0</v>
      </c>
      <c r="DX21" s="1001">
        <f t="shared" si="25"/>
        <v>7415460.0780000016</v>
      </c>
      <c r="DY21" s="1001">
        <f t="shared" si="26"/>
        <v>7415460.0780000016</v>
      </c>
    </row>
    <row r="22" spans="1:129" ht="13.5" thickTop="1">
      <c r="A22" s="477" t="str">
        <f>'G-1.01 DFIT'!N28</f>
        <v xml:space="preserve">   Total Other Deferred FIT</v>
      </c>
      <c r="C22" s="880"/>
      <c r="D22" s="889">
        <f>SUM(D19:D21)</f>
        <v>-1336448.4530742499</v>
      </c>
      <c r="E22" s="889">
        <f>SUM(E19:E21)</f>
        <v>-957129.84989579476</v>
      </c>
      <c r="F22" s="889">
        <f>SUM(F19:F21)</f>
        <v>-379318.60317845515</v>
      </c>
      <c r="H22" s="890"/>
      <c r="I22" s="918"/>
      <c r="N22" s="477" t="s">
        <v>715</v>
      </c>
      <c r="O22" s="477" t="s">
        <v>714</v>
      </c>
      <c r="P22" s="906" t="s">
        <v>670</v>
      </c>
      <c r="Q22" s="902">
        <v>-5763133.1499999994</v>
      </c>
      <c r="R22" s="879">
        <f>Q22</f>
        <v>-5763133.1499999994</v>
      </c>
      <c r="S22" s="879"/>
      <c r="T22" s="879"/>
      <c r="Y22" s="980"/>
      <c r="Z22" s="980"/>
      <c r="AA22" s="980"/>
      <c r="AB22" s="973"/>
      <c r="AC22" s="980"/>
      <c r="AD22" s="980"/>
      <c r="AE22" s="980"/>
      <c r="AF22" s="980"/>
      <c r="AH22" s="980"/>
      <c r="AI22" s="973"/>
      <c r="AQ22" s="985"/>
      <c r="AR22" s="890">
        <v>202303</v>
      </c>
      <c r="AS22" s="879">
        <v>0</v>
      </c>
      <c r="AT22" s="879"/>
      <c r="AU22" s="879">
        <f>'G-1.01 DFIT'!BF15</f>
        <v>-1330902.44</v>
      </c>
      <c r="AV22" s="879">
        <f>'G-1.01 DFIT'!BQ15</f>
        <v>-7184.3</v>
      </c>
      <c r="AW22" s="879">
        <f>'G-1.01 DFIT'!BZ15</f>
        <v>-6217464</v>
      </c>
      <c r="CQ22" s="477" t="s">
        <v>344</v>
      </c>
      <c r="CR22" s="992">
        <f>'G-1.01 DFIT'!DU12</f>
        <v>112171436</v>
      </c>
      <c r="CT22" s="883">
        <f>CR22/CR24</f>
        <v>0.71934816878341767</v>
      </c>
      <c r="CX22" s="478" t="s">
        <v>61</v>
      </c>
      <c r="CY22" s="1001">
        <f t="shared" si="21"/>
        <v>132415852</v>
      </c>
      <c r="CZ22" s="1001">
        <f t="shared" si="21"/>
        <v>329612307</v>
      </c>
      <c r="DA22" s="1001">
        <f>SUM(CY22:CZ22)</f>
        <v>462028159</v>
      </c>
      <c r="DB22" s="1001"/>
      <c r="DC22" s="1003">
        <v>90186961</v>
      </c>
      <c r="DD22" s="1003">
        <v>220652368</v>
      </c>
      <c r="DE22" s="1001">
        <f>SUM(DC22:DD22)</f>
        <v>310839329</v>
      </c>
      <c r="DF22" s="1001"/>
      <c r="DG22" s="1003">
        <v>42228891</v>
      </c>
      <c r="DH22" s="1003">
        <v>108959939</v>
      </c>
      <c r="DI22" s="1001">
        <f>SUM(DG22:DH22)</f>
        <v>151188830</v>
      </c>
      <c r="DN22" s="478" t="s">
        <v>721</v>
      </c>
      <c r="DO22" s="1001">
        <f t="shared" si="22"/>
        <v>0</v>
      </c>
      <c r="DP22" s="1004">
        <v>137094</v>
      </c>
      <c r="DQ22" s="1001">
        <f t="shared" si="23"/>
        <v>137094</v>
      </c>
      <c r="DR22" s="1001"/>
      <c r="DS22" s="1004">
        <v>0</v>
      </c>
      <c r="DT22" s="1001">
        <f t="shared" si="24"/>
        <v>98359.461240000004</v>
      </c>
      <c r="DU22" s="1001"/>
      <c r="DV22" s="1001"/>
      <c r="DW22" s="1004">
        <v>0</v>
      </c>
      <c r="DX22" s="1001">
        <f t="shared" si="25"/>
        <v>38734.538759999996</v>
      </c>
      <c r="DY22" s="1001">
        <f t="shared" si="26"/>
        <v>38734.538759999996</v>
      </c>
    </row>
    <row r="23" spans="1:129" ht="13.5" thickBot="1">
      <c r="D23" s="879"/>
      <c r="E23" s="879"/>
      <c r="F23" s="879"/>
      <c r="H23" s="890"/>
      <c r="I23" s="918"/>
      <c r="N23" s="477" t="s">
        <v>713</v>
      </c>
      <c r="O23" s="477" t="s">
        <v>712</v>
      </c>
      <c r="P23" s="906" t="s">
        <v>696</v>
      </c>
      <c r="Q23" s="902">
        <v>276721.25</v>
      </c>
      <c r="R23" s="879">
        <f>Q23</f>
        <v>276721.25</v>
      </c>
      <c r="S23" s="879"/>
      <c r="T23" s="879"/>
      <c r="X23" s="477" t="s">
        <v>663</v>
      </c>
      <c r="Y23" s="974">
        <f>(((Y9+Y21)/2)+(Y10+Y11+Y12+Y13+Y14+Y15+Y16+Y17+Y18+Y19+Y20))/12</f>
        <v>-73317638.039999992</v>
      </c>
      <c r="Z23" s="974">
        <f>(((Z9+Z21)/2)+(Z10+Z11+Z12+Z13+Z14+Z15+Z16+Z17+Z18+Z19+Z20))/12</f>
        <v>0</v>
      </c>
      <c r="AA23" s="974">
        <f>SUM(Y23:Z23)</f>
        <v>-73317638.039999992</v>
      </c>
      <c r="AB23" s="973"/>
      <c r="AC23" s="974">
        <f>(((AC9+AC21)/2)+(AC10+AC11+AC12+AC13+AC14+AC15+AC16+AC17+AC18+AC19+AC20))/12</f>
        <v>-826966.73666666681</v>
      </c>
      <c r="AD23" s="974">
        <f>(((AD9+AD21)/2)+(AD10+AD11+AD12+AD13+AD14+AD15+AD16+AD17+AD18+AD19+AD20))/12</f>
        <v>-537938451.52166653</v>
      </c>
      <c r="AE23" s="974">
        <f>(((AE9+AE21)/2)+(AE10+AE11+AE12+AE13+AE14+AE15+AE16+AE17+AE18+AE19+AE20))/12</f>
        <v>-102335435.51166667</v>
      </c>
      <c r="AF23" s="974">
        <f>(((AF9+AF21)/2)+(AF10+AF11+AF12+AF13+AF14+AF15+AF16+AF17+AF18+AF19+AF20))/12</f>
        <v>-60814926.159999974</v>
      </c>
      <c r="AG23" s="973"/>
      <c r="AH23" s="974">
        <f>SUM(AA23:AF23)</f>
        <v>-775233417.96999979</v>
      </c>
      <c r="AI23" s="973"/>
      <c r="AQ23" s="985"/>
      <c r="AR23" s="890">
        <v>202304</v>
      </c>
      <c r="AS23" s="879">
        <v>0</v>
      </c>
      <c r="AT23" s="879"/>
      <c r="AU23" s="879">
        <f>'G-1.01 DFIT'!BF16</f>
        <v>-1328330.54</v>
      </c>
      <c r="AV23" s="879">
        <f>'G-1.01 DFIT'!BQ16</f>
        <v>-7184.3</v>
      </c>
      <c r="AW23" s="879">
        <f>'G-1.01 DFIT'!BZ16</f>
        <v>-6217464</v>
      </c>
      <c r="CG23" s="531"/>
      <c r="CJ23" s="978"/>
      <c r="CK23" s="978"/>
      <c r="CL23" s="978"/>
      <c r="CM23" s="978"/>
      <c r="CN23" s="978"/>
      <c r="CO23" s="879"/>
      <c r="CQ23" s="477" t="s">
        <v>650</v>
      </c>
      <c r="CR23" s="994">
        <f>-CR5</f>
        <v>43763396.210259989</v>
      </c>
      <c r="CT23" s="883">
        <f>CR23/CR24</f>
        <v>0.28065183121658244</v>
      </c>
      <c r="CY23" s="1001"/>
      <c r="CZ23" s="1001"/>
      <c r="DA23" s="1001"/>
      <c r="DB23" s="1001"/>
      <c r="DC23" s="1004"/>
      <c r="DD23" s="1004"/>
      <c r="DE23" s="1001"/>
      <c r="DF23" s="1001"/>
      <c r="DG23" s="1004"/>
      <c r="DH23" s="1004"/>
      <c r="DI23" s="1001">
        <f>SUM(DG23:DH23)</f>
        <v>0</v>
      </c>
      <c r="DM23" s="69" t="s">
        <v>796</v>
      </c>
      <c r="DN23" s="478" t="s">
        <v>723</v>
      </c>
      <c r="DO23" s="1001">
        <f t="shared" si="22"/>
        <v>0</v>
      </c>
      <c r="DP23" s="1004">
        <v>4132479</v>
      </c>
      <c r="DQ23" s="1001">
        <f t="shared" si="23"/>
        <v>4132479</v>
      </c>
      <c r="DR23" s="1001"/>
      <c r="DS23" s="1004">
        <v>0</v>
      </c>
      <c r="DT23" s="1001">
        <f t="shared" si="24"/>
        <v>2964888.3833400002</v>
      </c>
      <c r="DU23" s="1001">
        <f t="shared" ref="DU23:DU34" si="27">SUM(DS23:DT23)</f>
        <v>2964888.3833400002</v>
      </c>
      <c r="DV23" s="1001"/>
      <c r="DW23" s="1004">
        <v>0</v>
      </c>
      <c r="DX23" s="1001">
        <f t="shared" si="25"/>
        <v>1167590.6166599998</v>
      </c>
      <c r="DY23" s="1001">
        <f t="shared" si="26"/>
        <v>1167590.6166599998</v>
      </c>
    </row>
    <row r="24" spans="1:129" ht="13.5" thickBot="1">
      <c r="A24" s="477" t="str">
        <f>'G-1.01 DFIT'!N30</f>
        <v xml:space="preserve">      Total Deferred FIT</v>
      </c>
      <c r="C24" s="906" t="s">
        <v>694</v>
      </c>
      <c r="D24" s="908">
        <f>D17+D22</f>
        <v>-118848100.65745337</v>
      </c>
      <c r="E24" s="907">
        <f>E17+E22</f>
        <v>-84995314.73873964</v>
      </c>
      <c r="F24" s="907">
        <f>F17+F22</f>
        <v>-33852785.918713734</v>
      </c>
      <c r="H24" s="890" t="s">
        <v>709</v>
      </c>
      <c r="I24" s="888">
        <f>SUM(I14:I21)</f>
        <v>1212677780</v>
      </c>
      <c r="N24" s="477" t="s">
        <v>659</v>
      </c>
      <c r="O24" s="917" t="s">
        <v>711</v>
      </c>
      <c r="P24" s="914" t="s">
        <v>701</v>
      </c>
      <c r="Q24" s="902">
        <f>'G-1.01 DFIT'!AS26</f>
        <v>0</v>
      </c>
      <c r="R24" s="879">
        <f>Q24</f>
        <v>0</v>
      </c>
      <c r="S24" s="879"/>
      <c r="T24" s="879"/>
      <c r="Y24" s="973"/>
      <c r="Z24" s="973"/>
      <c r="AA24" s="973"/>
      <c r="AB24" s="973"/>
      <c r="AC24" s="973"/>
      <c r="AD24" s="973"/>
      <c r="AE24" s="973"/>
      <c r="AF24" s="973"/>
      <c r="AG24" s="973"/>
      <c r="AH24" s="975"/>
      <c r="AI24" s="973"/>
      <c r="AQ24" s="985"/>
      <c r="AR24" s="890">
        <v>202305</v>
      </c>
      <c r="AS24" s="879">
        <v>0</v>
      </c>
      <c r="AT24" s="879"/>
      <c r="AU24" s="879">
        <f>'G-1.01 DFIT'!BF17</f>
        <v>-1325758.6399999999</v>
      </c>
      <c r="AV24" s="879">
        <f>'G-1.01 DFIT'!BQ17</f>
        <v>-7184.3</v>
      </c>
      <c r="AW24" s="879">
        <f>'G-1.01 DFIT'!BZ17</f>
        <v>-6217464</v>
      </c>
      <c r="CJ24" s="978"/>
      <c r="CK24" s="978"/>
      <c r="CL24" s="978"/>
      <c r="CM24" s="978"/>
      <c r="CN24" s="978"/>
      <c r="CR24" s="992">
        <f>SUM(CR22:CR23)</f>
        <v>155934832.21025997</v>
      </c>
      <c r="CT24" s="883">
        <f>SUM(CT22:CT23)</f>
        <v>1</v>
      </c>
      <c r="CX24" s="478" t="s">
        <v>798</v>
      </c>
      <c r="CY24" s="1002">
        <f t="shared" ref="CY24:DE24" si="28">SUM(CY17:CY23)</f>
        <v>2761331633</v>
      </c>
      <c r="CZ24" s="1002">
        <f t="shared" si="28"/>
        <v>2854428454</v>
      </c>
      <c r="DA24" s="1002">
        <f t="shared" si="28"/>
        <v>5615760087</v>
      </c>
      <c r="DB24" s="1001">
        <f t="shared" si="28"/>
        <v>0</v>
      </c>
      <c r="DC24" s="1002">
        <f t="shared" si="28"/>
        <v>1838711314</v>
      </c>
      <c r="DD24" s="1002">
        <f t="shared" si="28"/>
        <v>1852737524</v>
      </c>
      <c r="DE24" s="1002">
        <f t="shared" si="28"/>
        <v>3691448838</v>
      </c>
      <c r="DF24" s="1001"/>
      <c r="DG24" s="1002">
        <f>SUM(DG17:DG23)</f>
        <v>922620319</v>
      </c>
      <c r="DH24" s="1002">
        <f>SUM(DH17:DH23)</f>
        <v>1001690930</v>
      </c>
      <c r="DI24" s="1002">
        <f>SUM(DI17:DI23)</f>
        <v>1924311249</v>
      </c>
      <c r="DN24" s="478" t="s">
        <v>721</v>
      </c>
      <c r="DO24" s="1001">
        <f t="shared" si="22"/>
        <v>0</v>
      </c>
      <c r="DP24" s="1004">
        <v>0</v>
      </c>
      <c r="DQ24" s="1001">
        <f t="shared" si="23"/>
        <v>0</v>
      </c>
      <c r="DR24" s="1001"/>
      <c r="DS24" s="1004">
        <v>0</v>
      </c>
      <c r="DT24" s="1001">
        <f t="shared" si="24"/>
        <v>0</v>
      </c>
      <c r="DU24" s="1001">
        <f t="shared" si="27"/>
        <v>0</v>
      </c>
      <c r="DV24" s="1001"/>
      <c r="DW24" s="1004">
        <v>0</v>
      </c>
      <c r="DX24" s="1001">
        <f t="shared" si="25"/>
        <v>0</v>
      </c>
      <c r="DY24" s="1001">
        <f t="shared" si="26"/>
        <v>0</v>
      </c>
    </row>
    <row r="25" spans="1:129" ht="14.25" thickTop="1" thickBot="1">
      <c r="D25" s="879"/>
      <c r="E25" s="930" t="s">
        <v>781</v>
      </c>
      <c r="F25" s="879"/>
      <c r="I25" s="888">
        <f>I24-'G-1.01 DFIT'!DQ14</f>
        <v>0</v>
      </c>
      <c r="N25" s="183" t="s">
        <v>695</v>
      </c>
      <c r="O25" s="917" t="s">
        <v>710</v>
      </c>
      <c r="P25" s="914" t="s">
        <v>699</v>
      </c>
      <c r="Q25" s="902">
        <f>'G-1.01 DFIT'!AV26</f>
        <v>196447.83083333343</v>
      </c>
      <c r="R25" s="879">
        <f>Q25*R34</f>
        <v>137733.50315386674</v>
      </c>
      <c r="S25" s="879">
        <f>Q25*S34</f>
        <v>40680.416808966685</v>
      </c>
      <c r="T25" s="879">
        <f>Q25*T34</f>
        <v>18033.910870500011</v>
      </c>
      <c r="X25" s="477" t="s">
        <v>660</v>
      </c>
      <c r="Y25" s="974">
        <f>Y21</f>
        <v>-70564125.540000007</v>
      </c>
      <c r="Z25" s="974">
        <f>Z21</f>
        <v>0</v>
      </c>
      <c r="AA25" s="974">
        <f>AA21</f>
        <v>-70564125.540000007</v>
      </c>
      <c r="AB25" s="973"/>
      <c r="AC25" s="974">
        <f>AC21</f>
        <v>-829328.82</v>
      </c>
      <c r="AD25" s="974">
        <f>AD21</f>
        <v>-541445570.48000002</v>
      </c>
      <c r="AE25" s="974">
        <f>AE21</f>
        <v>-101769742.22</v>
      </c>
      <c r="AF25" s="974">
        <f>AF21</f>
        <v>-61015189.909999996</v>
      </c>
      <c r="AG25" s="973"/>
      <c r="AH25" s="974">
        <f>SUM(AA25:AF25)</f>
        <v>-775623956.97000003</v>
      </c>
      <c r="AI25" s="973"/>
      <c r="AQ25" s="985"/>
      <c r="AR25" s="916" t="s">
        <v>706</v>
      </c>
      <c r="AS25" s="915">
        <f>SUM(AS13:AS24)</f>
        <v>0</v>
      </c>
      <c r="AT25" s="915"/>
      <c r="AU25" s="915">
        <f>SUM(AU13:AU24)</f>
        <v>-16061649.045000002</v>
      </c>
      <c r="AV25" s="915">
        <f>SUM(AV13:AV24)</f>
        <v>2357373.9700000011</v>
      </c>
      <c r="AW25" s="915">
        <f>SUM(AW13:AW24)</f>
        <v>-63741067</v>
      </c>
      <c r="CG25" s="894"/>
      <c r="CY25" s="1001"/>
      <c r="CZ25" s="1001"/>
      <c r="DA25" s="1001"/>
      <c r="DB25" s="1001"/>
      <c r="DC25" s="1001"/>
      <c r="DD25" s="1001"/>
      <c r="DE25" s="1001"/>
      <c r="DF25" s="1001"/>
      <c r="DG25" s="1001"/>
      <c r="DH25" s="1001"/>
      <c r="DI25" s="1001"/>
      <c r="DM25" s="478">
        <v>303110</v>
      </c>
      <c r="DN25" s="478" t="s">
        <v>723</v>
      </c>
      <c r="DO25" s="1001">
        <f t="shared" si="22"/>
        <v>0</v>
      </c>
      <c r="DP25" s="1004">
        <v>0</v>
      </c>
      <c r="DQ25" s="1001">
        <f t="shared" si="23"/>
        <v>0</v>
      </c>
      <c r="DR25" s="1001"/>
      <c r="DS25" s="1004">
        <v>0</v>
      </c>
      <c r="DT25" s="1001">
        <f t="shared" si="24"/>
        <v>0</v>
      </c>
      <c r="DU25" s="1001">
        <f t="shared" si="27"/>
        <v>0</v>
      </c>
      <c r="DV25" s="1001"/>
      <c r="DW25" s="1004">
        <v>0</v>
      </c>
      <c r="DX25" s="1001">
        <f t="shared" si="25"/>
        <v>0</v>
      </c>
      <c r="DY25" s="1001">
        <f t="shared" si="26"/>
        <v>0</v>
      </c>
    </row>
    <row r="26" spans="1:129">
      <c r="A26" s="477" t="s">
        <v>689</v>
      </c>
      <c r="D26" s="879">
        <f>SUM(E26:F26)</f>
        <v>-119043519</v>
      </c>
      <c r="E26" s="902">
        <v>-84771593</v>
      </c>
      <c r="F26" s="902">
        <v>-34271926</v>
      </c>
      <c r="H26" s="901" t="s">
        <v>780</v>
      </c>
      <c r="I26" s="884"/>
      <c r="N26" s="477" t="s">
        <v>708</v>
      </c>
      <c r="O26" s="917" t="s">
        <v>707</v>
      </c>
      <c r="P26" s="914" t="s">
        <v>700</v>
      </c>
      <c r="Q26" s="902">
        <f>'G-1.01 DFIT'!AU26</f>
        <v>-1338470.7537500001</v>
      </c>
      <c r="R26" s="879">
        <f>Q26*R34</f>
        <v>-938428.61486920004</v>
      </c>
      <c r="S26" s="879">
        <f>Q26*S34</f>
        <v>-277170.52368655003</v>
      </c>
      <c r="T26" s="879">
        <f>Q26*T34</f>
        <v>-122871.61519425003</v>
      </c>
      <c r="AB26" s="895"/>
      <c r="AC26" s="895"/>
      <c r="AR26" s="182" t="s">
        <v>702</v>
      </c>
      <c r="AS26" s="902">
        <f>AS25/12</f>
        <v>0</v>
      </c>
      <c r="AT26" s="902"/>
      <c r="AU26" s="902">
        <f>AU25/12</f>
        <v>-1338470.7537500001</v>
      </c>
      <c r="AV26" s="902">
        <f>AV25/12</f>
        <v>196447.83083333343</v>
      </c>
      <c r="AW26" s="902">
        <f>AW25/12</f>
        <v>-5311755.583333333</v>
      </c>
      <c r="CH26" s="477" t="s">
        <v>24</v>
      </c>
      <c r="CI26" s="477" t="s">
        <v>648</v>
      </c>
      <c r="CJ26" s="993">
        <f>SUM(CK26:CN26)</f>
        <v>846495348</v>
      </c>
      <c r="CK26" s="992">
        <f>CR7</f>
        <v>5538239.7897400111</v>
      </c>
      <c r="CL26" s="992">
        <f>CR13</f>
        <v>34499717</v>
      </c>
      <c r="CM26" s="992">
        <f>CR19</f>
        <v>650522559</v>
      </c>
      <c r="CN26" s="992">
        <f>CR24</f>
        <v>155934832.21025997</v>
      </c>
      <c r="CO26" s="888">
        <f>CJ26-'G-1.01 DFIT'!DU14</f>
        <v>0</v>
      </c>
      <c r="CY26" s="1001"/>
      <c r="CZ26" s="1001"/>
      <c r="DA26" s="1001"/>
      <c r="DB26" s="1001"/>
      <c r="DC26" s="1001"/>
      <c r="DD26" s="1001"/>
      <c r="DE26" s="1001"/>
      <c r="DF26" s="1001"/>
      <c r="DG26" s="1001"/>
      <c r="DH26" s="1001"/>
      <c r="DI26" s="1001"/>
      <c r="DN26" s="478" t="s">
        <v>721</v>
      </c>
      <c r="DO26" s="1001">
        <f t="shared" si="22"/>
        <v>0</v>
      </c>
      <c r="DP26" s="1004">
        <v>0</v>
      </c>
      <c r="DQ26" s="1001">
        <f t="shared" si="23"/>
        <v>0</v>
      </c>
      <c r="DR26" s="1001"/>
      <c r="DS26" s="1004">
        <v>0</v>
      </c>
      <c r="DT26" s="1001">
        <f t="shared" si="24"/>
        <v>0</v>
      </c>
      <c r="DU26" s="1001">
        <f t="shared" si="27"/>
        <v>0</v>
      </c>
      <c r="DV26" s="1001"/>
      <c r="DW26" s="1004">
        <v>0</v>
      </c>
      <c r="DX26" s="1001">
        <f t="shared" si="25"/>
        <v>0</v>
      </c>
      <c r="DY26" s="1001">
        <f t="shared" si="26"/>
        <v>0</v>
      </c>
    </row>
    <row r="27" spans="1:129" ht="13.5" thickBot="1">
      <c r="D27" s="879"/>
      <c r="E27" s="879"/>
      <c r="F27" s="879"/>
      <c r="H27" s="890"/>
      <c r="I27" s="884"/>
      <c r="N27" s="477" t="s">
        <v>705</v>
      </c>
      <c r="O27" s="183" t="s">
        <v>704</v>
      </c>
      <c r="P27" s="914" t="s">
        <v>655</v>
      </c>
      <c r="Q27" s="902">
        <f>'G-1.01 DFIT'!AW26</f>
        <v>-5311755.583333333</v>
      </c>
      <c r="R27" s="879">
        <f>Q27*R34</f>
        <v>-3724178.0745866662</v>
      </c>
      <c r="S27" s="879">
        <f>Q27*S34</f>
        <v>-1099958.3461966666</v>
      </c>
      <c r="T27" s="879">
        <f>Q27*T34</f>
        <v>-487619.16255000001</v>
      </c>
      <c r="X27" s="979" t="s">
        <v>703</v>
      </c>
      <c r="AB27" s="895"/>
      <c r="AC27" s="895"/>
      <c r="AS27" s="913" t="s">
        <v>701</v>
      </c>
      <c r="AT27" s="913"/>
      <c r="AU27" s="913" t="s">
        <v>700</v>
      </c>
      <c r="AV27" s="913" t="s">
        <v>699</v>
      </c>
      <c r="AW27" s="913" t="s">
        <v>655</v>
      </c>
      <c r="CK27" s="996">
        <f>ROUND(CK26/$CJ$26,7)</f>
        <v>6.5426E-3</v>
      </c>
      <c r="CL27" s="996">
        <f>ROUND(CL26/$CJ$26,7)</f>
        <v>4.0755899999999998E-2</v>
      </c>
      <c r="CM27" s="996">
        <f>ROUND(CM26/$CJ$26,7)</f>
        <v>0.76848919999999998</v>
      </c>
      <c r="CN27" s="996">
        <f>ROUND(CN26/$CJ$26,7)</f>
        <v>0.1842123</v>
      </c>
      <c r="CY27" s="1001"/>
      <c r="CZ27" s="1001"/>
      <c r="DA27" s="1001"/>
      <c r="DB27" s="1001"/>
      <c r="DC27" s="1001"/>
      <c r="DD27" s="1001"/>
      <c r="DE27" s="1001"/>
      <c r="DF27" s="1001"/>
      <c r="DG27" s="1001"/>
      <c r="DH27" s="1001"/>
      <c r="DI27" s="1001"/>
      <c r="DM27" s="478">
        <v>303115</v>
      </c>
      <c r="DN27" s="478" t="s">
        <v>723</v>
      </c>
      <c r="DO27" s="1001">
        <f t="shared" si="22"/>
        <v>0</v>
      </c>
      <c r="DP27" s="1004">
        <v>20327067</v>
      </c>
      <c r="DQ27" s="1001">
        <f t="shared" si="23"/>
        <v>20327067</v>
      </c>
      <c r="DR27" s="1001"/>
      <c r="DS27" s="1004">
        <v>0</v>
      </c>
      <c r="DT27" s="1001">
        <f t="shared" si="24"/>
        <v>14583857.48982</v>
      </c>
      <c r="DU27" s="1001">
        <f t="shared" si="27"/>
        <v>14583857.48982</v>
      </c>
      <c r="DV27" s="1001"/>
      <c r="DW27" s="1004">
        <v>0</v>
      </c>
      <c r="DX27" s="1001">
        <f t="shared" si="25"/>
        <v>5743209.5101800002</v>
      </c>
      <c r="DY27" s="1001">
        <f t="shared" si="26"/>
        <v>5743209.5101800002</v>
      </c>
    </row>
    <row r="28" spans="1:129" ht="14.25" thickTop="1" thickBot="1">
      <c r="A28" s="477" t="s">
        <v>19</v>
      </c>
      <c r="D28" s="879">
        <f>D24-D26</f>
        <v>195418.34254662693</v>
      </c>
      <c r="E28" s="900">
        <f>E24-E26</f>
        <v>-223721.73873963952</v>
      </c>
      <c r="F28" s="879">
        <f>F24-F26</f>
        <v>419140.08128626645</v>
      </c>
      <c r="H28" s="890"/>
      <c r="I28" s="884"/>
      <c r="N28" s="477" t="s">
        <v>651</v>
      </c>
      <c r="Q28" s="885">
        <f>SUM(Q20:Q27)</f>
        <v>-11940190.40625</v>
      </c>
      <c r="R28" s="885">
        <f>SUM(R20:R27)</f>
        <v>-10011285.086301997</v>
      </c>
      <c r="S28" s="885">
        <f>SUM(S20:S27)</f>
        <v>-1336448.4530742499</v>
      </c>
      <c r="T28" s="885">
        <f>SUM(T20:T27)</f>
        <v>-592456.86687375</v>
      </c>
      <c r="X28" s="880"/>
      <c r="Y28" s="880">
        <v>282900</v>
      </c>
      <c r="Z28" s="880">
        <v>283000</v>
      </c>
      <c r="AA28" s="880" t="s">
        <v>24</v>
      </c>
      <c r="AB28" s="880"/>
      <c r="AC28" s="880">
        <v>282900</v>
      </c>
      <c r="AD28" s="880">
        <v>282900</v>
      </c>
      <c r="AE28" s="880">
        <v>282900</v>
      </c>
      <c r="AF28" s="880">
        <v>282900</v>
      </c>
      <c r="AG28" s="880"/>
      <c r="AH28" s="880"/>
      <c r="AI28" s="880">
        <v>282900</v>
      </c>
      <c r="AJ28" s="888">
        <f>SUM(AK28:AN29)</f>
        <v>0</v>
      </c>
      <c r="CI28" s="880"/>
      <c r="CJ28" s="879"/>
      <c r="CK28" s="879"/>
      <c r="CL28" s="973"/>
      <c r="CM28" s="973"/>
      <c r="CN28" s="973"/>
      <c r="CW28" s="478" t="s">
        <v>797</v>
      </c>
      <c r="CY28" s="1001"/>
      <c r="CZ28" s="1001"/>
      <c r="DA28" s="1001"/>
      <c r="DB28" s="1001"/>
      <c r="DC28" s="1001"/>
      <c r="DD28" s="1001"/>
      <c r="DE28" s="1001"/>
      <c r="DF28" s="1001"/>
      <c r="DG28" s="1001"/>
      <c r="DH28" s="1001"/>
      <c r="DI28" s="1001"/>
      <c r="DN28" s="478" t="s">
        <v>721</v>
      </c>
      <c r="DO28" s="1001">
        <f t="shared" si="22"/>
        <v>0</v>
      </c>
      <c r="DP28" s="1004">
        <v>0</v>
      </c>
      <c r="DQ28" s="1001">
        <f t="shared" si="23"/>
        <v>0</v>
      </c>
      <c r="DR28" s="1001"/>
      <c r="DS28" s="1004">
        <v>0</v>
      </c>
      <c r="DT28" s="1001">
        <f t="shared" si="24"/>
        <v>0</v>
      </c>
      <c r="DU28" s="1001">
        <f t="shared" si="27"/>
        <v>0</v>
      </c>
      <c r="DV28" s="1001"/>
      <c r="DW28" s="1004">
        <v>0</v>
      </c>
      <c r="DX28" s="1001">
        <f t="shared" si="25"/>
        <v>0</v>
      </c>
      <c r="DY28" s="1001">
        <f t="shared" si="26"/>
        <v>0</v>
      </c>
    </row>
    <row r="29" spans="1:129" ht="13.5" thickTop="1">
      <c r="D29" s="879"/>
      <c r="E29" s="879"/>
      <c r="F29" s="879"/>
      <c r="H29" s="890"/>
      <c r="I29" s="910"/>
      <c r="Q29" s="879"/>
      <c r="R29" s="879"/>
      <c r="S29" s="879"/>
      <c r="T29" s="879"/>
      <c r="Y29" s="880" t="s">
        <v>682</v>
      </c>
      <c r="Z29" s="880" t="s">
        <v>682</v>
      </c>
      <c r="AA29" s="880" t="s">
        <v>682</v>
      </c>
      <c r="AB29" s="880"/>
      <c r="AC29" s="880" t="s">
        <v>682</v>
      </c>
      <c r="AD29" s="880" t="s">
        <v>681</v>
      </c>
      <c r="AE29" s="880" t="s">
        <v>680</v>
      </c>
      <c r="AF29" s="880" t="s">
        <v>680</v>
      </c>
      <c r="AI29" s="880" t="s">
        <v>675</v>
      </c>
      <c r="CI29" s="880"/>
      <c r="CJ29" s="879"/>
      <c r="CK29" s="879"/>
      <c r="CL29" s="879"/>
      <c r="CM29" s="879"/>
      <c r="CN29" s="879"/>
      <c r="CW29" s="478">
        <v>303000</v>
      </c>
      <c r="CX29" s="478" t="s">
        <v>723</v>
      </c>
      <c r="CY29" s="1001">
        <f t="shared" ref="CY29:CY44" si="29">SUM(DC29,DG29)</f>
        <v>0</v>
      </c>
      <c r="CZ29" s="1003">
        <v>4362714</v>
      </c>
      <c r="DA29" s="1001">
        <f t="shared" ref="DA29:DA44" si="30">SUM(CY29:CZ29)</f>
        <v>4362714</v>
      </c>
      <c r="DB29" s="1001"/>
      <c r="DC29" s="1001">
        <v>0</v>
      </c>
      <c r="DD29" s="1001">
        <f>CZ29*DD49</f>
        <v>2809587.8160000001</v>
      </c>
      <c r="DE29" s="1001">
        <f t="shared" ref="DE29:DE44" si="31">SUM(DC29:DD29)</f>
        <v>2809587.8160000001</v>
      </c>
      <c r="DF29" s="1001"/>
      <c r="DG29" s="1001">
        <v>0</v>
      </c>
      <c r="DH29" s="1001">
        <f t="shared" ref="DH29:DH44" si="32">CZ29-DD29</f>
        <v>1553126.1839999999</v>
      </c>
      <c r="DI29" s="1001">
        <f t="shared" ref="DI29:DI44" si="33">SUM(DG29:DH29)</f>
        <v>1553126.1839999999</v>
      </c>
      <c r="DM29" s="478">
        <v>303120</v>
      </c>
      <c r="DN29" s="478" t="s">
        <v>723</v>
      </c>
      <c r="DO29" s="1001">
        <f t="shared" si="22"/>
        <v>0</v>
      </c>
      <c r="DP29" s="1004">
        <v>6045264</v>
      </c>
      <c r="DQ29" s="1001">
        <f t="shared" si="23"/>
        <v>6045264</v>
      </c>
      <c r="DR29" s="1001"/>
      <c r="DS29" s="1004">
        <v>0</v>
      </c>
      <c r="DT29" s="1001">
        <f t="shared" si="24"/>
        <v>4337235.1094399998</v>
      </c>
      <c r="DU29" s="1001">
        <f t="shared" si="27"/>
        <v>4337235.1094399998</v>
      </c>
      <c r="DV29" s="1001"/>
      <c r="DW29" s="1004">
        <v>0</v>
      </c>
      <c r="DX29" s="1001">
        <f t="shared" si="25"/>
        <v>1708028.8905600002</v>
      </c>
      <c r="DY29" s="1001">
        <f t="shared" si="26"/>
        <v>1708028.8905600002</v>
      </c>
    </row>
    <row r="30" spans="1:129" ht="13.5" thickBot="1">
      <c r="D30" s="879"/>
      <c r="E30" s="879"/>
      <c r="F30" s="879"/>
      <c r="I30" s="909"/>
      <c r="N30" s="477" t="s">
        <v>649</v>
      </c>
      <c r="Q30" s="911">
        <f>Q17+Q28</f>
        <v>-783132757.01161945</v>
      </c>
      <c r="R30" s="908">
        <f>R17+R28</f>
        <v>-597252222.36338317</v>
      </c>
      <c r="S30" s="908">
        <f>S17+S28</f>
        <v>-118848100.29682985</v>
      </c>
      <c r="T30" s="911">
        <f>T17+T28</f>
        <v>-67032434.351406462</v>
      </c>
      <c r="U30" s="199"/>
      <c r="X30" s="893" t="s">
        <v>679</v>
      </c>
      <c r="Y30" s="892" t="s">
        <v>678</v>
      </c>
      <c r="Z30" s="892" t="s">
        <v>678</v>
      </c>
      <c r="AA30" s="892" t="s">
        <v>678</v>
      </c>
      <c r="AB30" s="880"/>
      <c r="AC30" s="892" t="s">
        <v>677</v>
      </c>
      <c r="AD30" s="892" t="s">
        <v>677</v>
      </c>
      <c r="AE30" s="892" t="s">
        <v>677</v>
      </c>
      <c r="AF30" s="892" t="s">
        <v>676</v>
      </c>
      <c r="AG30" s="893"/>
      <c r="AH30" s="892" t="s">
        <v>198</v>
      </c>
      <c r="AI30" s="892" t="s">
        <v>675</v>
      </c>
      <c r="CX30" s="478" t="s">
        <v>721</v>
      </c>
      <c r="CY30" s="1001">
        <f t="shared" si="29"/>
        <v>0</v>
      </c>
      <c r="CZ30" s="1003">
        <v>149702</v>
      </c>
      <c r="DA30" s="1001">
        <f t="shared" si="30"/>
        <v>149702</v>
      </c>
      <c r="DB30" s="1001"/>
      <c r="DC30" s="1001">
        <v>0</v>
      </c>
      <c r="DD30" s="1001">
        <f t="shared" ref="DD30:DD44" si="34">CZ30*$DD$50</f>
        <v>100215.00985999999</v>
      </c>
      <c r="DE30" s="1001">
        <f t="shared" si="31"/>
        <v>100215.00985999999</v>
      </c>
      <c r="DF30" s="1001"/>
      <c r="DG30" s="1001">
        <v>0</v>
      </c>
      <c r="DH30" s="1001">
        <f t="shared" si="32"/>
        <v>49486.990140000009</v>
      </c>
      <c r="DI30" s="1001">
        <f t="shared" si="33"/>
        <v>49486.990140000009</v>
      </c>
      <c r="DN30" s="478" t="s">
        <v>721</v>
      </c>
      <c r="DO30" s="1001">
        <f t="shared" si="22"/>
        <v>0</v>
      </c>
      <c r="DP30" s="1004">
        <v>0</v>
      </c>
      <c r="DQ30" s="1001">
        <f t="shared" si="23"/>
        <v>0</v>
      </c>
      <c r="DR30" s="1001"/>
      <c r="DS30" s="1004">
        <v>0</v>
      </c>
      <c r="DT30" s="1001">
        <f t="shared" si="24"/>
        <v>0</v>
      </c>
      <c r="DU30" s="1001">
        <f t="shared" si="27"/>
        <v>0</v>
      </c>
      <c r="DV30" s="1001"/>
      <c r="DW30" s="1004">
        <v>0</v>
      </c>
      <c r="DX30" s="1001">
        <f t="shared" si="25"/>
        <v>0</v>
      </c>
      <c r="DY30" s="1001">
        <f t="shared" si="26"/>
        <v>0</v>
      </c>
    </row>
    <row r="31" spans="1:129" ht="13.5" thickTop="1">
      <c r="H31" s="890"/>
      <c r="I31" s="905"/>
      <c r="R31" s="906" t="s">
        <v>693</v>
      </c>
      <c r="S31" s="906" t="s">
        <v>694</v>
      </c>
      <c r="X31" s="182">
        <f t="shared" ref="X31:X43" si="35">X9</f>
        <v>202206</v>
      </c>
      <c r="Y31" s="981">
        <f t="shared" ref="Y31:AA43" si="36">Y53-Y9</f>
        <v>-2842796.3938403428</v>
      </c>
      <c r="Z31" s="981">
        <f t="shared" si="36"/>
        <v>0</v>
      </c>
      <c r="AA31" s="981">
        <f t="shared" si="36"/>
        <v>-2842796.3938403428</v>
      </c>
      <c r="AB31" s="981"/>
      <c r="AC31" s="981">
        <f t="shared" ref="AC31:AF43" si="37">AC53-AC9</f>
        <v>847756.82</v>
      </c>
      <c r="AD31" s="981">
        <f t="shared" si="37"/>
        <v>-119610.63712286949</v>
      </c>
      <c r="AE31" s="981">
        <f t="shared" si="37"/>
        <v>1642285.3593988419</v>
      </c>
      <c r="AF31" s="981">
        <f t="shared" si="37"/>
        <v>1825280.1585804746</v>
      </c>
      <c r="AH31" s="981">
        <f t="shared" ref="AH31:AH43" si="38">SUM(AA31:AF31)</f>
        <v>1352915.307016104</v>
      </c>
      <c r="AI31" s="973"/>
      <c r="CW31" s="478">
        <v>303100</v>
      </c>
      <c r="CX31" s="478" t="s">
        <v>723</v>
      </c>
      <c r="CY31" s="1001">
        <f t="shared" si="29"/>
        <v>0</v>
      </c>
      <c r="CZ31" s="1003">
        <v>88861238</v>
      </c>
      <c r="DA31" s="1001">
        <f t="shared" si="30"/>
        <v>88861238</v>
      </c>
      <c r="DB31" s="1001"/>
      <c r="DC31" s="1001">
        <v>0</v>
      </c>
      <c r="DD31" s="1001">
        <f t="shared" si="34"/>
        <v>59486378.554339997</v>
      </c>
      <c r="DE31" s="1001">
        <f t="shared" si="31"/>
        <v>59486378.554339997</v>
      </c>
      <c r="DF31" s="1001"/>
      <c r="DG31" s="1001">
        <v>0</v>
      </c>
      <c r="DH31" s="1001">
        <f t="shared" si="32"/>
        <v>29374859.445660003</v>
      </c>
      <c r="DI31" s="1001">
        <f t="shared" si="33"/>
        <v>29374859.445660003</v>
      </c>
      <c r="DM31" s="478">
        <v>303121</v>
      </c>
      <c r="DN31" s="478" t="s">
        <v>723</v>
      </c>
      <c r="DO31" s="1001">
        <f t="shared" si="22"/>
        <v>0</v>
      </c>
      <c r="DP31" s="1004">
        <v>17238</v>
      </c>
      <c r="DQ31" s="1001">
        <f t="shared" si="23"/>
        <v>17238</v>
      </c>
      <c r="DR31" s="1001"/>
      <c r="DS31" s="1004">
        <v>0</v>
      </c>
      <c r="DT31" s="1001">
        <f t="shared" si="24"/>
        <v>12367.57548</v>
      </c>
      <c r="DU31" s="1001">
        <f t="shared" si="27"/>
        <v>12367.57548</v>
      </c>
      <c r="DV31" s="1001"/>
      <c r="DW31" s="1004">
        <v>0</v>
      </c>
      <c r="DX31" s="1001">
        <f t="shared" si="25"/>
        <v>4870.4245200000005</v>
      </c>
      <c r="DY31" s="1001">
        <f t="shared" si="26"/>
        <v>4870.4245200000005</v>
      </c>
    </row>
    <row r="32" spans="1:129">
      <c r="A32" s="477" t="s">
        <v>688</v>
      </c>
      <c r="H32" s="890"/>
      <c r="I32" s="905"/>
      <c r="X32" s="182">
        <f t="shared" si="35"/>
        <v>202207</v>
      </c>
      <c r="Y32" s="981">
        <f t="shared" si="36"/>
        <v>-2705059.0291137397</v>
      </c>
      <c r="Z32" s="981">
        <f t="shared" si="36"/>
        <v>0</v>
      </c>
      <c r="AA32" s="981">
        <f t="shared" si="36"/>
        <v>-2705059.0291137397</v>
      </c>
      <c r="AB32" s="981"/>
      <c r="AC32" s="981">
        <f t="shared" si="37"/>
        <v>845501.82</v>
      </c>
      <c r="AD32" s="981">
        <f t="shared" si="37"/>
        <v>-46609.91592669487</v>
      </c>
      <c r="AE32" s="981">
        <f t="shared" si="37"/>
        <v>1797818.4662153274</v>
      </c>
      <c r="AF32" s="981">
        <f t="shared" si="37"/>
        <v>1847560.3087772205</v>
      </c>
      <c r="AH32" s="981">
        <f t="shared" si="38"/>
        <v>1739211.6499521132</v>
      </c>
      <c r="AI32" s="973"/>
      <c r="CX32" s="478" t="s">
        <v>721</v>
      </c>
      <c r="CY32" s="1001">
        <f t="shared" si="29"/>
        <v>0</v>
      </c>
      <c r="CZ32" s="1003">
        <v>462697</v>
      </c>
      <c r="DA32" s="1001">
        <f t="shared" si="30"/>
        <v>462697</v>
      </c>
      <c r="DB32" s="1001"/>
      <c r="DC32" s="1001">
        <v>0</v>
      </c>
      <c r="DD32" s="1001">
        <f t="shared" si="34"/>
        <v>309743.25270999997</v>
      </c>
      <c r="DE32" s="1001">
        <f t="shared" si="31"/>
        <v>309743.25270999997</v>
      </c>
      <c r="DF32" s="1001"/>
      <c r="DG32" s="1001">
        <v>0</v>
      </c>
      <c r="DH32" s="1001">
        <f t="shared" si="32"/>
        <v>152953.74729000003</v>
      </c>
      <c r="DI32" s="1001">
        <f t="shared" si="33"/>
        <v>152953.74729000003</v>
      </c>
      <c r="DN32" s="478" t="s">
        <v>721</v>
      </c>
      <c r="DO32" s="1001">
        <f t="shared" si="22"/>
        <v>0</v>
      </c>
      <c r="DP32" s="1004">
        <v>0</v>
      </c>
      <c r="DQ32" s="1001">
        <f t="shared" si="23"/>
        <v>0</v>
      </c>
      <c r="DR32" s="1001"/>
      <c r="DS32" s="1004">
        <v>0</v>
      </c>
      <c r="DT32" s="1001">
        <f t="shared" si="24"/>
        <v>0</v>
      </c>
      <c r="DU32" s="1001">
        <f t="shared" si="27"/>
        <v>0</v>
      </c>
      <c r="DV32" s="1001"/>
      <c r="DW32" s="1004">
        <v>0</v>
      </c>
      <c r="DX32" s="1001">
        <f t="shared" si="25"/>
        <v>0</v>
      </c>
      <c r="DY32" s="1001">
        <f t="shared" si="26"/>
        <v>0</v>
      </c>
    </row>
    <row r="33" spans="1:129">
      <c r="A33" s="477" t="s">
        <v>779</v>
      </c>
      <c r="C33" s="880">
        <v>1</v>
      </c>
      <c r="D33" s="904">
        <f>SUM(E33:F33)</f>
        <v>1</v>
      </c>
      <c r="E33" s="898">
        <v>0.6845</v>
      </c>
      <c r="F33" s="897">
        <f>1-E33</f>
        <v>0.3155</v>
      </c>
      <c r="H33" s="890"/>
      <c r="I33" s="905"/>
      <c r="N33" s="896" t="s">
        <v>685</v>
      </c>
      <c r="O33" s="896"/>
      <c r="X33" s="182">
        <f t="shared" si="35"/>
        <v>202208</v>
      </c>
      <c r="Y33" s="981">
        <f t="shared" si="36"/>
        <v>-2567321.6643871367</v>
      </c>
      <c r="Z33" s="981">
        <f t="shared" si="36"/>
        <v>0</v>
      </c>
      <c r="AA33" s="981">
        <f t="shared" si="36"/>
        <v>-2567321.6643871367</v>
      </c>
      <c r="AB33" s="981"/>
      <c r="AC33" s="981">
        <f t="shared" si="37"/>
        <v>843246.82</v>
      </c>
      <c r="AD33" s="981">
        <f t="shared" si="37"/>
        <v>26390.805269479752</v>
      </c>
      <c r="AE33" s="981">
        <f t="shared" si="37"/>
        <v>1953351.573031798</v>
      </c>
      <c r="AF33" s="981">
        <f t="shared" si="37"/>
        <v>1869840.458973974</v>
      </c>
      <c r="AH33" s="981">
        <f t="shared" si="38"/>
        <v>2125507.9928881149</v>
      </c>
      <c r="AI33" s="973"/>
      <c r="CG33" s="477" t="s">
        <v>111</v>
      </c>
      <c r="CR33" s="477" t="s">
        <v>683</v>
      </c>
      <c r="CW33" s="69" t="s">
        <v>796</v>
      </c>
      <c r="CX33" s="478" t="s">
        <v>723</v>
      </c>
      <c r="CY33" s="1001">
        <f t="shared" si="29"/>
        <v>0</v>
      </c>
      <c r="CZ33" s="1003">
        <v>13991520</v>
      </c>
      <c r="DA33" s="1001">
        <f t="shared" si="30"/>
        <v>13991520</v>
      </c>
      <c r="DB33" s="1001"/>
      <c r="DC33" s="1001">
        <v>0</v>
      </c>
      <c r="DD33" s="1001">
        <f t="shared" si="34"/>
        <v>9366343.2335999999</v>
      </c>
      <c r="DE33" s="1001">
        <f t="shared" si="31"/>
        <v>9366343.2335999999</v>
      </c>
      <c r="DF33" s="1001"/>
      <c r="DG33" s="1001">
        <v>0</v>
      </c>
      <c r="DH33" s="1001">
        <f t="shared" si="32"/>
        <v>4625176.7664000001</v>
      </c>
      <c r="DI33" s="1001">
        <f t="shared" si="33"/>
        <v>4625176.7664000001</v>
      </c>
      <c r="DM33" s="69" t="s">
        <v>795</v>
      </c>
      <c r="DN33" s="478" t="s">
        <v>723</v>
      </c>
      <c r="DO33" s="1001">
        <f t="shared" si="22"/>
        <v>0</v>
      </c>
      <c r="DP33" s="1004">
        <v>2759929</v>
      </c>
      <c r="DQ33" s="1001">
        <f t="shared" si="23"/>
        <v>2759929</v>
      </c>
      <c r="DR33" s="1001"/>
      <c r="DS33" s="1004">
        <v>0</v>
      </c>
      <c r="DT33" s="1001">
        <f t="shared" si="24"/>
        <v>1980138.6603399999</v>
      </c>
      <c r="DU33" s="1001">
        <f t="shared" si="27"/>
        <v>1980138.6603399999</v>
      </c>
      <c r="DV33" s="1001"/>
      <c r="DW33" s="1004">
        <v>0</v>
      </c>
      <c r="DX33" s="1001">
        <f t="shared" si="25"/>
        <v>779790.33966000006</v>
      </c>
      <c r="DY33" s="1001">
        <f t="shared" si="26"/>
        <v>779790.33966000006</v>
      </c>
    </row>
    <row r="34" spans="1:129">
      <c r="A34" s="477" t="s">
        <v>687</v>
      </c>
      <c r="C34" s="880">
        <v>4</v>
      </c>
      <c r="D34" s="904">
        <f>SUM(E34:F34)</f>
        <v>1</v>
      </c>
      <c r="E34" s="898">
        <v>0.71745999999999999</v>
      </c>
      <c r="F34" s="897">
        <f>1-E34</f>
        <v>0.28254000000000001</v>
      </c>
      <c r="O34" s="477" t="s">
        <v>692</v>
      </c>
      <c r="Q34" s="904">
        <f>SUM(R34:T34)</f>
        <v>0.99999999999999989</v>
      </c>
      <c r="R34" s="898">
        <v>0.70111999999999997</v>
      </c>
      <c r="S34" s="898">
        <v>0.20707999999999999</v>
      </c>
      <c r="T34" s="898">
        <v>9.1800000000000007E-2</v>
      </c>
      <c r="U34" s="903" t="s">
        <v>690</v>
      </c>
      <c r="X34" s="182">
        <f t="shared" si="35"/>
        <v>202209</v>
      </c>
      <c r="Y34" s="981">
        <f t="shared" si="36"/>
        <v>-2823648.2996605188</v>
      </c>
      <c r="Z34" s="981">
        <f t="shared" si="36"/>
        <v>0</v>
      </c>
      <c r="AA34" s="981">
        <f t="shared" si="36"/>
        <v>-2823648.2996605188</v>
      </c>
      <c r="AB34" s="981"/>
      <c r="AC34" s="981">
        <f t="shared" si="37"/>
        <v>809033.82</v>
      </c>
      <c r="AD34" s="981">
        <f t="shared" si="37"/>
        <v>5181837.5264656544</v>
      </c>
      <c r="AE34" s="981">
        <f t="shared" si="37"/>
        <v>1264929.6798482686</v>
      </c>
      <c r="AF34" s="981">
        <f t="shared" si="37"/>
        <v>1271482.60917072</v>
      </c>
      <c r="AH34" s="981">
        <f t="shared" si="38"/>
        <v>5703635.3358241245</v>
      </c>
      <c r="AI34" s="973"/>
      <c r="CG34" s="894" t="s">
        <v>791</v>
      </c>
      <c r="CX34" s="478" t="s">
        <v>721</v>
      </c>
      <c r="CY34" s="1001">
        <f t="shared" si="29"/>
        <v>0</v>
      </c>
      <c r="CZ34" s="1003">
        <v>0</v>
      </c>
      <c r="DA34" s="1001">
        <f t="shared" si="30"/>
        <v>0</v>
      </c>
      <c r="DB34" s="1001"/>
      <c r="DC34" s="1001">
        <v>0</v>
      </c>
      <c r="DD34" s="1001">
        <f t="shared" si="34"/>
        <v>0</v>
      </c>
      <c r="DE34" s="1001">
        <f t="shared" si="31"/>
        <v>0</v>
      </c>
      <c r="DF34" s="1001"/>
      <c r="DG34" s="1001">
        <v>0</v>
      </c>
      <c r="DH34" s="1001">
        <f t="shared" si="32"/>
        <v>0</v>
      </c>
      <c r="DI34" s="1001">
        <f t="shared" si="33"/>
        <v>0</v>
      </c>
      <c r="DN34" s="478" t="s">
        <v>721</v>
      </c>
      <c r="DO34" s="1001">
        <f t="shared" si="22"/>
        <v>0</v>
      </c>
      <c r="DP34" s="1004">
        <v>0</v>
      </c>
      <c r="DQ34" s="1001">
        <f t="shared" si="23"/>
        <v>0</v>
      </c>
      <c r="DR34" s="1001"/>
      <c r="DS34" s="1004">
        <v>0</v>
      </c>
      <c r="DT34" s="1001">
        <f t="shared" si="24"/>
        <v>0</v>
      </c>
      <c r="DU34" s="1001">
        <f t="shared" si="27"/>
        <v>0</v>
      </c>
      <c r="DV34" s="1001"/>
      <c r="DW34" s="1004">
        <v>0</v>
      </c>
      <c r="DX34" s="1001">
        <f t="shared" si="25"/>
        <v>0</v>
      </c>
      <c r="DY34" s="1001">
        <f t="shared" si="26"/>
        <v>0</v>
      </c>
    </row>
    <row r="35" spans="1:129" ht="13.5" thickBot="1">
      <c r="A35" s="477" t="s">
        <v>778</v>
      </c>
      <c r="C35" s="880">
        <v>12</v>
      </c>
      <c r="D35" s="904">
        <f>SUM(E35:F35)</f>
        <v>1</v>
      </c>
      <c r="E35" s="898">
        <v>0.71126</v>
      </c>
      <c r="F35" s="897">
        <f>1-E35</f>
        <v>0.28874</v>
      </c>
      <c r="O35" s="477" t="s">
        <v>691</v>
      </c>
      <c r="Q35" s="904">
        <f>SUM(R35:T35)</f>
        <v>1</v>
      </c>
      <c r="R35" s="898">
        <v>0.77144000000000001</v>
      </c>
      <c r="S35" s="898">
        <v>0.22856000000000001</v>
      </c>
      <c r="T35" s="898">
        <v>0</v>
      </c>
      <c r="U35" s="903" t="s">
        <v>690</v>
      </c>
      <c r="X35" s="182">
        <f t="shared" si="35"/>
        <v>202210</v>
      </c>
      <c r="Y35" s="981">
        <f t="shared" si="36"/>
        <v>-2685910.9349339157</v>
      </c>
      <c r="Z35" s="981">
        <f t="shared" si="36"/>
        <v>0</v>
      </c>
      <c r="AA35" s="981">
        <f t="shared" si="36"/>
        <v>-2685910.9349339157</v>
      </c>
      <c r="AB35" s="981"/>
      <c r="AC35" s="981">
        <f t="shared" si="37"/>
        <v>806778.82</v>
      </c>
      <c r="AD35" s="981">
        <f t="shared" si="37"/>
        <v>5254838.247661829</v>
      </c>
      <c r="AE35" s="981">
        <f t="shared" si="37"/>
        <v>1420462.7866647393</v>
      </c>
      <c r="AF35" s="981">
        <f t="shared" si="37"/>
        <v>1293762.759367466</v>
      </c>
      <c r="AH35" s="981">
        <f t="shared" si="38"/>
        <v>6089931.6787601188</v>
      </c>
      <c r="AI35" s="973"/>
      <c r="CG35" s="477" t="str">
        <f>CG3</f>
        <v>Average - Twelve Months Ended June 30, 2023</v>
      </c>
      <c r="CQ35" s="886" t="s">
        <v>62</v>
      </c>
      <c r="CR35" s="886" t="s">
        <v>672</v>
      </c>
      <c r="CW35" s="478">
        <v>303110</v>
      </c>
      <c r="CX35" s="478" t="s">
        <v>723</v>
      </c>
      <c r="CY35" s="1001">
        <f t="shared" si="29"/>
        <v>0</v>
      </c>
      <c r="CZ35" s="1003">
        <v>0</v>
      </c>
      <c r="DA35" s="1001">
        <f t="shared" si="30"/>
        <v>0</v>
      </c>
      <c r="DB35" s="1001"/>
      <c r="DC35" s="1001">
        <v>0</v>
      </c>
      <c r="DD35" s="1001">
        <f t="shared" si="34"/>
        <v>0</v>
      </c>
      <c r="DE35" s="1001">
        <f t="shared" si="31"/>
        <v>0</v>
      </c>
      <c r="DF35" s="1001"/>
      <c r="DG35" s="1001">
        <v>0</v>
      </c>
      <c r="DH35" s="1001">
        <f t="shared" si="32"/>
        <v>0</v>
      </c>
      <c r="DI35" s="1001">
        <f t="shared" si="33"/>
        <v>0</v>
      </c>
      <c r="DO35" s="1002">
        <f>SUM(DO19:DO34)</f>
        <v>0</v>
      </c>
      <c r="DP35" s="1002">
        <f>SUM(DP19:DP34)</f>
        <v>60997681</v>
      </c>
      <c r="DQ35" s="1002">
        <f>SUM(DQ19:DQ34)</f>
        <v>60997681</v>
      </c>
      <c r="DR35" s="1001"/>
      <c r="DS35" s="1002">
        <f>SUM(DS19:DS34)</f>
        <v>0</v>
      </c>
      <c r="DT35" s="1002">
        <f>SUM(DT19:DT34)</f>
        <v>43763396.210259989</v>
      </c>
      <c r="DU35" s="1002">
        <f>SUM(DU19:DU34)</f>
        <v>43665036.749019995</v>
      </c>
      <c r="DV35" s="1001"/>
      <c r="DW35" s="1002">
        <f>SUM(DW19:DW34)</f>
        <v>0</v>
      </c>
      <c r="DX35" s="1002">
        <f>SUM(DX19:DX34)</f>
        <v>17234284.789740004</v>
      </c>
      <c r="DY35" s="1002">
        <f>SUM(DY19:DY34)</f>
        <v>17234284.789740004</v>
      </c>
    </row>
    <row r="36" spans="1:129">
      <c r="A36" s="477" t="s">
        <v>777</v>
      </c>
      <c r="C36" s="880">
        <v>13</v>
      </c>
      <c r="D36" s="904">
        <f>SUM(E36:F36)</f>
        <v>1</v>
      </c>
      <c r="E36" s="898">
        <v>0.79508999999999996</v>
      </c>
      <c r="F36" s="897">
        <f>1-E36</f>
        <v>0.20491000000000004</v>
      </c>
      <c r="X36" s="182">
        <f t="shared" si="35"/>
        <v>202211</v>
      </c>
      <c r="Y36" s="981">
        <f t="shared" si="36"/>
        <v>-2548173.5702073127</v>
      </c>
      <c r="Z36" s="981">
        <f t="shared" si="36"/>
        <v>0</v>
      </c>
      <c r="AA36" s="981">
        <f t="shared" si="36"/>
        <v>-2548173.5702073127</v>
      </c>
      <c r="AB36" s="981"/>
      <c r="AC36" s="981">
        <f t="shared" si="37"/>
        <v>804523.82</v>
      </c>
      <c r="AD36" s="981">
        <f t="shared" si="37"/>
        <v>5327838.9688580632</v>
      </c>
      <c r="AE36" s="981">
        <f t="shared" si="37"/>
        <v>1575995.8934812248</v>
      </c>
      <c r="AF36" s="981">
        <f t="shared" si="37"/>
        <v>1316042.909564212</v>
      </c>
      <c r="AH36" s="981">
        <f t="shared" si="38"/>
        <v>6476228.0216961876</v>
      </c>
      <c r="AI36" s="973"/>
      <c r="CQ36" s="477" t="s">
        <v>672</v>
      </c>
      <c r="CR36" s="992">
        <f>'G-1.01 DFIT'!DY8</f>
        <v>18089814</v>
      </c>
      <c r="CX36" s="478" t="s">
        <v>721</v>
      </c>
      <c r="CY36" s="1001">
        <f t="shared" si="29"/>
        <v>0</v>
      </c>
      <c r="CZ36" s="1003">
        <v>0</v>
      </c>
      <c r="DA36" s="1001">
        <f t="shared" si="30"/>
        <v>0</v>
      </c>
      <c r="DB36" s="1001"/>
      <c r="DC36" s="1001">
        <v>0</v>
      </c>
      <c r="DD36" s="1001">
        <f t="shared" si="34"/>
        <v>0</v>
      </c>
      <c r="DE36" s="1001">
        <f t="shared" si="31"/>
        <v>0</v>
      </c>
      <c r="DF36" s="1001"/>
      <c r="DG36" s="1001">
        <v>0</v>
      </c>
      <c r="DH36" s="1001">
        <f t="shared" si="32"/>
        <v>0</v>
      </c>
      <c r="DI36" s="1001">
        <f t="shared" si="33"/>
        <v>0</v>
      </c>
      <c r="DO36" s="1001"/>
      <c r="DP36" s="1001"/>
      <c r="DQ36" s="1001"/>
      <c r="DR36" s="1001"/>
      <c r="DS36" s="1001"/>
      <c r="DT36" s="1001"/>
      <c r="DU36" s="1001"/>
      <c r="DV36" s="1001"/>
      <c r="DW36" s="1001"/>
      <c r="DX36" s="1001"/>
      <c r="DY36" s="1001"/>
    </row>
    <row r="37" spans="1:129">
      <c r="A37" s="511" t="s">
        <v>776</v>
      </c>
      <c r="B37" s="511"/>
      <c r="C37" s="511"/>
      <c r="D37" s="511"/>
      <c r="E37" s="511"/>
      <c r="F37" s="966"/>
      <c r="X37" s="182">
        <f t="shared" si="35"/>
        <v>202212</v>
      </c>
      <c r="Y37" s="981">
        <f t="shared" si="36"/>
        <v>-2227860.2054807097</v>
      </c>
      <c r="Z37" s="981">
        <f t="shared" si="36"/>
        <v>0</v>
      </c>
      <c r="AA37" s="981">
        <f t="shared" si="36"/>
        <v>-2227860.2054807097</v>
      </c>
      <c r="AB37" s="981"/>
      <c r="AC37" s="981">
        <f t="shared" si="37"/>
        <v>829328.82</v>
      </c>
      <c r="AD37" s="981">
        <f t="shared" si="37"/>
        <v>4519438.6900542378</v>
      </c>
      <c r="AE37" s="981">
        <f t="shared" si="37"/>
        <v>-585554.9997023046</v>
      </c>
      <c r="AF37" s="981">
        <f t="shared" si="37"/>
        <v>1201791.0597609654</v>
      </c>
      <c r="AH37" s="981">
        <f t="shared" si="38"/>
        <v>3737143.3646321888</v>
      </c>
      <c r="AI37" s="973"/>
      <c r="CG37" s="477" t="s">
        <v>674</v>
      </c>
      <c r="CQ37" s="477" t="s">
        <v>673</v>
      </c>
      <c r="CR37" s="994">
        <f>-'G-1.01 DFIT'!DX35</f>
        <v>-17234284.789740004</v>
      </c>
      <c r="CW37" s="478">
        <v>303115</v>
      </c>
      <c r="CX37" s="478" t="s">
        <v>723</v>
      </c>
      <c r="CY37" s="1001">
        <f t="shared" si="29"/>
        <v>0</v>
      </c>
      <c r="CZ37" s="1003">
        <v>68822259</v>
      </c>
      <c r="DA37" s="1001">
        <f t="shared" si="30"/>
        <v>68822259</v>
      </c>
      <c r="DB37" s="1001"/>
      <c r="DC37" s="1001">
        <v>0</v>
      </c>
      <c r="DD37" s="1001">
        <f t="shared" si="34"/>
        <v>46071684.842369996</v>
      </c>
      <c r="DE37" s="1001">
        <f t="shared" si="31"/>
        <v>46071684.842369996</v>
      </c>
      <c r="DF37" s="1001"/>
      <c r="DG37" s="1001">
        <v>0</v>
      </c>
      <c r="DH37" s="1001">
        <f t="shared" si="32"/>
        <v>22750574.157630004</v>
      </c>
      <c r="DI37" s="1001">
        <f t="shared" si="33"/>
        <v>22750574.157630004</v>
      </c>
      <c r="DO37" s="1001"/>
      <c r="DP37" s="1001"/>
      <c r="DQ37" s="1001"/>
      <c r="DR37" s="1001"/>
      <c r="DS37" s="1001"/>
      <c r="DT37" s="1001"/>
      <c r="DU37" s="1001"/>
      <c r="DV37" s="1001"/>
      <c r="DW37" s="1001"/>
      <c r="DX37" s="1001"/>
      <c r="DY37" s="1001"/>
    </row>
    <row r="38" spans="1:129">
      <c r="A38" s="511"/>
      <c r="B38" s="511" t="s">
        <v>775</v>
      </c>
      <c r="C38" s="511"/>
      <c r="D38" s="967">
        <f>SUM(E38:F38)</f>
        <v>433956075</v>
      </c>
      <c r="E38" s="968">
        <v>281278889</v>
      </c>
      <c r="F38" s="968">
        <v>152677186</v>
      </c>
      <c r="X38" s="182">
        <f t="shared" si="35"/>
        <v>202301</v>
      </c>
      <c r="Y38" s="981">
        <f t="shared" si="36"/>
        <v>-2276976.2725517601</v>
      </c>
      <c r="Z38" s="981">
        <f t="shared" si="36"/>
        <v>0</v>
      </c>
      <c r="AA38" s="981">
        <f t="shared" si="36"/>
        <v>-2276976.2725517601</v>
      </c>
      <c r="AB38" s="981"/>
      <c r="AC38" s="981">
        <f t="shared" si="37"/>
        <v>829328.82</v>
      </c>
      <c r="AD38" s="981">
        <f t="shared" si="37"/>
        <v>4590454.9672297835</v>
      </c>
      <c r="AE38" s="981">
        <f t="shared" si="37"/>
        <v>-514123.17266862094</v>
      </c>
      <c r="AF38" s="981">
        <f t="shared" si="37"/>
        <v>1185559.6988910437</v>
      </c>
      <c r="AH38" s="981">
        <f t="shared" si="38"/>
        <v>3814244.040900446</v>
      </c>
      <c r="AI38" s="973"/>
      <c r="CJ38" s="892" t="s">
        <v>81</v>
      </c>
      <c r="CK38" s="891" t="s">
        <v>672</v>
      </c>
      <c r="CL38" s="891" t="s">
        <v>785</v>
      </c>
      <c r="CM38" s="891" t="s">
        <v>45</v>
      </c>
      <c r="CN38" s="891" t="s">
        <v>654</v>
      </c>
      <c r="CO38" s="891" t="s">
        <v>82</v>
      </c>
      <c r="CQ38" s="477" t="s">
        <v>673</v>
      </c>
      <c r="CR38" s="992"/>
      <c r="CX38" s="478" t="s">
        <v>721</v>
      </c>
      <c r="CY38" s="1001">
        <f t="shared" si="29"/>
        <v>0</v>
      </c>
      <c r="CZ38" s="1003">
        <v>0</v>
      </c>
      <c r="DA38" s="1001">
        <f t="shared" si="30"/>
        <v>0</v>
      </c>
      <c r="DB38" s="1001"/>
      <c r="DC38" s="1001">
        <v>0</v>
      </c>
      <c r="DD38" s="1001">
        <f t="shared" si="34"/>
        <v>0</v>
      </c>
      <c r="DE38" s="1001">
        <f t="shared" si="31"/>
        <v>0</v>
      </c>
      <c r="DF38" s="1001"/>
      <c r="DG38" s="1001">
        <v>0</v>
      </c>
      <c r="DH38" s="1001">
        <f t="shared" si="32"/>
        <v>0</v>
      </c>
      <c r="DI38" s="1001">
        <f t="shared" si="33"/>
        <v>0</v>
      </c>
      <c r="DM38" s="478" t="s">
        <v>794</v>
      </c>
      <c r="DO38" s="1001"/>
      <c r="DP38" s="1001"/>
      <c r="DQ38" s="1001"/>
      <c r="DR38" s="1001"/>
      <c r="DS38" s="1001"/>
      <c r="DT38" s="1001"/>
      <c r="DU38" s="1001"/>
      <c r="DV38" s="1001"/>
      <c r="DW38" s="1001"/>
      <c r="DX38" s="1001"/>
      <c r="DY38" s="1001"/>
    </row>
    <row r="39" spans="1:129">
      <c r="A39" s="511"/>
      <c r="B39" s="511" t="s">
        <v>774</v>
      </c>
      <c r="C39" s="511"/>
      <c r="D39" s="969">
        <f>SUM(E39:F39)</f>
        <v>146236411</v>
      </c>
      <c r="E39" s="970">
        <v>97488810</v>
      </c>
      <c r="F39" s="970">
        <v>48747601</v>
      </c>
      <c r="X39" s="182">
        <f t="shared" si="35"/>
        <v>202302</v>
      </c>
      <c r="Y39" s="981">
        <f t="shared" si="36"/>
        <v>-2326092.3396227956</v>
      </c>
      <c r="Z39" s="981">
        <f t="shared" si="36"/>
        <v>0</v>
      </c>
      <c r="AA39" s="981">
        <f t="shared" si="36"/>
        <v>-2326092.3396227956</v>
      </c>
      <c r="AB39" s="981"/>
      <c r="AC39" s="981">
        <f t="shared" si="37"/>
        <v>829328.82</v>
      </c>
      <c r="AD39" s="981">
        <f t="shared" si="37"/>
        <v>4661471.2444053292</v>
      </c>
      <c r="AE39" s="981">
        <f t="shared" si="37"/>
        <v>-442691.34563493729</v>
      </c>
      <c r="AF39" s="981">
        <f t="shared" si="37"/>
        <v>1169328.3380211294</v>
      </c>
      <c r="AH39" s="981">
        <f t="shared" si="38"/>
        <v>3891344.7171687256</v>
      </c>
      <c r="AI39" s="973"/>
      <c r="CK39" s="890"/>
      <c r="CL39" s="890"/>
      <c r="CM39" s="890"/>
      <c r="CR39" s="992">
        <f>SUM(CR36:CR38)</f>
        <v>855529.21025999635</v>
      </c>
      <c r="CW39" s="478">
        <v>303120</v>
      </c>
      <c r="CX39" s="478" t="s">
        <v>723</v>
      </c>
      <c r="CY39" s="1001">
        <f t="shared" si="29"/>
        <v>0</v>
      </c>
      <c r="CZ39" s="1003">
        <v>20467720</v>
      </c>
      <c r="DA39" s="1001">
        <f t="shared" si="30"/>
        <v>20467720</v>
      </c>
      <c r="DB39" s="1001"/>
      <c r="DC39" s="1001">
        <v>0</v>
      </c>
      <c r="DD39" s="1001">
        <f t="shared" si="34"/>
        <v>13701705.7996</v>
      </c>
      <c r="DE39" s="1001">
        <f t="shared" si="31"/>
        <v>13701705.7996</v>
      </c>
      <c r="DF39" s="1001"/>
      <c r="DG39" s="1001">
        <v>0</v>
      </c>
      <c r="DH39" s="1001">
        <f t="shared" si="32"/>
        <v>6766014.2004000004</v>
      </c>
      <c r="DI39" s="1001">
        <f t="shared" si="33"/>
        <v>6766014.2004000004</v>
      </c>
      <c r="DM39" s="478">
        <v>4</v>
      </c>
      <c r="DN39" s="478" t="s">
        <v>811</v>
      </c>
      <c r="DO39" s="1001"/>
      <c r="DP39" s="1001"/>
      <c r="DQ39" s="1001"/>
      <c r="DR39" s="1001"/>
      <c r="DS39" s="1001"/>
      <c r="DT39" s="1000">
        <v>0.71745999999999999</v>
      </c>
      <c r="DU39" s="1001"/>
      <c r="DV39" s="1001"/>
      <c r="DW39" s="1001"/>
      <c r="DX39" s="999">
        <f>1-DT39</f>
        <v>0.28254000000000001</v>
      </c>
      <c r="DY39" s="1001"/>
    </row>
    <row r="40" spans="1:129">
      <c r="A40" s="511"/>
      <c r="B40" s="511" t="s">
        <v>773</v>
      </c>
      <c r="C40" s="511"/>
      <c r="D40" s="967">
        <f>SUM(D38:D39)</f>
        <v>580192486</v>
      </c>
      <c r="E40" s="967">
        <f>SUM(E38:E39)</f>
        <v>378767699</v>
      </c>
      <c r="F40" s="967">
        <f>SUM(F38:F39)</f>
        <v>201424787</v>
      </c>
      <c r="H40" s="477" t="s">
        <v>770</v>
      </c>
      <c r="N40" s="899"/>
      <c r="X40" s="182">
        <f t="shared" si="35"/>
        <v>202303</v>
      </c>
      <c r="Y40" s="981">
        <f t="shared" si="36"/>
        <v>-2375208.406693846</v>
      </c>
      <c r="Z40" s="981">
        <f t="shared" si="36"/>
        <v>0</v>
      </c>
      <c r="AA40" s="981">
        <f t="shared" si="36"/>
        <v>-2375208.406693846</v>
      </c>
      <c r="AB40" s="981"/>
      <c r="AC40" s="981">
        <f t="shared" si="37"/>
        <v>829328.82</v>
      </c>
      <c r="AD40" s="981">
        <f t="shared" si="37"/>
        <v>4732487.5215808153</v>
      </c>
      <c r="AE40" s="981">
        <f t="shared" si="37"/>
        <v>-371259.51860125363</v>
      </c>
      <c r="AF40" s="981">
        <f t="shared" si="37"/>
        <v>1153096.9771512076</v>
      </c>
      <c r="AH40" s="981">
        <f t="shared" si="38"/>
        <v>3968445.3934369232</v>
      </c>
      <c r="AI40" s="973"/>
      <c r="CG40" s="477" t="s">
        <v>790</v>
      </c>
      <c r="CI40" s="880" t="s">
        <v>655</v>
      </c>
      <c r="CJ40" s="879">
        <f>'G-1.01 DFIT'!F10</f>
        <v>-172173.37758</v>
      </c>
      <c r="CK40" s="879">
        <f>IF($CI40="I",$CJ40,0)</f>
        <v>-172173.37758</v>
      </c>
      <c r="CL40" s="879">
        <f t="shared" ref="CL40:CL45" si="39">IF($CI40="U",$CJ40,0)</f>
        <v>0</v>
      </c>
      <c r="CM40" s="879">
        <f t="shared" ref="CM40:CM45" si="40">IF($CI40="D",$CJ40,0)</f>
        <v>0</v>
      </c>
      <c r="CN40" s="879">
        <f>IF($CI40="O",$CJ40,0)</f>
        <v>0</v>
      </c>
      <c r="CX40" s="478" t="s">
        <v>721</v>
      </c>
      <c r="CY40" s="1001">
        <f t="shared" si="29"/>
        <v>0</v>
      </c>
      <c r="CZ40" s="1003">
        <v>0</v>
      </c>
      <c r="DA40" s="1001">
        <f t="shared" si="30"/>
        <v>0</v>
      </c>
      <c r="DB40" s="1001"/>
      <c r="DC40" s="1001">
        <v>0</v>
      </c>
      <c r="DD40" s="1001">
        <f t="shared" si="34"/>
        <v>0</v>
      </c>
      <c r="DE40" s="1001">
        <f t="shared" si="31"/>
        <v>0</v>
      </c>
      <c r="DF40" s="1001"/>
      <c r="DG40" s="1001">
        <v>0</v>
      </c>
      <c r="DH40" s="1001">
        <f t="shared" si="32"/>
        <v>0</v>
      </c>
      <c r="DI40" s="1001">
        <f t="shared" si="33"/>
        <v>0</v>
      </c>
      <c r="DM40" s="478">
        <v>6</v>
      </c>
      <c r="DN40" s="478" t="s">
        <v>45</v>
      </c>
      <c r="DT40" s="1000">
        <v>0.67044000000000004</v>
      </c>
      <c r="DX40" s="999">
        <f>1-DT40</f>
        <v>0.32955999999999996</v>
      </c>
    </row>
    <row r="41" spans="1:129">
      <c r="A41" s="511"/>
      <c r="B41" s="511" t="s">
        <v>772</v>
      </c>
      <c r="C41" s="971" t="s">
        <v>771</v>
      </c>
      <c r="D41" s="897">
        <f>SUM(E41:F41)</f>
        <v>1</v>
      </c>
      <c r="E41" s="897">
        <f>E40/D40</f>
        <v>0.6528311002635081</v>
      </c>
      <c r="F41" s="897">
        <f>F40/D40</f>
        <v>0.34716889973649195</v>
      </c>
      <c r="H41" s="477" t="s">
        <v>770</v>
      </c>
      <c r="N41" s="899"/>
      <c r="X41" s="182">
        <f t="shared" si="35"/>
        <v>202304</v>
      </c>
      <c r="Y41" s="981">
        <f t="shared" si="36"/>
        <v>-2424324.4737648964</v>
      </c>
      <c r="Z41" s="981">
        <f t="shared" si="36"/>
        <v>0</v>
      </c>
      <c r="AA41" s="981">
        <f t="shared" si="36"/>
        <v>-2424324.4737648964</v>
      </c>
      <c r="AB41" s="981"/>
      <c r="AC41" s="981">
        <f t="shared" si="37"/>
        <v>829328.82</v>
      </c>
      <c r="AD41" s="981">
        <f t="shared" si="37"/>
        <v>4803503.798756361</v>
      </c>
      <c r="AE41" s="981">
        <f t="shared" si="37"/>
        <v>-299827.69156756997</v>
      </c>
      <c r="AF41" s="981">
        <f t="shared" si="37"/>
        <v>1136865.6162812859</v>
      </c>
      <c r="AH41" s="981">
        <f t="shared" si="38"/>
        <v>4045546.0697051804</v>
      </c>
      <c r="AI41" s="973"/>
      <c r="CG41" s="477" t="s">
        <v>785</v>
      </c>
      <c r="CI41" s="880" t="s">
        <v>789</v>
      </c>
      <c r="CJ41" s="879">
        <f>'G-1.01 DFIT'!F11</f>
        <v>-1514374.76</v>
      </c>
      <c r="CK41" s="879">
        <f>IF($CI41="I",$CJ41,0)</f>
        <v>0</v>
      </c>
      <c r="CL41" s="879">
        <f t="shared" si="39"/>
        <v>-1514374.76</v>
      </c>
      <c r="CM41" s="879">
        <f t="shared" si="40"/>
        <v>0</v>
      </c>
      <c r="CN41" s="879">
        <f>IF($CI41="O",$CJ41,0)</f>
        <v>0</v>
      </c>
      <c r="CQ41" s="886" t="s">
        <v>62</v>
      </c>
      <c r="CR41" s="886" t="s">
        <v>785</v>
      </c>
      <c r="CW41" s="478">
        <v>303121</v>
      </c>
      <c r="CX41" s="478" t="s">
        <v>723</v>
      </c>
      <c r="CY41" s="1001">
        <f t="shared" si="29"/>
        <v>0</v>
      </c>
      <c r="CZ41" s="1003">
        <v>58365</v>
      </c>
      <c r="DA41" s="1001">
        <f t="shared" si="30"/>
        <v>58365</v>
      </c>
      <c r="DB41" s="1001"/>
      <c r="DC41" s="1001">
        <v>0</v>
      </c>
      <c r="DD41" s="1001">
        <f t="shared" si="34"/>
        <v>39071.281949999997</v>
      </c>
      <c r="DE41" s="1001">
        <f t="shared" si="31"/>
        <v>39071.281949999997</v>
      </c>
      <c r="DF41" s="1001"/>
      <c r="DG41" s="1001">
        <v>0</v>
      </c>
      <c r="DH41" s="1001">
        <f t="shared" si="32"/>
        <v>19293.718050000003</v>
      </c>
      <c r="DI41" s="1001">
        <f t="shared" si="33"/>
        <v>19293.718050000003</v>
      </c>
    </row>
    <row r="42" spans="1:129">
      <c r="A42" s="477" t="s">
        <v>686</v>
      </c>
      <c r="C42" s="880" t="s">
        <v>670</v>
      </c>
      <c r="H42" s="477" t="s">
        <v>769</v>
      </c>
      <c r="N42" s="899"/>
      <c r="X42" s="182">
        <f t="shared" si="35"/>
        <v>202305</v>
      </c>
      <c r="Y42" s="981">
        <f t="shared" si="36"/>
        <v>-2473440.5408359319</v>
      </c>
      <c r="Z42" s="981">
        <f t="shared" si="36"/>
        <v>0</v>
      </c>
      <c r="AA42" s="981">
        <f t="shared" si="36"/>
        <v>-2473440.5408359319</v>
      </c>
      <c r="AB42" s="981"/>
      <c r="AC42" s="981">
        <f t="shared" si="37"/>
        <v>829328.82</v>
      </c>
      <c r="AD42" s="981">
        <f t="shared" si="37"/>
        <v>4874520.0759319067</v>
      </c>
      <c r="AE42" s="981">
        <f t="shared" si="37"/>
        <v>-228395.86453388631</v>
      </c>
      <c r="AF42" s="981">
        <f t="shared" si="37"/>
        <v>1120634.2554113716</v>
      </c>
      <c r="AH42" s="981">
        <f t="shared" si="38"/>
        <v>4122646.7459734599</v>
      </c>
      <c r="AI42" s="973"/>
      <c r="CG42" s="477" t="s">
        <v>45</v>
      </c>
      <c r="CI42" s="880" t="s">
        <v>670</v>
      </c>
      <c r="CJ42" s="879">
        <f>'G-1.01 DFIT'!F12</f>
        <v>-26166924.482280001</v>
      </c>
      <c r="CK42" s="879">
        <f>IF($CI42="I",$CJ42,0)</f>
        <v>0</v>
      </c>
      <c r="CL42" s="879">
        <f t="shared" si="39"/>
        <v>0</v>
      </c>
      <c r="CM42" s="879">
        <f t="shared" si="40"/>
        <v>-26166924.482280001</v>
      </c>
      <c r="CN42" s="879">
        <f>IF($CI42="O",$CJ42,0)</f>
        <v>0</v>
      </c>
      <c r="CQ42" s="477" t="s">
        <v>785</v>
      </c>
      <c r="CR42" s="992">
        <f>'G-1.01 DFIT'!DY10</f>
        <v>15862492</v>
      </c>
      <c r="CX42" s="478" t="s">
        <v>721</v>
      </c>
      <c r="CY42" s="1001">
        <f t="shared" si="29"/>
        <v>0</v>
      </c>
      <c r="CZ42" s="1003">
        <v>0</v>
      </c>
      <c r="DA42" s="1001">
        <f t="shared" si="30"/>
        <v>0</v>
      </c>
      <c r="DB42" s="1001"/>
      <c r="DC42" s="1001">
        <v>0</v>
      </c>
      <c r="DD42" s="1001">
        <f t="shared" si="34"/>
        <v>0</v>
      </c>
      <c r="DE42" s="1001">
        <f t="shared" si="31"/>
        <v>0</v>
      </c>
      <c r="DF42" s="1001"/>
      <c r="DG42" s="1001">
        <v>0</v>
      </c>
      <c r="DH42" s="1001">
        <f t="shared" si="32"/>
        <v>0</v>
      </c>
      <c r="DI42" s="1001">
        <f t="shared" si="33"/>
        <v>0</v>
      </c>
    </row>
    <row r="43" spans="1:129">
      <c r="X43" s="182">
        <f t="shared" si="35"/>
        <v>202306</v>
      </c>
      <c r="Y43" s="981">
        <f t="shared" si="36"/>
        <v>-2522556.6079069823</v>
      </c>
      <c r="Z43" s="981">
        <f t="shared" si="36"/>
        <v>0</v>
      </c>
      <c r="AA43" s="982">
        <f t="shared" si="36"/>
        <v>-2522556.6079069823</v>
      </c>
      <c r="AB43" s="981"/>
      <c r="AC43" s="981">
        <f t="shared" si="37"/>
        <v>829328.82</v>
      </c>
      <c r="AD43" s="981">
        <f t="shared" si="37"/>
        <v>4945536.3531074524</v>
      </c>
      <c r="AE43" s="981">
        <f t="shared" si="37"/>
        <v>-156964.03750020266</v>
      </c>
      <c r="AF43" s="981">
        <f t="shared" si="37"/>
        <v>1104402.8945414498</v>
      </c>
      <c r="AH43" s="982">
        <f t="shared" si="38"/>
        <v>4199747.4222417176</v>
      </c>
      <c r="AI43" s="981"/>
      <c r="CG43" s="477" t="s">
        <v>669</v>
      </c>
      <c r="CI43" s="880" t="s">
        <v>657</v>
      </c>
      <c r="CJ43" s="879">
        <f>'G-1.01 DFIT'!F13</f>
        <v>-1183458.3197300001</v>
      </c>
      <c r="CK43" s="879">
        <f>IF($CI43="I",$CJ43,0)</f>
        <v>0</v>
      </c>
      <c r="CL43" s="879">
        <f t="shared" si="39"/>
        <v>0</v>
      </c>
      <c r="CM43" s="879">
        <f t="shared" si="40"/>
        <v>0</v>
      </c>
      <c r="CN43" s="879">
        <f>IF($CI43="O",$CJ43,0)</f>
        <v>-1183458.3197300001</v>
      </c>
      <c r="CR43" s="992"/>
      <c r="CW43" s="478" t="s">
        <v>795</v>
      </c>
      <c r="CX43" s="478" t="s">
        <v>723</v>
      </c>
      <c r="CY43" s="1001">
        <f t="shared" si="29"/>
        <v>0</v>
      </c>
      <c r="CZ43" s="1003">
        <v>9344414</v>
      </c>
      <c r="DA43" s="1001">
        <f t="shared" si="30"/>
        <v>9344414</v>
      </c>
      <c r="DB43" s="1001"/>
      <c r="DC43" s="1001">
        <v>0</v>
      </c>
      <c r="DD43" s="1001">
        <f t="shared" si="34"/>
        <v>6255431.0640199995</v>
      </c>
      <c r="DE43" s="1001">
        <f t="shared" si="31"/>
        <v>6255431.0640199995</v>
      </c>
      <c r="DF43" s="1001"/>
      <c r="DG43" s="1001">
        <v>0</v>
      </c>
      <c r="DH43" s="1001">
        <f t="shared" si="32"/>
        <v>3088982.9359800005</v>
      </c>
      <c r="DI43" s="1001">
        <f t="shared" si="33"/>
        <v>3088982.9359800005</v>
      </c>
    </row>
    <row r="44" spans="1:129">
      <c r="A44" s="896" t="s">
        <v>768</v>
      </c>
      <c r="Y44" s="980"/>
      <c r="Z44" s="980"/>
      <c r="AA44" s="973"/>
      <c r="AB44" s="973"/>
      <c r="AC44" s="980"/>
      <c r="AD44" s="980"/>
      <c r="AE44" s="980"/>
      <c r="AF44" s="980"/>
      <c r="AH44" s="973"/>
      <c r="AI44" s="973"/>
      <c r="CG44" s="477" t="s">
        <v>668</v>
      </c>
      <c r="CI44" s="880" t="s">
        <v>657</v>
      </c>
      <c r="CJ44" s="879">
        <f>'G-1.01 DFIT'!F15</f>
        <v>-4436536.3759452803</v>
      </c>
      <c r="CK44" s="879">
        <f>CJ44*CT55</f>
        <v>-1556385.7519906098</v>
      </c>
      <c r="CL44" s="879">
        <f t="shared" si="39"/>
        <v>0</v>
      </c>
      <c r="CM44" s="879">
        <f t="shared" si="40"/>
        <v>0</v>
      </c>
      <c r="CN44" s="879">
        <f>CJ44*CT54</f>
        <v>-2880150.623954671</v>
      </c>
      <c r="CO44" s="879">
        <f>CJ44-CK44-CL44-CM44-CN44</f>
        <v>0</v>
      </c>
      <c r="CR44" s="994"/>
      <c r="CX44" s="478" t="s">
        <v>721</v>
      </c>
      <c r="CY44" s="1001">
        <f t="shared" si="29"/>
        <v>0</v>
      </c>
      <c r="CZ44" s="1003">
        <v>0</v>
      </c>
      <c r="DA44" s="1001">
        <f t="shared" si="30"/>
        <v>0</v>
      </c>
      <c r="DB44" s="1001"/>
      <c r="DC44" s="1001">
        <v>0</v>
      </c>
      <c r="DD44" s="1001">
        <f t="shared" si="34"/>
        <v>0</v>
      </c>
      <c r="DE44" s="1001">
        <f t="shared" si="31"/>
        <v>0</v>
      </c>
      <c r="DF44" s="1001"/>
      <c r="DG44" s="1001">
        <v>0</v>
      </c>
      <c r="DH44" s="1001">
        <f t="shared" si="32"/>
        <v>0</v>
      </c>
      <c r="DI44" s="1001">
        <f t="shared" si="33"/>
        <v>0</v>
      </c>
    </row>
    <row r="45" spans="1:129" ht="13.5" thickBot="1">
      <c r="A45" s="896" t="s">
        <v>767</v>
      </c>
      <c r="X45" s="477" t="s">
        <v>663</v>
      </c>
      <c r="Y45" s="974">
        <f>(((Y31+Y43)/2)+(Y32+Y33+Y34+Y35+Y36+Y37+Y38+Y39+Y40+Y41+Y42))/12</f>
        <v>-2509724.3531771856</v>
      </c>
      <c r="Z45" s="974">
        <f>(((Z31+Z43)/2)+(Z32+Z33+Z34+Z35+Z36+Z37+Z38+Z39+Z40+Z41+Z42))/12</f>
        <v>0</v>
      </c>
      <c r="AA45" s="974">
        <f>SUM(Y45:Z45)</f>
        <v>-2509724.3531771856</v>
      </c>
      <c r="AB45" s="973"/>
      <c r="AC45" s="974">
        <f>(((AC31+AC43)/2)+(AC32+AC33+AC34+AC35+AC36+AC37+AC38+AC39+AC40+AC41+AC42))/12</f>
        <v>826966.73666666681</v>
      </c>
      <c r="AD45" s="974">
        <f>(((AD31+AD43)/2)+(AD32+AD33+AD34+AD35+AD36+AD37+AD38+AD39+AD40+AD41+AD42))/12</f>
        <v>3861594.5656899214</v>
      </c>
      <c r="AE45" s="974">
        <f>(((AE31+AE43)/2)+(AE32+AE33+AE34+AE35+AE36+AE37+AE38+AE39+AE40+AE41+AE42))/12</f>
        <v>526113.87229017541</v>
      </c>
      <c r="AF45" s="974">
        <f>(((AF31+AF43)/2)+(AF32+AF33+AF34+AF35+AF36+AF37+AF38+AF39+AF40+AF41+AF42))/12</f>
        <v>1335900.5431609631</v>
      </c>
      <c r="AG45" s="973"/>
      <c r="AH45" s="974">
        <f>SUM(AA45:AF45)</f>
        <v>4040851.3646305408</v>
      </c>
      <c r="AI45" s="973"/>
      <c r="CG45" s="477" t="s">
        <v>667</v>
      </c>
      <c r="CI45" s="880" t="s">
        <v>657</v>
      </c>
      <c r="CJ45" s="889">
        <f>'G-1.01 DFIT'!F16</f>
        <v>0</v>
      </c>
      <c r="CK45" s="889">
        <f>CJ45*CT55</f>
        <v>0</v>
      </c>
      <c r="CL45" s="889">
        <f t="shared" si="39"/>
        <v>0</v>
      </c>
      <c r="CM45" s="889">
        <f t="shared" si="40"/>
        <v>0</v>
      </c>
      <c r="CN45" s="889">
        <f>CJ45*CT54</f>
        <v>0</v>
      </c>
      <c r="CO45" s="879">
        <f>CJ45-CK45-CL45-CM45-CN45</f>
        <v>0</v>
      </c>
      <c r="CR45" s="992">
        <f>SUM(CR42:CR44)</f>
        <v>15862492</v>
      </c>
      <c r="CY45" s="1002">
        <f>SUM(CY29:CY44)</f>
        <v>0</v>
      </c>
      <c r="CZ45" s="1002">
        <f>SUM(CZ29:CZ44)</f>
        <v>206520629</v>
      </c>
      <c r="DA45" s="1002">
        <f>SUM(DA29:DA44)</f>
        <v>206520629</v>
      </c>
      <c r="DB45" s="1001"/>
      <c r="DC45" s="1002">
        <f>SUM(DC29:DC44)</f>
        <v>0</v>
      </c>
      <c r="DD45" s="1002">
        <f>SUM(DD29:DD44)</f>
        <v>138140160.85445002</v>
      </c>
      <c r="DE45" s="1002">
        <f>SUM(DE29:DE44)</f>
        <v>138140160.85445002</v>
      </c>
      <c r="DF45" s="1001"/>
      <c r="DG45" s="1002">
        <f>SUM(DG29:DG44)</f>
        <v>0</v>
      </c>
      <c r="DH45" s="1002">
        <f>SUM(DH29:DH44)</f>
        <v>68380468.145550013</v>
      </c>
      <c r="DI45" s="1002">
        <f>SUM(DI29:DI44)</f>
        <v>68380468.145550013</v>
      </c>
    </row>
    <row r="46" spans="1:129">
      <c r="Y46" s="973"/>
      <c r="Z46" s="973"/>
      <c r="AA46" s="973"/>
      <c r="AB46" s="973"/>
      <c r="AC46" s="973"/>
      <c r="AD46" s="973"/>
      <c r="AE46" s="973"/>
      <c r="AF46" s="973"/>
      <c r="AG46" s="973"/>
      <c r="AH46" s="975"/>
      <c r="AI46" s="973"/>
      <c r="CG46" s="477" t="s">
        <v>666</v>
      </c>
      <c r="CI46" s="880"/>
      <c r="CJ46" s="879">
        <f>SUM(CJ40:CJ45)</f>
        <v>-33473467.315535281</v>
      </c>
      <c r="CK46" s="879">
        <f>SUM(CK40:CK45)</f>
        <v>-1728559.1295706099</v>
      </c>
      <c r="CL46" s="879">
        <f>SUM(CL40:CL45)</f>
        <v>-1514374.76</v>
      </c>
      <c r="CM46" s="879">
        <f>SUM(CM40:CM45)</f>
        <v>-26166924.482280001</v>
      </c>
      <c r="CN46" s="879">
        <f>SUM(CN40:CN45)</f>
        <v>-4063608.9436846711</v>
      </c>
      <c r="CR46" s="992"/>
      <c r="CT46" s="886"/>
      <c r="CY46" s="1001"/>
      <c r="CZ46" s="1001"/>
      <c r="DA46" s="1001"/>
      <c r="DB46" s="1001"/>
      <c r="DC46" s="1001"/>
      <c r="DD46" s="1001"/>
      <c r="DE46" s="1001"/>
      <c r="DF46" s="1001"/>
      <c r="DG46" s="1001"/>
      <c r="DH46" s="1001"/>
      <c r="DI46" s="1001"/>
    </row>
    <row r="47" spans="1:129" ht="13.5" thickBot="1">
      <c r="X47" s="477" t="s">
        <v>660</v>
      </c>
      <c r="Y47" s="974">
        <f>Y43</f>
        <v>-2522556.6079069823</v>
      </c>
      <c r="Z47" s="974">
        <f>Z43</f>
        <v>0</v>
      </c>
      <c r="AA47" s="974">
        <f>AA43</f>
        <v>-2522556.6079069823</v>
      </c>
      <c r="AB47" s="973"/>
      <c r="AC47" s="974">
        <f>AC43</f>
        <v>829328.82</v>
      </c>
      <c r="AD47" s="974">
        <f>AD43</f>
        <v>4945536.3531074524</v>
      </c>
      <c r="AE47" s="974">
        <f>AE43</f>
        <v>-156964.03750020266</v>
      </c>
      <c r="AF47" s="974">
        <f>AF43</f>
        <v>1104402.8945414498</v>
      </c>
      <c r="AG47" s="973"/>
      <c r="AH47" s="974">
        <f>SUM(AA47:AF47)</f>
        <v>4199747.4222417176</v>
      </c>
      <c r="AI47" s="973"/>
      <c r="CI47" s="880"/>
      <c r="CJ47" s="879"/>
      <c r="CK47" s="879"/>
      <c r="CL47" s="879"/>
      <c r="CM47" s="879"/>
      <c r="CN47" s="879"/>
      <c r="CQ47" s="995"/>
      <c r="CT47" s="995"/>
      <c r="CY47" s="1001"/>
      <c r="CZ47" s="1001"/>
      <c r="DA47" s="1001"/>
      <c r="DB47" s="1001"/>
      <c r="DC47" s="1001"/>
      <c r="DD47" s="1001"/>
      <c r="DE47" s="1001"/>
      <c r="DF47" s="1001"/>
      <c r="DG47" s="1001"/>
      <c r="DH47" s="1001"/>
      <c r="DI47" s="1001"/>
    </row>
    <row r="48" spans="1:129">
      <c r="AB48" s="895"/>
      <c r="AC48" s="895"/>
      <c r="CI48" s="880"/>
      <c r="CJ48" s="879"/>
      <c r="CK48" s="879"/>
      <c r="CL48" s="879"/>
      <c r="CM48" s="879"/>
      <c r="CN48" s="879"/>
      <c r="CR48" s="992"/>
      <c r="CT48" s="995"/>
      <c r="CW48" s="478" t="s">
        <v>794</v>
      </c>
      <c r="CY48" s="1001"/>
      <c r="CZ48" s="1001"/>
      <c r="DA48" s="1001"/>
      <c r="DB48" s="1001"/>
      <c r="DC48" s="1001"/>
      <c r="DD48" s="1001"/>
      <c r="DE48" s="1001"/>
      <c r="DF48" s="1001"/>
      <c r="DG48" s="1001"/>
      <c r="DH48" s="1001"/>
      <c r="DI48" s="1001"/>
    </row>
    <row r="49" spans="24:113">
      <c r="X49" s="979" t="s">
        <v>684</v>
      </c>
      <c r="AB49" s="895"/>
      <c r="AC49" s="895"/>
      <c r="CG49" s="477" t="s">
        <v>653</v>
      </c>
      <c r="CH49" s="182" t="s">
        <v>652</v>
      </c>
      <c r="CI49" s="880"/>
      <c r="CJ49" s="879">
        <f>'G-1.01 DFIT'!F21</f>
        <v>-80030.217009254455</v>
      </c>
      <c r="CK49" s="879">
        <f>ROUND($CJ$49*CK57,0)</f>
        <v>-187</v>
      </c>
      <c r="CL49" s="879">
        <f>ROUND($CJ$49*CL57,0)</f>
        <v>-3467</v>
      </c>
      <c r="CM49" s="879">
        <f>ROUND($CJ$49*CM57,0)</f>
        <v>-65640</v>
      </c>
      <c r="CN49" s="879">
        <f>ROUND($CJ$49*CN57,0)</f>
        <v>-10737</v>
      </c>
      <c r="CO49" s="879">
        <f>CJ49-CK49-CL49-CM49-CN49</f>
        <v>0.7829907455452485</v>
      </c>
      <c r="CT49" s="995"/>
      <c r="CW49" s="478">
        <v>1</v>
      </c>
      <c r="CX49" s="478">
        <v>303000</v>
      </c>
      <c r="CY49" s="1001"/>
      <c r="CZ49" s="1001"/>
      <c r="DA49" s="1001"/>
      <c r="DB49" s="1001"/>
      <c r="DC49" s="1001"/>
      <c r="DD49" s="1000">
        <v>0.64400000000000002</v>
      </c>
      <c r="DE49" s="1001"/>
      <c r="DF49" s="1001"/>
      <c r="DG49" s="1001"/>
      <c r="DH49" s="999">
        <v>0.35599999999999998</v>
      </c>
      <c r="DI49" s="1001"/>
    </row>
    <row r="50" spans="24:113">
      <c r="X50" s="880"/>
      <c r="Y50" s="880">
        <v>282900</v>
      </c>
      <c r="Z50" s="880">
        <v>283000</v>
      </c>
      <c r="AA50" s="880" t="s">
        <v>24</v>
      </c>
      <c r="AB50" s="880"/>
      <c r="AC50" s="880">
        <v>282900</v>
      </c>
      <c r="AD50" s="880">
        <v>282900</v>
      </c>
      <c r="AE50" s="880">
        <v>282900</v>
      </c>
      <c r="AF50" s="880">
        <v>282900</v>
      </c>
      <c r="AG50" s="880"/>
      <c r="AH50" s="880"/>
      <c r="AI50" s="880">
        <v>282900</v>
      </c>
      <c r="CG50" s="477" t="str">
        <f>'G-1.01 DFIT'!A19</f>
        <v>ADFIT-Plant - AFUDC Equity</v>
      </c>
      <c r="CH50" s="182"/>
      <c r="CI50" s="880" t="s">
        <v>657</v>
      </c>
      <c r="CJ50" s="879">
        <f>'G-1.01 DFIT'!F19</f>
        <v>-310782.23113440617</v>
      </c>
      <c r="CK50" s="879"/>
      <c r="CL50" s="879"/>
      <c r="CM50" s="879"/>
      <c r="CN50" s="879">
        <f>IF($CI50="O",$CJ50,0)</f>
        <v>-310782.23113440617</v>
      </c>
      <c r="CQ50" s="886" t="s">
        <v>62</v>
      </c>
      <c r="CR50" s="886" t="s">
        <v>45</v>
      </c>
      <c r="CT50" s="995"/>
      <c r="CW50" s="478">
        <v>4</v>
      </c>
      <c r="CX50" s="69" t="s">
        <v>793</v>
      </c>
      <c r="DD50" s="1000">
        <v>0.66942999999999997</v>
      </c>
      <c r="DH50" s="999">
        <v>0.33057000000000003</v>
      </c>
    </row>
    <row r="51" spans="24:113">
      <c r="Y51" s="880" t="s">
        <v>682</v>
      </c>
      <c r="Z51" s="880" t="s">
        <v>682</v>
      </c>
      <c r="AA51" s="880" t="s">
        <v>682</v>
      </c>
      <c r="AB51" s="880"/>
      <c r="AC51" s="880" t="s">
        <v>682</v>
      </c>
      <c r="AD51" s="880" t="s">
        <v>681</v>
      </c>
      <c r="AE51" s="880" t="s">
        <v>680</v>
      </c>
      <c r="AF51" s="880" t="s">
        <v>680</v>
      </c>
      <c r="AI51" s="880" t="s">
        <v>675</v>
      </c>
      <c r="CG51" s="477" t="s">
        <v>656</v>
      </c>
      <c r="CH51" s="182"/>
      <c r="CI51" s="880" t="s">
        <v>655</v>
      </c>
      <c r="CJ51" s="879">
        <f>'G-1.01 DFIT'!F20</f>
        <v>11493.844965205448</v>
      </c>
      <c r="CK51" s="879">
        <f>CJ51</f>
        <v>11493.844965205448</v>
      </c>
      <c r="CL51" s="879"/>
      <c r="CM51" s="879"/>
      <c r="CN51" s="879"/>
      <c r="CQ51" s="887" t="s">
        <v>658</v>
      </c>
      <c r="CR51" s="992">
        <f>'G-1.01 DFIT'!DY11</f>
        <v>300337431</v>
      </c>
      <c r="CT51" s="995"/>
    </row>
    <row r="52" spans="24:113">
      <c r="X52" s="893" t="s">
        <v>679</v>
      </c>
      <c r="Y52" s="892" t="s">
        <v>678</v>
      </c>
      <c r="Z52" s="892" t="s">
        <v>678</v>
      </c>
      <c r="AA52" s="892" t="s">
        <v>678</v>
      </c>
      <c r="AB52" s="880"/>
      <c r="AC52" s="892" t="s">
        <v>677</v>
      </c>
      <c r="AD52" s="892" t="s">
        <v>677</v>
      </c>
      <c r="AE52" s="892" t="s">
        <v>677</v>
      </c>
      <c r="AF52" s="892" t="s">
        <v>676</v>
      </c>
      <c r="AG52" s="893"/>
      <c r="AH52" s="892" t="s">
        <v>198</v>
      </c>
      <c r="AI52" s="892" t="s">
        <v>675</v>
      </c>
      <c r="CG52" s="477" t="s">
        <v>651</v>
      </c>
      <c r="CJ52" s="885">
        <f>SUM(CJ49:CJ51)</f>
        <v>-379318.60317845515</v>
      </c>
      <c r="CK52" s="885">
        <f>SUM(CK49:CK51)</f>
        <v>11306.844965205448</v>
      </c>
      <c r="CL52" s="885">
        <f>SUM(CL49:CL51)</f>
        <v>-3467</v>
      </c>
      <c r="CM52" s="885">
        <f>SUM(CM49:CM51)</f>
        <v>-65640</v>
      </c>
      <c r="CN52" s="885">
        <f>SUM(CN49:CN51)</f>
        <v>-321519.23113440617</v>
      </c>
      <c r="CO52" s="879">
        <f>CJ54-CK54-CL54-CM54-CN54</f>
        <v>0.78299075271934271</v>
      </c>
      <c r="CT52" s="995"/>
      <c r="DA52" s="998"/>
    </row>
    <row r="53" spans="24:113">
      <c r="X53" s="182">
        <f t="shared" ref="X53:X65" si="41">X31</f>
        <v>202206</v>
      </c>
      <c r="Y53" s="973">
        <v>-79001699.933840349</v>
      </c>
      <c r="Z53" s="973">
        <v>0</v>
      </c>
      <c r="AA53" s="973">
        <f t="shared" ref="AA53:AA65" si="42">SUM(Y53:Z53)</f>
        <v>-79001699.933840349</v>
      </c>
      <c r="AB53" s="973"/>
      <c r="AC53" s="973">
        <v>0</v>
      </c>
      <c r="AD53" s="973">
        <v>-533182766.11712289</v>
      </c>
      <c r="AE53" s="973">
        <v>-101873341.86060116</v>
      </c>
      <c r="AF53" s="973">
        <v>-59062709.751419522</v>
      </c>
      <c r="AH53" s="973">
        <f t="shared" ref="AH53:AH65" si="43">SUM(AA53:AF53)</f>
        <v>-773120517.66298401</v>
      </c>
      <c r="AI53" s="973"/>
      <c r="AL53" s="880" t="s">
        <v>82</v>
      </c>
      <c r="CJ53" s="879"/>
      <c r="CQ53" s="886" t="s">
        <v>62</v>
      </c>
      <c r="CR53" s="886" t="s">
        <v>654</v>
      </c>
    </row>
    <row r="54" spans="24:113" ht="13.5" thickBot="1">
      <c r="X54" s="182">
        <f t="shared" si="41"/>
        <v>202207</v>
      </c>
      <c r="Y54" s="973">
        <v>-78436505.569113746</v>
      </c>
      <c r="Z54" s="973">
        <v>0</v>
      </c>
      <c r="AA54" s="973">
        <f t="shared" si="42"/>
        <v>-78436505.569113746</v>
      </c>
      <c r="AB54" s="973"/>
      <c r="AC54" s="973">
        <v>0</v>
      </c>
      <c r="AD54" s="973">
        <v>-533204357.39592671</v>
      </c>
      <c r="AE54" s="973">
        <v>-101847554.75378467</v>
      </c>
      <c r="AF54" s="973">
        <v>-59130808.601222776</v>
      </c>
      <c r="AH54" s="973">
        <f t="shared" si="43"/>
        <v>-772619226.32004786</v>
      </c>
      <c r="AI54" s="973"/>
      <c r="AK54" s="888">
        <f t="shared" ref="AK54:AK65" si="44">AH54-AH53</f>
        <v>501291.34293615818</v>
      </c>
      <c r="AL54" s="888">
        <f t="shared" ref="AL54:AL59" si="45">$AN$4</f>
        <v>501291.31005000073</v>
      </c>
      <c r="AN54" s="888"/>
      <c r="CG54" s="477" t="s">
        <v>649</v>
      </c>
      <c r="CJ54" s="882">
        <f>SUM(CJ46,CJ52)</f>
        <v>-33852785.918713734</v>
      </c>
      <c r="CK54" s="882">
        <f>SUM(CK46,CK52)</f>
        <v>-1717252.2846054044</v>
      </c>
      <c r="CL54" s="882">
        <f>SUM(CL46,CL52)</f>
        <v>-1517841.76</v>
      </c>
      <c r="CM54" s="882">
        <f>SUM(CM46,CM52)</f>
        <v>-26232564.482280001</v>
      </c>
      <c r="CN54" s="882">
        <f>SUM(CN46,CN52)</f>
        <v>-4385128.1748190774</v>
      </c>
      <c r="CQ54" s="477" t="s">
        <v>344</v>
      </c>
      <c r="CR54" s="992">
        <f>'G-1.01 DFIT'!DY12</f>
        <v>31892695</v>
      </c>
      <c r="CT54" s="883">
        <f>CR54/CR56</f>
        <v>0.64918900238725197</v>
      </c>
    </row>
    <row r="55" spans="24:113" ht="13.5" thickTop="1">
      <c r="X55" s="182">
        <f t="shared" si="41"/>
        <v>202208</v>
      </c>
      <c r="Y55" s="973">
        <v>-77871311.204387143</v>
      </c>
      <c r="Z55" s="973">
        <v>0</v>
      </c>
      <c r="AA55" s="973">
        <f t="shared" si="42"/>
        <v>-77871311.204387143</v>
      </c>
      <c r="AB55" s="973"/>
      <c r="AC55" s="973">
        <v>0</v>
      </c>
      <c r="AD55" s="973">
        <v>-533225948.67473054</v>
      </c>
      <c r="AE55" s="973">
        <v>-101821767.6469682</v>
      </c>
      <c r="AF55" s="973">
        <v>-59198907.451026022</v>
      </c>
      <c r="AH55" s="973">
        <f t="shared" si="43"/>
        <v>-772117934.97711205</v>
      </c>
      <c r="AI55" s="973"/>
      <c r="AK55" s="888">
        <f t="shared" si="44"/>
        <v>501291.34293580055</v>
      </c>
      <c r="AL55" s="888">
        <f t="shared" si="45"/>
        <v>501291.31005000073</v>
      </c>
      <c r="AN55" s="888"/>
      <c r="CQ55" s="477" t="s">
        <v>650</v>
      </c>
      <c r="CR55" s="994">
        <f>-CR37</f>
        <v>17234284.789740004</v>
      </c>
      <c r="CT55" s="883">
        <f>CR55/CR56</f>
        <v>0.35081099761274809</v>
      </c>
    </row>
    <row r="56" spans="24:113">
      <c r="X56" s="182">
        <f t="shared" si="41"/>
        <v>202209</v>
      </c>
      <c r="Y56" s="973">
        <v>-77306116.839660525</v>
      </c>
      <c r="Z56" s="973">
        <v>0</v>
      </c>
      <c r="AA56" s="973">
        <f t="shared" si="42"/>
        <v>-77306116.839660525</v>
      </c>
      <c r="AB56" s="973"/>
      <c r="AC56" s="973">
        <v>0</v>
      </c>
      <c r="AD56" s="973">
        <v>-533247539.95353436</v>
      </c>
      <c r="AE56" s="973">
        <v>-101795980.54015173</v>
      </c>
      <c r="AF56" s="973">
        <v>-59267006.300829276</v>
      </c>
      <c r="AH56" s="973">
        <f t="shared" si="43"/>
        <v>-771616643.6341759</v>
      </c>
      <c r="AI56" s="973"/>
      <c r="AK56" s="888">
        <f t="shared" si="44"/>
        <v>501291.34293615818</v>
      </c>
      <c r="AL56" s="888">
        <f t="shared" si="45"/>
        <v>501291.31005000073</v>
      </c>
      <c r="AN56" s="888"/>
      <c r="CH56" s="477" t="s">
        <v>24</v>
      </c>
      <c r="CI56" s="477" t="s">
        <v>648</v>
      </c>
      <c r="CJ56" s="993">
        <f>SUM(CK56:CN56)</f>
        <v>366182432</v>
      </c>
      <c r="CK56" s="993">
        <f>CR39</f>
        <v>855529.21025999635</v>
      </c>
      <c r="CL56" s="992">
        <f>CR45</f>
        <v>15862492</v>
      </c>
      <c r="CM56" s="992">
        <f>CR51</f>
        <v>300337431</v>
      </c>
      <c r="CN56" s="992">
        <f>CR56</f>
        <v>49126979.789740004</v>
      </c>
      <c r="CO56" s="888">
        <f>CJ56-'G-1.01 DFIT'!DY14</f>
        <v>0</v>
      </c>
      <c r="CR56" s="992">
        <f>SUM(CR54:CR55)</f>
        <v>49126979.789740004</v>
      </c>
      <c r="CT56" s="883">
        <f>SUM(CT54:CT55)</f>
        <v>1</v>
      </c>
    </row>
    <row r="57" spans="24:113">
      <c r="X57" s="182">
        <f t="shared" si="41"/>
        <v>202210</v>
      </c>
      <c r="Y57" s="973">
        <v>-76740922.474933922</v>
      </c>
      <c r="Z57" s="973">
        <v>0</v>
      </c>
      <c r="AA57" s="973">
        <f t="shared" si="42"/>
        <v>-76740922.474933922</v>
      </c>
      <c r="AB57" s="973"/>
      <c r="AC57" s="973">
        <v>0</v>
      </c>
      <c r="AD57" s="973">
        <v>-533269131.23233819</v>
      </c>
      <c r="AE57" s="973">
        <v>-101770193.43333526</v>
      </c>
      <c r="AF57" s="973">
        <v>-59335105.15063253</v>
      </c>
      <c r="AH57" s="973">
        <f t="shared" si="43"/>
        <v>-771115352.29123986</v>
      </c>
      <c r="AI57" s="973"/>
      <c r="AK57" s="888">
        <f t="shared" si="44"/>
        <v>501291.34293603897</v>
      </c>
      <c r="AL57" s="888">
        <f t="shared" si="45"/>
        <v>501291.31005000073</v>
      </c>
      <c r="AN57" s="888"/>
      <c r="CK57" s="881">
        <f>ROUND(CK56/$CJ$56,7)</f>
        <v>2.3362999999999999E-3</v>
      </c>
      <c r="CL57" s="881">
        <f>ROUND(CL56/$CJ$56,7)</f>
        <v>4.3318599999999999E-2</v>
      </c>
      <c r="CM57" s="881">
        <f>ROUND(CM56/$CJ$56,7)</f>
        <v>0.82018530000000001</v>
      </c>
      <c r="CN57" s="881">
        <f>ROUND(CN56/$CJ$56,7)</f>
        <v>0.1341598</v>
      </c>
    </row>
    <row r="58" spans="24:113">
      <c r="X58" s="182">
        <f t="shared" si="41"/>
        <v>202211</v>
      </c>
      <c r="Y58" s="973">
        <v>-76175728.110207319</v>
      </c>
      <c r="Z58" s="973">
        <v>0</v>
      </c>
      <c r="AA58" s="973">
        <f t="shared" si="42"/>
        <v>-76175728.110207319</v>
      </c>
      <c r="AB58" s="973"/>
      <c r="AC58" s="973">
        <v>0</v>
      </c>
      <c r="AD58" s="973">
        <v>-533290722.51114196</v>
      </c>
      <c r="AE58" s="973">
        <v>-101744406.32651877</v>
      </c>
      <c r="AF58" s="973">
        <v>-59403204.000435784</v>
      </c>
      <c r="AH58" s="973">
        <f t="shared" si="43"/>
        <v>-770614060.94830394</v>
      </c>
      <c r="AI58" s="973"/>
      <c r="AK58" s="888">
        <f t="shared" si="44"/>
        <v>501291.34293591976</v>
      </c>
      <c r="AL58" s="888">
        <f t="shared" si="45"/>
        <v>501291.31005000073</v>
      </c>
      <c r="AN58" s="888"/>
      <c r="CI58" s="880"/>
      <c r="CJ58" s="879"/>
      <c r="CK58" s="879"/>
      <c r="CL58" s="973"/>
      <c r="CM58" s="973"/>
      <c r="CN58" s="973"/>
    </row>
    <row r="59" spans="24:113">
      <c r="X59" s="182">
        <f t="shared" si="41"/>
        <v>202212</v>
      </c>
      <c r="Y59" s="973">
        <v>-75610533.745480716</v>
      </c>
      <c r="Z59" s="973">
        <v>0</v>
      </c>
      <c r="AA59" s="973">
        <f t="shared" si="42"/>
        <v>-75610533.745480716</v>
      </c>
      <c r="AB59" s="973"/>
      <c r="AC59" s="973">
        <v>0</v>
      </c>
      <c r="AD59" s="973">
        <v>-533312313.78994578</v>
      </c>
      <c r="AE59" s="973">
        <v>-101718619.2197023</v>
      </c>
      <c r="AF59" s="973">
        <v>-59471302.850239031</v>
      </c>
      <c r="AH59" s="973">
        <f t="shared" si="43"/>
        <v>-770112769.6053679</v>
      </c>
      <c r="AI59" s="973"/>
      <c r="AK59" s="888">
        <f t="shared" si="44"/>
        <v>501291.34293603897</v>
      </c>
      <c r="AL59" s="888">
        <f t="shared" si="45"/>
        <v>501291.31005000073</v>
      </c>
      <c r="AM59" s="888">
        <f>AL4</f>
        <v>-770112770</v>
      </c>
      <c r="AN59" s="888"/>
      <c r="CI59" s="880"/>
      <c r="CJ59" s="879"/>
      <c r="CK59" s="879"/>
      <c r="CL59" s="879"/>
      <c r="CM59" s="879"/>
      <c r="CN59" s="879"/>
    </row>
    <row r="60" spans="24:113">
      <c r="X60" s="182">
        <f t="shared" si="41"/>
        <v>202301</v>
      </c>
      <c r="Y60" s="973">
        <v>-75189891.812551767</v>
      </c>
      <c r="Z60" s="973">
        <v>0</v>
      </c>
      <c r="AA60" s="973">
        <f t="shared" si="42"/>
        <v>-75189891.812551767</v>
      </c>
      <c r="AB60" s="973"/>
      <c r="AC60" s="973">
        <v>0</v>
      </c>
      <c r="AD60" s="973">
        <v>-533843600.51277024</v>
      </c>
      <c r="AE60" s="973">
        <v>-101753300.39266862</v>
      </c>
      <c r="AF60" s="973">
        <v>-59544550.211108953</v>
      </c>
      <c r="AH60" s="973">
        <f t="shared" si="43"/>
        <v>-770331342.92909956</v>
      </c>
      <c r="AI60" s="973"/>
      <c r="AK60" s="888">
        <f t="shared" si="44"/>
        <v>-218573.32373166084</v>
      </c>
      <c r="AL60" s="888">
        <f t="shared" ref="AL60:AL65" si="46">AK60</f>
        <v>-218573.32373166084</v>
      </c>
      <c r="CI60" s="880"/>
      <c r="CJ60" s="879"/>
      <c r="CK60" s="879"/>
      <c r="CL60" s="879"/>
      <c r="CM60" s="879"/>
      <c r="CN60" s="879"/>
    </row>
    <row r="61" spans="24:113">
      <c r="X61" s="182">
        <f t="shared" si="41"/>
        <v>202302</v>
      </c>
      <c r="Y61" s="973">
        <v>-74769249.879622802</v>
      </c>
      <c r="Z61" s="973">
        <v>0</v>
      </c>
      <c r="AA61" s="973">
        <f t="shared" si="42"/>
        <v>-74769249.879622802</v>
      </c>
      <c r="AB61" s="973"/>
      <c r="AC61" s="973">
        <v>0</v>
      </c>
      <c r="AD61" s="973">
        <v>-534374887.23559469</v>
      </c>
      <c r="AE61" s="973">
        <v>-101787981.56563494</v>
      </c>
      <c r="AF61" s="973">
        <v>-59617797.571978867</v>
      </c>
      <c r="AH61" s="973">
        <f t="shared" si="43"/>
        <v>-770549916.25283122</v>
      </c>
      <c r="AI61" s="973"/>
      <c r="AK61" s="888">
        <f t="shared" si="44"/>
        <v>-218573.32373166084</v>
      </c>
      <c r="AL61" s="888">
        <f t="shared" si="46"/>
        <v>-218573.32373166084</v>
      </c>
      <c r="CI61" s="880"/>
      <c r="CJ61" s="879"/>
      <c r="CK61" s="879"/>
      <c r="CL61" s="879"/>
      <c r="CM61" s="879"/>
      <c r="CN61" s="879"/>
    </row>
    <row r="62" spans="24:113">
      <c r="X62" s="182">
        <f t="shared" si="41"/>
        <v>202303</v>
      </c>
      <c r="Y62" s="973">
        <v>-74348607.946693853</v>
      </c>
      <c r="Z62" s="973">
        <v>0</v>
      </c>
      <c r="AA62" s="973">
        <f t="shared" si="42"/>
        <v>-74348607.946693853</v>
      </c>
      <c r="AB62" s="973"/>
      <c r="AC62" s="973">
        <v>0</v>
      </c>
      <c r="AD62" s="973">
        <v>-534906173.9584192</v>
      </c>
      <c r="AE62" s="973">
        <v>-101822662.73860125</v>
      </c>
      <c r="AF62" s="973">
        <v>-59691044.932848789</v>
      </c>
      <c r="AH62" s="973">
        <f t="shared" si="43"/>
        <v>-770768489.57656312</v>
      </c>
      <c r="AI62" s="973"/>
      <c r="AK62" s="888">
        <f t="shared" si="44"/>
        <v>-218573.32373189926</v>
      </c>
      <c r="AL62" s="888">
        <f t="shared" si="46"/>
        <v>-218573.32373189926</v>
      </c>
      <c r="CI62" s="880"/>
      <c r="CJ62" s="879"/>
      <c r="CK62" s="879"/>
      <c r="CL62" s="879"/>
      <c r="CM62" s="879"/>
      <c r="CN62" s="879"/>
    </row>
    <row r="63" spans="24:113">
      <c r="X63" s="182">
        <f t="shared" si="41"/>
        <v>202304</v>
      </c>
      <c r="Y63" s="973">
        <v>-73927966.013764903</v>
      </c>
      <c r="Z63" s="973">
        <v>0</v>
      </c>
      <c r="AA63" s="973">
        <f t="shared" si="42"/>
        <v>-73927966.013764903</v>
      </c>
      <c r="AB63" s="973"/>
      <c r="AC63" s="973">
        <v>0</v>
      </c>
      <c r="AD63" s="973">
        <v>-535437460.68124366</v>
      </c>
      <c r="AE63" s="973">
        <v>-101857343.91156757</v>
      </c>
      <c r="AF63" s="973">
        <v>-59764292.293718711</v>
      </c>
      <c r="AH63" s="973">
        <f t="shared" si="43"/>
        <v>-770987062.90029478</v>
      </c>
      <c r="AI63" s="973"/>
      <c r="AK63" s="888">
        <f t="shared" si="44"/>
        <v>-218573.32373166084</v>
      </c>
      <c r="AL63" s="888">
        <f t="shared" si="46"/>
        <v>-218573.32373166084</v>
      </c>
      <c r="CI63" s="880"/>
      <c r="CJ63" s="879"/>
      <c r="CK63" s="879"/>
      <c r="CL63" s="879"/>
      <c r="CM63" s="879"/>
      <c r="CN63" s="879"/>
    </row>
    <row r="64" spans="24:113">
      <c r="X64" s="182">
        <f t="shared" si="41"/>
        <v>202305</v>
      </c>
      <c r="Y64" s="973">
        <v>-73507324.080835938</v>
      </c>
      <c r="Z64" s="973">
        <v>0</v>
      </c>
      <c r="AA64" s="973">
        <f t="shared" si="42"/>
        <v>-73507324.080835938</v>
      </c>
      <c r="AB64" s="973"/>
      <c r="AC64" s="973">
        <v>0</v>
      </c>
      <c r="AD64" s="973">
        <v>-535968747.40406811</v>
      </c>
      <c r="AE64" s="973">
        <v>-101892025.08453389</v>
      </c>
      <c r="AF64" s="973">
        <v>-59837539.654588625</v>
      </c>
      <c r="AH64" s="973">
        <f t="shared" si="43"/>
        <v>-771205636.22402656</v>
      </c>
      <c r="AI64" s="973"/>
      <c r="AK64" s="888">
        <f t="shared" si="44"/>
        <v>-218573.32373178005</v>
      </c>
      <c r="AL64" s="888">
        <f t="shared" si="46"/>
        <v>-218573.32373178005</v>
      </c>
      <c r="CI64" s="880"/>
      <c r="CJ64" s="879"/>
      <c r="CK64" s="879"/>
      <c r="CL64" s="879"/>
      <c r="CM64" s="879"/>
      <c r="CN64" s="879"/>
    </row>
    <row r="65" spans="24:92">
      <c r="X65" s="182">
        <f t="shared" si="41"/>
        <v>202306</v>
      </c>
      <c r="Y65" s="977">
        <v>-73086682.147906989</v>
      </c>
      <c r="Z65" s="977">
        <v>0</v>
      </c>
      <c r="AA65" s="977">
        <f t="shared" si="42"/>
        <v>-73086682.147906989</v>
      </c>
      <c r="AB65" s="978"/>
      <c r="AC65" s="977">
        <v>0</v>
      </c>
      <c r="AD65" s="977">
        <v>-536500034.12689257</v>
      </c>
      <c r="AE65" s="977">
        <v>-101926706.2575002</v>
      </c>
      <c r="AF65" s="977">
        <v>-59910787.015458547</v>
      </c>
      <c r="AG65" s="978"/>
      <c r="AH65" s="977">
        <f t="shared" si="43"/>
        <v>-771424209.54775834</v>
      </c>
      <c r="AI65" s="973"/>
      <c r="AK65" s="888">
        <f t="shared" si="44"/>
        <v>-218573.32373178005</v>
      </c>
      <c r="AL65" s="888">
        <f t="shared" si="46"/>
        <v>-218573.32373178005</v>
      </c>
      <c r="CI65" s="880"/>
      <c r="CJ65" s="879"/>
      <c r="CK65" s="879"/>
      <c r="CL65" s="879"/>
      <c r="CM65" s="879"/>
      <c r="CN65" s="879"/>
    </row>
    <row r="66" spans="24:92">
      <c r="Y66" s="973"/>
      <c r="Z66" s="973"/>
      <c r="AA66" s="973"/>
      <c r="AB66" s="973"/>
      <c r="AC66" s="973"/>
      <c r="AD66" s="973"/>
      <c r="AE66" s="973"/>
      <c r="AF66" s="973"/>
      <c r="AH66" s="973"/>
      <c r="AI66" s="973"/>
      <c r="CI66" s="880"/>
      <c r="CJ66" s="879"/>
      <c r="CK66" s="879"/>
      <c r="CL66" s="879"/>
      <c r="CM66" s="879"/>
      <c r="CN66" s="879"/>
    </row>
    <row r="67" spans="24:92" ht="13.5" thickBot="1">
      <c r="X67" s="477" t="s">
        <v>663</v>
      </c>
      <c r="Y67" s="974">
        <f>(((Y53+Y65)/2)+(Y54+Y55+Y56+Y57+Y58+Y59+Y60+Y61+Y62+Y63+Y64))/12</f>
        <v>-75827362.393177196</v>
      </c>
      <c r="Z67" s="974">
        <f>(((Z53+Z65)/2)+(Z54+Z55+Z56+Z57+Z58+Z59+Z60+Z61+Z62+Z63+Z64))/12</f>
        <v>0</v>
      </c>
      <c r="AA67" s="976">
        <f>SUM(Y67:Z67)</f>
        <v>-75827362.393177196</v>
      </c>
      <c r="AB67" s="973"/>
      <c r="AC67" s="976">
        <f>(((AC53+AC65)/2)+(AC54+AC55+AC56+AC57+AC58+AC59+AC60+AC61+AC62+AC63+AC64))/12</f>
        <v>0</v>
      </c>
      <c r="AD67" s="976">
        <f>(((AD53+AD65)/2)+(AD54+AD55+AD56+AD57+AD58+AD59+AD60+AD61+AD62+AD63+AD64))/12</f>
        <v>-534076856.95597672</v>
      </c>
      <c r="AE67" s="976">
        <f>(((AE53+AE65)/2)+(AE54+AE55+AE56+AE57+AE58+AE59+AE60+AE61+AE62+AE63+AE64))/12</f>
        <v>-101809321.63937648</v>
      </c>
      <c r="AF67" s="976">
        <f>(((AF53+AF65)/2)+(AF54+AF55+AF56+AF57+AF58+AF59+AF60+AF61+AF62+AF63+AF64))/12</f>
        <v>-59479025.616839044</v>
      </c>
      <c r="AG67" s="973"/>
      <c r="AH67" s="976">
        <f>SUM(AA67:AF67)</f>
        <v>-771192566.60536945</v>
      </c>
      <c r="AI67" s="973"/>
      <c r="CI67" s="880"/>
      <c r="CJ67" s="879"/>
      <c r="CK67" s="879"/>
      <c r="CL67" s="879"/>
      <c r="CM67" s="879"/>
      <c r="CN67" s="879"/>
    </row>
    <row r="68" spans="24:92">
      <c r="Y68" s="973"/>
      <c r="Z68" s="973"/>
      <c r="AA68" s="973"/>
      <c r="AB68" s="973"/>
      <c r="AC68" s="973"/>
      <c r="AD68" s="973"/>
      <c r="AE68" s="973"/>
      <c r="AF68" s="973"/>
      <c r="AG68" s="973"/>
      <c r="AH68" s="975" t="s">
        <v>662</v>
      </c>
      <c r="AI68" s="973"/>
      <c r="CJ68" s="879"/>
      <c r="CK68" s="879"/>
    </row>
    <row r="69" spans="24:92" ht="13.5" thickBot="1">
      <c r="X69" s="477" t="s">
        <v>660</v>
      </c>
      <c r="Y69" s="974">
        <f>Y65</f>
        <v>-73086682.147906989</v>
      </c>
      <c r="Z69" s="974">
        <f>Z65</f>
        <v>0</v>
      </c>
      <c r="AA69" s="974">
        <f>AA65</f>
        <v>-73086682.147906989</v>
      </c>
      <c r="AB69" s="973"/>
      <c r="AC69" s="974">
        <f>AC65</f>
        <v>0</v>
      </c>
      <c r="AD69" s="974">
        <f>AD65</f>
        <v>-536500034.12689257</v>
      </c>
      <c r="AE69" s="974">
        <f>AE65</f>
        <v>-101926706.2575002</v>
      </c>
      <c r="AF69" s="974">
        <f>AF65</f>
        <v>-59910787.015458547</v>
      </c>
      <c r="AG69" s="973"/>
      <c r="AH69" s="974">
        <f>SUM(AA69:AF69)</f>
        <v>-771424209.54775834</v>
      </c>
      <c r="AI69" s="973"/>
      <c r="CG69" s="531"/>
      <c r="CJ69" s="878"/>
      <c r="CK69" s="878"/>
      <c r="CL69" s="878"/>
      <c r="CM69" s="878"/>
      <c r="CN69" s="878"/>
    </row>
    <row r="70" spans="24:92">
      <c r="Y70" s="973"/>
      <c r="Z70" s="973"/>
      <c r="AA70" s="973"/>
      <c r="AB70" s="973"/>
      <c r="AC70" s="973"/>
      <c r="AD70" s="973"/>
      <c r="AE70" s="973"/>
      <c r="AF70" s="973"/>
      <c r="AG70" s="973"/>
      <c r="AH70" s="973"/>
      <c r="AI70" s="973"/>
    </row>
    <row r="71" spans="24:92">
      <c r="Y71" s="973"/>
      <c r="Z71" s="973"/>
      <c r="AA71" s="973"/>
      <c r="AB71" s="973"/>
      <c r="AC71" s="973"/>
      <c r="AD71" s="973"/>
      <c r="AE71" s="973"/>
      <c r="AF71" s="973"/>
      <c r="AG71" s="973"/>
      <c r="AH71" s="973"/>
      <c r="AI71" s="973"/>
    </row>
  </sheetData>
  <mergeCells count="9">
    <mergeCell ref="DW2:DY2"/>
    <mergeCell ref="AR1:AV1"/>
    <mergeCell ref="AR2:AV2"/>
    <mergeCell ref="AR3:AV3"/>
    <mergeCell ref="CY2:DA2"/>
    <mergeCell ref="DC2:DE2"/>
    <mergeCell ref="DG2:DI2"/>
    <mergeCell ref="DO2:DQ2"/>
    <mergeCell ref="DS2:DU2"/>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3FD2D-70F5-43CE-9E5E-20CBBB505661}">
  <sheetPr codeName="Sheet8"/>
  <dimension ref="A1:AT92"/>
  <sheetViews>
    <sheetView workbookViewId="0">
      <selection sqref="A1:J1"/>
    </sheetView>
  </sheetViews>
  <sheetFormatPr defaultRowHeight="12.75"/>
  <cols>
    <col min="1" max="1" width="35.5703125" style="477" customWidth="1"/>
    <col min="2" max="2" width="11.140625" style="477" customWidth="1"/>
    <col min="3" max="3" width="12.28515625" style="477" bestFit="1" customWidth="1"/>
    <col min="4" max="5" width="11.42578125" style="477" customWidth="1"/>
    <col min="6" max="6" width="4.140625" style="880" customWidth="1"/>
    <col min="7" max="7" width="11.5703125" style="477" customWidth="1"/>
    <col min="8" max="8" width="11.42578125" style="477" customWidth="1"/>
    <col min="9" max="9" width="11.5703125" style="477" customWidth="1"/>
    <col min="10" max="10" width="10.5703125" style="477" customWidth="1"/>
    <col min="11" max="11" width="11.42578125" style="880" customWidth="1"/>
    <col min="12" max="12" width="11.42578125" style="477" bestFit="1" customWidth="1"/>
    <col min="13" max="13" width="1.7109375" style="1008" customWidth="1"/>
    <col min="14" max="14" width="8.140625" style="477" customWidth="1"/>
    <col min="15" max="15" width="15.5703125" style="478" customWidth="1"/>
    <col min="16" max="16" width="12" style="581" customWidth="1"/>
    <col min="17" max="17" width="12.5703125" style="478" bestFit="1" customWidth="1"/>
    <col min="18" max="18" width="12" style="1012" customWidth="1"/>
    <col min="19" max="19" width="11.140625" style="1012" customWidth="1"/>
    <col min="20" max="20" width="12.42578125" style="478" customWidth="1"/>
    <col min="21" max="21" width="11.85546875" style="478" customWidth="1"/>
    <col min="22" max="22" width="12.7109375" style="478" customWidth="1"/>
    <col min="23" max="23" width="12.5703125" style="478" customWidth="1"/>
    <col min="24" max="24" width="11.5703125" style="478" customWidth="1"/>
    <col min="25" max="25" width="1.7109375" style="1008" customWidth="1"/>
    <col min="26" max="26" width="8.85546875" style="477"/>
    <col min="27" max="27" width="14.42578125" style="1009" customWidth="1"/>
    <col min="28" max="28" width="12.28515625" style="1009" bestFit="1" customWidth="1"/>
    <col min="29" max="29" width="11.85546875" style="1009" customWidth="1"/>
    <col min="30" max="30" width="12.42578125" style="1009" customWidth="1"/>
    <col min="31" max="31" width="6.5703125" style="1011" customWidth="1"/>
    <col min="32" max="32" width="15.5703125" style="1010" customWidth="1"/>
    <col min="33" max="33" width="12" style="1010" customWidth="1"/>
    <col min="34" max="34" width="13.140625" style="1009" customWidth="1"/>
    <col min="35" max="35" width="12.42578125" style="1009" customWidth="1"/>
    <col min="36" max="36" width="8.85546875" style="477"/>
    <col min="37" max="37" width="1.7109375" style="1008" customWidth="1"/>
    <col min="38" max="38" width="8.85546875" style="477"/>
    <col min="39" max="39" width="12.5703125" style="477" customWidth="1"/>
    <col min="40" max="40" width="15.7109375" style="1007" bestFit="1" customWidth="1"/>
    <col min="41" max="41" width="17.28515625" style="1007" customWidth="1"/>
    <col min="42" max="42" width="9.7109375" style="477" customWidth="1"/>
    <col min="43" max="43" width="16.5703125" style="477" customWidth="1"/>
    <col min="44" max="44" width="9.28515625" style="477" bestFit="1" customWidth="1"/>
    <col min="45" max="45" width="19.5703125" style="477" customWidth="1"/>
    <col min="46" max="46" width="3.42578125" style="477" customWidth="1"/>
  </cols>
  <sheetData>
    <row r="1" spans="1:46">
      <c r="A1" s="3763" t="s">
        <v>111</v>
      </c>
      <c r="B1" s="3763"/>
      <c r="C1" s="3763"/>
      <c r="D1" s="3763"/>
      <c r="E1" s="3763"/>
      <c r="F1" s="3763"/>
      <c r="G1" s="3763"/>
      <c r="H1" s="3763"/>
      <c r="I1" s="3763"/>
      <c r="J1" s="3763"/>
      <c r="O1" s="3753" t="s">
        <v>111</v>
      </c>
      <c r="P1" s="3753"/>
      <c r="Q1" s="3753"/>
      <c r="R1" s="3753"/>
      <c r="S1" s="3753"/>
      <c r="T1" s="3753"/>
      <c r="U1" s="3753"/>
      <c r="V1" s="3753"/>
      <c r="W1" s="3753"/>
      <c r="X1" s="1044"/>
      <c r="AA1" s="477"/>
      <c r="AB1" s="477"/>
      <c r="AC1" s="477"/>
      <c r="AD1" s="477"/>
      <c r="AF1" s="477"/>
      <c r="AG1" s="477"/>
      <c r="AH1" s="477"/>
      <c r="AI1" s="477"/>
      <c r="AM1" s="531" t="s">
        <v>111</v>
      </c>
    </row>
    <row r="2" spans="1:46">
      <c r="A2" s="3763" t="s">
        <v>895</v>
      </c>
      <c r="B2" s="3763"/>
      <c r="C2" s="3763"/>
      <c r="D2" s="3763"/>
      <c r="E2" s="3763"/>
      <c r="F2" s="3763"/>
      <c r="G2" s="3763"/>
      <c r="H2" s="3763"/>
      <c r="I2" s="3763"/>
      <c r="J2" s="3763"/>
      <c r="O2" s="3753" t="s">
        <v>894</v>
      </c>
      <c r="P2" s="3753"/>
      <c r="Q2" s="3753"/>
      <c r="R2" s="3753"/>
      <c r="S2" s="3753"/>
      <c r="T2" s="3753"/>
      <c r="U2" s="3753"/>
      <c r="V2" s="3753"/>
      <c r="W2" s="3753"/>
      <c r="X2" s="1044"/>
      <c r="AA2" s="477"/>
      <c r="AB2" s="477"/>
      <c r="AC2" s="477"/>
      <c r="AD2" s="477"/>
      <c r="AF2" s="477"/>
      <c r="AG2" s="477"/>
      <c r="AH2" s="477"/>
      <c r="AI2" s="477"/>
      <c r="AM2" s="531" t="s">
        <v>893</v>
      </c>
    </row>
    <row r="3" spans="1:46">
      <c r="A3" s="3763" t="s">
        <v>580</v>
      </c>
      <c r="B3" s="3763"/>
      <c r="C3" s="3763"/>
      <c r="D3" s="3763"/>
      <c r="E3" s="3763"/>
      <c r="F3" s="3763"/>
      <c r="G3" s="3763"/>
      <c r="H3" s="3763"/>
      <c r="I3" s="3763"/>
      <c r="J3" s="3763"/>
      <c r="O3" s="3765" t="s">
        <v>580</v>
      </c>
      <c r="P3" s="3765"/>
      <c r="Q3" s="3765"/>
      <c r="R3" s="3765"/>
      <c r="S3" s="3765"/>
      <c r="T3" s="3765"/>
      <c r="U3" s="3765"/>
      <c r="V3" s="3765"/>
      <c r="W3" s="3765"/>
      <c r="X3" s="1172"/>
      <c r="AA3" s="1084" t="s">
        <v>838</v>
      </c>
      <c r="AB3" s="1081" t="s">
        <v>892</v>
      </c>
      <c r="AC3" s="1081" t="s">
        <v>866</v>
      </c>
      <c r="AD3" s="1089"/>
      <c r="AE3" s="1088"/>
      <c r="AF3" s="1084" t="s">
        <v>838</v>
      </c>
      <c r="AG3" s="1081" t="s">
        <v>892</v>
      </c>
      <c r="AH3" s="1081" t="s">
        <v>864</v>
      </c>
      <c r="AI3" s="1089"/>
      <c r="AM3" s="531"/>
    </row>
    <row r="4" spans="1:46">
      <c r="O4" s="1173"/>
      <c r="P4" s="1173"/>
      <c r="Q4" s="1173"/>
      <c r="R4" s="1173"/>
      <c r="S4" s="1173"/>
      <c r="T4" s="1173"/>
      <c r="U4" s="1173"/>
      <c r="V4" s="1173"/>
      <c r="W4" s="1173"/>
      <c r="X4" s="1172"/>
      <c r="AA4" s="1087" t="s">
        <v>835</v>
      </c>
      <c r="AB4" s="477"/>
      <c r="AC4" s="477"/>
      <c r="AD4" s="477"/>
      <c r="AF4" s="1087" t="s">
        <v>835</v>
      </c>
      <c r="AG4" s="477"/>
      <c r="AH4" s="477"/>
      <c r="AI4" s="477"/>
      <c r="AN4" s="1171"/>
    </row>
    <row r="5" spans="1:46" ht="25.5">
      <c r="B5" s="3766" t="s">
        <v>18</v>
      </c>
      <c r="C5" s="3767"/>
      <c r="D5" s="3768"/>
      <c r="G5" s="3766" t="s">
        <v>11</v>
      </c>
      <c r="H5" s="3767"/>
      <c r="I5" s="3768"/>
      <c r="AA5" s="1084" t="s">
        <v>679</v>
      </c>
      <c r="AB5" s="1084" t="s">
        <v>744</v>
      </c>
      <c r="AC5" s="1085" t="s">
        <v>743</v>
      </c>
      <c r="AD5" s="1084" t="s">
        <v>745</v>
      </c>
      <c r="AF5" s="1084" t="s">
        <v>679</v>
      </c>
      <c r="AG5" s="1084" t="s">
        <v>744</v>
      </c>
      <c r="AH5" s="1085" t="s">
        <v>743</v>
      </c>
      <c r="AI5" s="1084" t="s">
        <v>745</v>
      </c>
      <c r="AM5" s="1170" t="s">
        <v>890</v>
      </c>
      <c r="AN5" s="1169" t="s">
        <v>889</v>
      </c>
      <c r="AO5" s="1168" t="s">
        <v>888</v>
      </c>
      <c r="AP5" s="1117"/>
      <c r="AQ5" s="1117"/>
      <c r="AR5" s="1117"/>
      <c r="AS5" s="1117"/>
      <c r="AT5" s="1117"/>
    </row>
    <row r="6" spans="1:46" ht="25.5">
      <c r="A6" s="477" t="s">
        <v>70</v>
      </c>
      <c r="B6" s="1166" t="s">
        <v>887</v>
      </c>
      <c r="C6" s="944" t="s">
        <v>886</v>
      </c>
      <c r="D6" s="1167" t="s">
        <v>19</v>
      </c>
      <c r="E6" s="944" t="s">
        <v>904</v>
      </c>
      <c r="F6" s="944"/>
      <c r="G6" s="1166" t="s">
        <v>885</v>
      </c>
      <c r="H6" s="944" t="s">
        <v>884</v>
      </c>
      <c r="I6" s="1165" t="s">
        <v>19</v>
      </c>
      <c r="J6" s="944" t="s">
        <v>883</v>
      </c>
      <c r="L6" s="944" t="s">
        <v>882</v>
      </c>
      <c r="O6" s="1044" t="s">
        <v>881</v>
      </c>
      <c r="AA6" s="1081">
        <v>202207</v>
      </c>
      <c r="AB6" s="1080">
        <v>-2557060.39</v>
      </c>
      <c r="AC6" s="1148">
        <v>13660</v>
      </c>
      <c r="AD6" s="1080">
        <f t="shared" ref="AD6:AD17" si="0">SUM(AB6:AC6)</f>
        <v>-2543400.39</v>
      </c>
      <c r="AE6" s="1009"/>
      <c r="AF6" s="1081">
        <v>202207</v>
      </c>
      <c r="AG6" s="1080">
        <v>-1313815</v>
      </c>
      <c r="AH6" s="1148">
        <v>-1460</v>
      </c>
      <c r="AI6" s="1080">
        <f t="shared" ref="AI6:AI17" si="1">SUM(AG6:AH6)</f>
        <v>-1315275</v>
      </c>
      <c r="AM6" s="1147">
        <v>44742</v>
      </c>
      <c r="AN6" s="1146">
        <v>13</v>
      </c>
      <c r="AO6" s="1145">
        <v>4021.92</v>
      </c>
    </row>
    <row r="7" spans="1:46" ht="13.5" thickBot="1">
      <c r="B7" s="948"/>
      <c r="D7" s="946"/>
      <c r="G7" s="948"/>
      <c r="I7" s="946"/>
      <c r="L7" s="880"/>
      <c r="AA7" s="1081">
        <v>202208</v>
      </c>
      <c r="AB7" s="1080">
        <f t="shared" ref="AB7:AB17" si="2">AD6</f>
        <v>-2543400.39</v>
      </c>
      <c r="AC7" s="1148">
        <v>-174484</v>
      </c>
      <c r="AD7" s="1080">
        <f t="shared" si="0"/>
        <v>-2717884.39</v>
      </c>
      <c r="AF7" s="1081">
        <v>202208</v>
      </c>
      <c r="AG7" s="1080">
        <f t="shared" ref="AG7:AG17" si="3">AI6</f>
        <v>-1315275</v>
      </c>
      <c r="AH7" s="1148">
        <v>91578</v>
      </c>
      <c r="AI7" s="1080">
        <f t="shared" si="1"/>
        <v>-1223697</v>
      </c>
      <c r="AM7" s="1147">
        <v>44773</v>
      </c>
      <c r="AN7" s="1146">
        <v>14</v>
      </c>
      <c r="AO7" s="1145">
        <v>4233.5200000000004</v>
      </c>
    </row>
    <row r="8" spans="1:46">
      <c r="B8" s="948"/>
      <c r="D8" s="946"/>
      <c r="G8" s="948"/>
      <c r="I8" s="946"/>
      <c r="L8" s="880"/>
      <c r="P8" s="1063"/>
      <c r="Q8" s="1164" t="s">
        <v>198</v>
      </c>
      <c r="R8" s="3773" t="s">
        <v>819</v>
      </c>
      <c r="S8" s="3774"/>
      <c r="T8" s="1059"/>
      <c r="U8" s="1164" t="s">
        <v>198</v>
      </c>
      <c r="V8" s="3773" t="s">
        <v>78</v>
      </c>
      <c r="W8" s="3774"/>
      <c r="AA8" s="1081">
        <v>202209</v>
      </c>
      <c r="AB8" s="1080">
        <f t="shared" si="2"/>
        <v>-2717884.39</v>
      </c>
      <c r="AC8" s="1148">
        <v>-92861.46</v>
      </c>
      <c r="AD8" s="1080">
        <f t="shared" si="0"/>
        <v>-2810745.85</v>
      </c>
      <c r="AF8" s="1081">
        <v>202209</v>
      </c>
      <c r="AG8" s="1080">
        <f t="shared" si="3"/>
        <v>-1223697</v>
      </c>
      <c r="AH8" s="1148">
        <v>-37180</v>
      </c>
      <c r="AI8" s="1080">
        <f t="shared" si="1"/>
        <v>-1260877</v>
      </c>
      <c r="AM8" s="1147">
        <v>44804</v>
      </c>
      <c r="AN8" s="1146">
        <v>15</v>
      </c>
      <c r="AO8" s="1145">
        <v>3874.43</v>
      </c>
    </row>
    <row r="9" spans="1:46">
      <c r="A9" s="477" t="s">
        <v>363</v>
      </c>
      <c r="B9" s="1186">
        <v>0</v>
      </c>
      <c r="C9" s="1181">
        <v>0</v>
      </c>
      <c r="D9" s="1185">
        <f>B9-C9</f>
        <v>0</v>
      </c>
      <c r="E9" s="515" t="s">
        <v>876</v>
      </c>
      <c r="F9" s="1180"/>
      <c r="G9" s="1186">
        <v>0</v>
      </c>
      <c r="H9" s="1181">
        <v>0</v>
      </c>
      <c r="I9" s="1185">
        <f>G9-H9</f>
        <v>0</v>
      </c>
      <c r="L9" s="880" t="s">
        <v>903</v>
      </c>
      <c r="O9" s="580"/>
      <c r="P9" s="1063"/>
      <c r="Q9" s="1163" t="s">
        <v>843</v>
      </c>
      <c r="R9" s="1162" t="s">
        <v>880</v>
      </c>
      <c r="S9" s="1161" t="s">
        <v>879</v>
      </c>
      <c r="T9" s="1056"/>
      <c r="U9" s="1163" t="s">
        <v>843</v>
      </c>
      <c r="V9" s="1162" t="s">
        <v>878</v>
      </c>
      <c r="W9" s="1161" t="s">
        <v>877</v>
      </c>
      <c r="AA9" s="1081">
        <v>202210</v>
      </c>
      <c r="AB9" s="1080">
        <f t="shared" si="2"/>
        <v>-2810745.85</v>
      </c>
      <c r="AC9" s="1148">
        <v>-81464</v>
      </c>
      <c r="AD9" s="1080">
        <f t="shared" si="0"/>
        <v>-2892209.85</v>
      </c>
      <c r="AF9" s="1081">
        <v>202210</v>
      </c>
      <c r="AG9" s="1080">
        <f t="shared" si="3"/>
        <v>-1260877</v>
      </c>
      <c r="AH9" s="1148">
        <v>-69616</v>
      </c>
      <c r="AI9" s="1080">
        <f t="shared" si="1"/>
        <v>-1330493</v>
      </c>
      <c r="AM9" s="1147">
        <v>44834</v>
      </c>
      <c r="AN9" s="1146">
        <v>19</v>
      </c>
      <c r="AO9" s="1145">
        <v>5483.42</v>
      </c>
    </row>
    <row r="10" spans="1:46">
      <c r="B10" s="1186"/>
      <c r="C10" s="1181"/>
      <c r="D10" s="1185"/>
      <c r="E10" s="515"/>
      <c r="F10" s="1180"/>
      <c r="G10" s="1186"/>
      <c r="H10" s="1181"/>
      <c r="I10" s="1185"/>
      <c r="L10" s="880"/>
      <c r="O10" s="580"/>
      <c r="P10" s="1063"/>
      <c r="Q10" s="1160" t="s">
        <v>842</v>
      </c>
      <c r="R10" s="1159" t="s">
        <v>841</v>
      </c>
      <c r="S10" s="1158" t="s">
        <v>81</v>
      </c>
      <c r="T10" s="1051"/>
      <c r="U10" s="1160" t="s">
        <v>842</v>
      </c>
      <c r="V10" s="1159" t="s">
        <v>841</v>
      </c>
      <c r="W10" s="1158" t="s">
        <v>81</v>
      </c>
      <c r="AA10" s="1081">
        <v>202211</v>
      </c>
      <c r="AB10" s="1080">
        <f t="shared" si="2"/>
        <v>-2892209.85</v>
      </c>
      <c r="AC10" s="1148">
        <v>28780.52</v>
      </c>
      <c r="AD10" s="1080">
        <f t="shared" si="0"/>
        <v>-2863429.33</v>
      </c>
      <c r="AF10" s="1081">
        <v>202211</v>
      </c>
      <c r="AG10" s="1080">
        <f t="shared" si="3"/>
        <v>-1330493</v>
      </c>
      <c r="AH10" s="1148">
        <v>2708</v>
      </c>
      <c r="AI10" s="1080">
        <f t="shared" si="1"/>
        <v>-1327785</v>
      </c>
      <c r="AM10" s="1147">
        <v>44865</v>
      </c>
      <c r="AN10" s="1146">
        <v>22</v>
      </c>
      <c r="AO10" s="1145">
        <v>9149.2099999999991</v>
      </c>
    </row>
    <row r="11" spans="1:46">
      <c r="A11" s="477" t="s">
        <v>364</v>
      </c>
      <c r="B11" s="1184">
        <f>-AO28</f>
        <v>-1377.3195115333333</v>
      </c>
      <c r="C11" s="1183">
        <v>-1377</v>
      </c>
      <c r="D11" s="1182">
        <f>B11-C11</f>
        <v>-0.31951153333329785</v>
      </c>
      <c r="E11" s="515" t="s">
        <v>876</v>
      </c>
      <c r="F11" s="1180"/>
      <c r="G11" s="1184">
        <v>64.319999999999993</v>
      </c>
      <c r="H11" s="1183">
        <v>0</v>
      </c>
      <c r="I11" s="1182">
        <f>G11-H11</f>
        <v>64.319999999999993</v>
      </c>
      <c r="J11" s="477">
        <v>905000</v>
      </c>
      <c r="K11" s="880" t="s">
        <v>875</v>
      </c>
      <c r="L11" s="880" t="s">
        <v>902</v>
      </c>
      <c r="O11" s="1100" t="s">
        <v>840</v>
      </c>
      <c r="P11" s="1063"/>
      <c r="Q11" s="1156">
        <v>252000</v>
      </c>
      <c r="R11" s="1155">
        <v>252000</v>
      </c>
      <c r="S11" s="1157">
        <v>252000</v>
      </c>
      <c r="T11" s="1055"/>
      <c r="U11" s="1156">
        <v>252000</v>
      </c>
      <c r="V11" s="1155">
        <v>252000</v>
      </c>
      <c r="W11" s="1155">
        <v>252000</v>
      </c>
      <c r="AA11" s="1081">
        <v>202212</v>
      </c>
      <c r="AB11" s="1080">
        <f t="shared" si="2"/>
        <v>-2863429.33</v>
      </c>
      <c r="AC11" s="1148">
        <v>-20292.009999999998</v>
      </c>
      <c r="AD11" s="1080">
        <f t="shared" si="0"/>
        <v>-2883721.34</v>
      </c>
      <c r="AF11" s="1081">
        <v>202212</v>
      </c>
      <c r="AG11" s="1080">
        <f t="shared" si="3"/>
        <v>-1327785</v>
      </c>
      <c r="AH11" s="1148">
        <v>0</v>
      </c>
      <c r="AI11" s="1080">
        <f t="shared" si="1"/>
        <v>-1327785</v>
      </c>
      <c r="AM11" s="1147">
        <v>44895</v>
      </c>
      <c r="AN11" s="1146">
        <v>21</v>
      </c>
      <c r="AO11" s="1145">
        <v>9325.32</v>
      </c>
    </row>
    <row r="12" spans="1:46" ht="13.5" thickBot="1">
      <c r="B12" s="1179"/>
      <c r="C12" s="1181"/>
      <c r="D12" s="1177"/>
      <c r="E12" s="515"/>
      <c r="F12" s="1180"/>
      <c r="G12" s="1179"/>
      <c r="H12" s="1178"/>
      <c r="I12" s="1177"/>
      <c r="O12" s="1095"/>
      <c r="P12" s="1063"/>
      <c r="Q12" s="1152"/>
      <c r="R12" s="1154" t="s">
        <v>874</v>
      </c>
      <c r="S12" s="1153" t="s">
        <v>873</v>
      </c>
      <c r="U12" s="1152"/>
      <c r="V12" s="1122"/>
      <c r="W12" s="1121"/>
      <c r="AA12" s="1081">
        <v>202301</v>
      </c>
      <c r="AB12" s="1080">
        <f t="shared" si="2"/>
        <v>-2883721.34</v>
      </c>
      <c r="AC12" s="1148">
        <v>-125586</v>
      </c>
      <c r="AD12" s="1080">
        <f t="shared" si="0"/>
        <v>-3009307.34</v>
      </c>
      <c r="AF12" s="1081">
        <v>202301</v>
      </c>
      <c r="AG12" s="1080">
        <f t="shared" si="3"/>
        <v>-1327785</v>
      </c>
      <c r="AH12" s="1148">
        <v>22820</v>
      </c>
      <c r="AI12" s="1080">
        <f t="shared" si="1"/>
        <v>-1304965</v>
      </c>
      <c r="AM12" s="1147">
        <v>44926</v>
      </c>
      <c r="AN12" s="1146">
        <v>22</v>
      </c>
      <c r="AO12" s="1145">
        <v>9046.56</v>
      </c>
      <c r="AQ12" s="3771" t="s">
        <v>872</v>
      </c>
      <c r="AR12" s="3772"/>
      <c r="AS12" s="3772"/>
    </row>
    <row r="13" spans="1:46" ht="14.25" thickTop="1" thickBot="1">
      <c r="A13" s="477" t="s">
        <v>871</v>
      </c>
      <c r="B13" s="1150">
        <f>SUM(B9:B11)</f>
        <v>-1377.3195115333333</v>
      </c>
      <c r="C13" s="1149">
        <f>SUM(C8:C11)</f>
        <v>-1377</v>
      </c>
      <c r="D13" s="1176">
        <f>SUM(D8:D11)</f>
        <v>-0.31951153333329785</v>
      </c>
      <c r="G13" s="1150">
        <f>SUM(G9:G11)</f>
        <v>64.319999999999993</v>
      </c>
      <c r="H13" s="1149">
        <f>SUM(H9:H11)</f>
        <v>0</v>
      </c>
      <c r="I13" s="1176">
        <f>SUM(I9:I11)</f>
        <v>64.319999999999993</v>
      </c>
      <c r="O13" s="581" t="s">
        <v>844</v>
      </c>
      <c r="P13" s="1090">
        <v>2022</v>
      </c>
      <c r="Q13" s="1074">
        <f>R13+S13</f>
        <v>-3870875.39</v>
      </c>
      <c r="R13" s="1133">
        <f>'G-1.02 Def DR-CR'!AG6</f>
        <v>-1313815</v>
      </c>
      <c r="S13" s="1132">
        <f>'G-1.02 Def DR-CR'!AB6</f>
        <v>-2557060.39</v>
      </c>
      <c r="T13" s="1012"/>
      <c r="U13" s="1074">
        <f>V13+W13</f>
        <v>0</v>
      </c>
      <c r="V13" s="1133">
        <f>'G-1.02 Def DR-CR'!AG26</f>
        <v>0</v>
      </c>
      <c r="W13" s="1132">
        <f>'G-1.02 Def DR-CR'!AB26</f>
        <v>0</v>
      </c>
      <c r="AA13" s="1081">
        <v>202302</v>
      </c>
      <c r="AB13" s="1080">
        <f t="shared" si="2"/>
        <v>-3009307.34</v>
      </c>
      <c r="AC13" s="1148">
        <v>55014</v>
      </c>
      <c r="AD13" s="1080">
        <f t="shared" si="0"/>
        <v>-2954293.34</v>
      </c>
      <c r="AF13" s="1081">
        <v>202302</v>
      </c>
      <c r="AG13" s="1080">
        <f t="shared" si="3"/>
        <v>-1304965</v>
      </c>
      <c r="AH13" s="1148">
        <v>16627</v>
      </c>
      <c r="AI13" s="1080">
        <f t="shared" si="1"/>
        <v>-1288338</v>
      </c>
      <c r="AM13" s="1147">
        <v>44957</v>
      </c>
      <c r="AN13" s="1146">
        <v>1</v>
      </c>
      <c r="AO13" s="1145">
        <v>0</v>
      </c>
      <c r="AQ13" s="3772"/>
      <c r="AR13" s="3772"/>
      <c r="AS13" s="3772"/>
    </row>
    <row r="14" spans="1:46" ht="13.5" thickTop="1">
      <c r="O14" s="581" t="s">
        <v>844</v>
      </c>
      <c r="P14" s="1090">
        <v>2023</v>
      </c>
      <c r="Q14" s="1120">
        <f>R14+S14</f>
        <v>-4357234.58</v>
      </c>
      <c r="R14" s="1128">
        <f>'G-1.02 Def DR-CR'!AI17</f>
        <v>-1256574</v>
      </c>
      <c r="S14" s="1127">
        <f>'G-1.02 Def DR-CR'!AD17</f>
        <v>-3100660.58</v>
      </c>
      <c r="T14" s="1012"/>
      <c r="U14" s="1120">
        <f>V14+W14</f>
        <v>0</v>
      </c>
      <c r="V14" s="1128">
        <f>'G-1.02 Def DR-CR'!AI37</f>
        <v>0</v>
      </c>
      <c r="W14" s="1127">
        <f>'G-1.02 Def DR-CR'!AD37</f>
        <v>0</v>
      </c>
      <c r="AA14" s="1081">
        <v>202303</v>
      </c>
      <c r="AB14" s="1080">
        <f t="shared" si="2"/>
        <v>-2954293.34</v>
      </c>
      <c r="AC14" s="1148">
        <v>45636</v>
      </c>
      <c r="AD14" s="1080">
        <f t="shared" si="0"/>
        <v>-2908657.34</v>
      </c>
      <c r="AF14" s="1081">
        <v>202303</v>
      </c>
      <c r="AG14" s="1080">
        <f t="shared" si="3"/>
        <v>-1288338</v>
      </c>
      <c r="AH14" s="1148">
        <v>14480</v>
      </c>
      <c r="AI14" s="1080">
        <f t="shared" si="1"/>
        <v>-1273858</v>
      </c>
      <c r="AM14" s="1147">
        <v>44985</v>
      </c>
      <c r="AN14" s="1146">
        <v>4</v>
      </c>
      <c r="AO14" s="1145">
        <v>2838.76</v>
      </c>
      <c r="AQ14" s="3772"/>
      <c r="AR14" s="3772"/>
      <c r="AS14" s="3772"/>
    </row>
    <row r="15" spans="1:46">
      <c r="A15" s="477" t="s">
        <v>901</v>
      </c>
      <c r="C15" s="516">
        <v>3425834</v>
      </c>
      <c r="G15" s="477" t="s">
        <v>905</v>
      </c>
      <c r="I15" s="880"/>
      <c r="P15" s="1063"/>
      <c r="Q15" s="1093"/>
      <c r="R15" s="1122"/>
      <c r="S15" s="1121"/>
      <c r="T15" s="1012"/>
      <c r="U15" s="1093"/>
      <c r="V15" s="1122"/>
      <c r="W15" s="1121"/>
      <c r="AA15" s="1081">
        <v>202304</v>
      </c>
      <c r="AB15" s="1080">
        <f t="shared" si="2"/>
        <v>-2908657.34</v>
      </c>
      <c r="AC15" s="1148">
        <v>45044</v>
      </c>
      <c r="AD15" s="1080">
        <f t="shared" si="0"/>
        <v>-2863613.34</v>
      </c>
      <c r="AF15" s="1081">
        <v>202304</v>
      </c>
      <c r="AG15" s="1080">
        <f t="shared" si="3"/>
        <v>-1273858</v>
      </c>
      <c r="AH15" s="1148">
        <v>23485</v>
      </c>
      <c r="AI15" s="1080">
        <f t="shared" si="1"/>
        <v>-1250373</v>
      </c>
      <c r="AM15" s="1147">
        <v>45016</v>
      </c>
      <c r="AN15" s="1146">
        <v>6</v>
      </c>
      <c r="AO15" s="1145">
        <v>4766.93</v>
      </c>
      <c r="AQ15" s="3772"/>
      <c r="AR15" s="3772"/>
      <c r="AS15" s="3772"/>
    </row>
    <row r="16" spans="1:46" ht="15">
      <c r="A16" s="477" t="s">
        <v>900</v>
      </c>
      <c r="B16" s="515"/>
      <c r="C16" s="1175">
        <v>3922913</v>
      </c>
      <c r="I16" s="888"/>
      <c r="O16" s="478" t="s">
        <v>198</v>
      </c>
      <c r="P16" s="1063"/>
      <c r="Q16" s="1074">
        <f>Q13+Q14</f>
        <v>-8228109.9700000007</v>
      </c>
      <c r="R16" s="1133">
        <f>R13+R14</f>
        <v>-2570389</v>
      </c>
      <c r="S16" s="1132">
        <f>S13+S14</f>
        <v>-5657720.9700000007</v>
      </c>
      <c r="T16" s="1012"/>
      <c r="U16" s="1074">
        <f>U13+U14</f>
        <v>0</v>
      </c>
      <c r="V16" s="1133">
        <f>V13+V14</f>
        <v>0</v>
      </c>
      <c r="W16" s="1132">
        <f>W13+W14</f>
        <v>0</v>
      </c>
      <c r="AA16" s="1081">
        <v>202305</v>
      </c>
      <c r="AB16" s="1080">
        <f t="shared" si="2"/>
        <v>-2863613.34</v>
      </c>
      <c r="AC16" s="1148">
        <v>-153573.24</v>
      </c>
      <c r="AD16" s="1080">
        <f t="shared" si="0"/>
        <v>-3017186.58</v>
      </c>
      <c r="AF16" s="1081">
        <v>202305</v>
      </c>
      <c r="AG16" s="1080">
        <f t="shared" si="3"/>
        <v>-1250373</v>
      </c>
      <c r="AH16" s="1148">
        <v>13156</v>
      </c>
      <c r="AI16" s="1080">
        <f t="shared" si="1"/>
        <v>-1237217</v>
      </c>
      <c r="AM16" s="1147">
        <v>45046</v>
      </c>
      <c r="AN16" s="1146">
        <v>10</v>
      </c>
      <c r="AO16" s="1145">
        <v>7430.39</v>
      </c>
      <c r="AQ16" s="3772"/>
      <c r="AR16" s="3772"/>
      <c r="AS16" s="3772"/>
    </row>
    <row r="17" spans="1:45">
      <c r="A17" s="477" t="s">
        <v>899</v>
      </c>
      <c r="B17" s="515"/>
      <c r="C17" s="516">
        <v>15628895</v>
      </c>
      <c r="I17" s="888"/>
      <c r="O17" s="478" t="s">
        <v>834</v>
      </c>
      <c r="P17" s="1063"/>
      <c r="Q17" s="1125" t="s">
        <v>833</v>
      </c>
      <c r="R17" s="1124" t="s">
        <v>833</v>
      </c>
      <c r="S17" s="1123" t="s">
        <v>833</v>
      </c>
      <c r="T17" s="1051"/>
      <c r="U17" s="1125" t="s">
        <v>833</v>
      </c>
      <c r="V17" s="1124" t="s">
        <v>833</v>
      </c>
      <c r="W17" s="1123" t="s">
        <v>833</v>
      </c>
      <c r="AA17" s="1081">
        <v>202306</v>
      </c>
      <c r="AB17" s="1080">
        <f t="shared" si="2"/>
        <v>-3017186.58</v>
      </c>
      <c r="AC17" s="1148">
        <v>-83474</v>
      </c>
      <c r="AD17" s="1080">
        <f t="shared" si="0"/>
        <v>-3100660.58</v>
      </c>
      <c r="AE17" s="1009"/>
      <c r="AF17" s="1081">
        <v>202306</v>
      </c>
      <c r="AG17" s="1080">
        <f t="shared" si="3"/>
        <v>-1237217</v>
      </c>
      <c r="AH17" s="1148">
        <v>-19357</v>
      </c>
      <c r="AI17" s="1080">
        <f t="shared" si="1"/>
        <v>-1256574</v>
      </c>
      <c r="AM17" s="1147">
        <v>45077</v>
      </c>
      <c r="AN17" s="1146">
        <v>10</v>
      </c>
      <c r="AO17" s="1145">
        <v>9262.7900000000009</v>
      </c>
      <c r="AQ17" s="3772"/>
      <c r="AR17" s="3772"/>
      <c r="AS17" s="3772"/>
    </row>
    <row r="18" spans="1:45">
      <c r="A18" s="477" t="s">
        <v>869</v>
      </c>
      <c r="B18" s="515"/>
      <c r="C18" s="516">
        <v>-13533894</v>
      </c>
      <c r="I18" s="888"/>
      <c r="O18" s="478" t="s">
        <v>832</v>
      </c>
      <c r="P18" s="1063"/>
      <c r="Q18" s="1093">
        <f>Q16/2</f>
        <v>-4114054.9850000003</v>
      </c>
      <c r="R18" s="1133">
        <f>R16/2</f>
        <v>-1285194.5</v>
      </c>
      <c r="S18" s="1132">
        <f>S16/2</f>
        <v>-2828860.4850000003</v>
      </c>
      <c r="T18" s="1012"/>
      <c r="U18" s="1093">
        <f>U16/2</f>
        <v>0</v>
      </c>
      <c r="V18" s="1133">
        <f>V16/2</f>
        <v>0</v>
      </c>
      <c r="W18" s="1132">
        <f>W16/2</f>
        <v>0</v>
      </c>
      <c r="AA18" s="1078"/>
      <c r="AB18" s="1076"/>
      <c r="AC18" s="1077">
        <f>SUM(AC6:AC17)</f>
        <v>-543600.18999999994</v>
      </c>
      <c r="AD18" s="1076"/>
      <c r="AF18" s="1078"/>
      <c r="AG18" s="1076"/>
      <c r="AH18" s="1077">
        <f>SUM(AH6:AH17)</f>
        <v>57241</v>
      </c>
      <c r="AI18" s="1076"/>
      <c r="AM18" s="1147">
        <v>45107</v>
      </c>
      <c r="AN18" s="1146">
        <v>10</v>
      </c>
      <c r="AO18" s="1145">
        <v>9781.2000000000007</v>
      </c>
      <c r="AQ18" s="3772"/>
      <c r="AR18" s="3772"/>
      <c r="AS18" s="3772"/>
    </row>
    <row r="19" spans="1:45">
      <c r="A19" s="477" t="s">
        <v>365</v>
      </c>
      <c r="B19" s="515"/>
      <c r="C19" s="516">
        <v>15046912</v>
      </c>
      <c r="I19" s="888"/>
      <c r="O19" s="581" t="s">
        <v>863</v>
      </c>
      <c r="P19" s="1063">
        <f>P13</f>
        <v>2022</v>
      </c>
      <c r="Q19" s="1074">
        <f t="shared" ref="Q19:Q29" si="4">R19+S19</f>
        <v>-3858675.39</v>
      </c>
      <c r="R19" s="1133">
        <f>'G-1.02 Def DR-CR'!AI6</f>
        <v>-1315275</v>
      </c>
      <c r="S19" s="1132">
        <f>'G-1.02 Def DR-CR'!AD6</f>
        <v>-2543400.39</v>
      </c>
      <c r="T19" s="1012"/>
      <c r="U19" s="1074">
        <f t="shared" ref="U19:U29" si="5">V19+W19</f>
        <v>0</v>
      </c>
      <c r="V19" s="1133">
        <f>'G-1.02 Def DR-CR'!AI26</f>
        <v>0</v>
      </c>
      <c r="W19" s="1132">
        <f>'G-1.02 Def DR-CR'!AD26</f>
        <v>0</v>
      </c>
      <c r="AC19" s="477"/>
      <c r="AD19" s="477"/>
      <c r="AE19" s="477"/>
      <c r="AF19" s="477"/>
      <c r="AG19" s="1101"/>
      <c r="AH19" s="1101"/>
      <c r="AI19" s="1101"/>
      <c r="AQ19" s="3772"/>
      <c r="AR19" s="3772"/>
      <c r="AS19" s="3772"/>
    </row>
    <row r="20" spans="1:45" ht="13.5" thickBot="1">
      <c r="A20" s="477" t="s">
        <v>870</v>
      </c>
      <c r="C20" s="516">
        <v>1594372</v>
      </c>
      <c r="I20" s="888"/>
      <c r="O20" s="581" t="s">
        <v>861</v>
      </c>
      <c r="P20" s="1063">
        <f>P19</f>
        <v>2022</v>
      </c>
      <c r="Q20" s="1074">
        <f t="shared" si="4"/>
        <v>-3941581.39</v>
      </c>
      <c r="R20" s="1133">
        <f>'G-1.02 Def DR-CR'!AI7</f>
        <v>-1223697</v>
      </c>
      <c r="S20" s="1132">
        <f>'G-1.02 Def DR-CR'!AD7</f>
        <v>-2717884.39</v>
      </c>
      <c r="T20" s="1012"/>
      <c r="U20" s="1074">
        <f t="shared" si="5"/>
        <v>0</v>
      </c>
      <c r="V20" s="1133">
        <f>'G-1.02 Def DR-CR'!AI27</f>
        <v>0</v>
      </c>
      <c r="W20" s="1132">
        <f>'G-1.02 Def DR-CR'!AD27</f>
        <v>0</v>
      </c>
      <c r="AC20" s="477"/>
      <c r="AD20" s="477"/>
      <c r="AE20" s="477"/>
      <c r="AF20" s="477"/>
      <c r="AG20" s="477"/>
      <c r="AH20" s="477"/>
      <c r="AI20" s="477"/>
      <c r="AM20" s="634" t="s">
        <v>868</v>
      </c>
      <c r="AO20" s="1143">
        <f>SUM(AO6,AO18)/2</f>
        <v>6901.56</v>
      </c>
      <c r="AQ20" s="3772"/>
      <c r="AR20" s="3772"/>
      <c r="AS20" s="3772"/>
    </row>
    <row r="21" spans="1:45">
      <c r="A21" s="182" t="s">
        <v>898</v>
      </c>
      <c r="B21" s="880"/>
      <c r="C21" s="516">
        <v>9458359</v>
      </c>
      <c r="I21" s="888"/>
      <c r="O21" s="581" t="s">
        <v>857</v>
      </c>
      <c r="P21" s="1063">
        <f>P20</f>
        <v>2022</v>
      </c>
      <c r="Q21" s="1074">
        <f t="shared" si="4"/>
        <v>-4071622.85</v>
      </c>
      <c r="R21" s="1133">
        <f>'G-1.02 Def DR-CR'!AI8</f>
        <v>-1260877</v>
      </c>
      <c r="S21" s="1132">
        <f>'G-1.02 Def DR-CR'!AD8</f>
        <v>-2810745.85</v>
      </c>
      <c r="T21" s="1012"/>
      <c r="U21" s="1074">
        <f t="shared" si="5"/>
        <v>0</v>
      </c>
      <c r="V21" s="1133">
        <f>'G-1.02 Def DR-CR'!AI28</f>
        <v>0</v>
      </c>
      <c r="W21" s="1132">
        <f>'G-1.02 Def DR-CR'!AD28</f>
        <v>0</v>
      </c>
      <c r="AA21" s="477"/>
      <c r="AB21" s="477"/>
      <c r="AC21" s="477"/>
      <c r="AD21" s="477"/>
      <c r="AE21" s="477"/>
      <c r="AF21" s="477"/>
      <c r="AG21" s="477"/>
      <c r="AH21" s="477"/>
      <c r="AI21" s="477"/>
      <c r="AO21" s="1139"/>
      <c r="AQ21" s="3772"/>
      <c r="AR21" s="3772"/>
      <c r="AS21" s="3772"/>
    </row>
    <row r="22" spans="1:45" ht="15.75" thickBot="1">
      <c r="A22" s="477" t="s">
        <v>897</v>
      </c>
      <c r="C22" s="1174">
        <f>SUM(C13:C21)</f>
        <v>35542014</v>
      </c>
      <c r="O22" s="581" t="s">
        <v>855</v>
      </c>
      <c r="P22" s="1063">
        <f>P21</f>
        <v>2022</v>
      </c>
      <c r="Q22" s="1074">
        <f t="shared" si="4"/>
        <v>-4222702.8499999996</v>
      </c>
      <c r="R22" s="1133">
        <f>'G-1.02 Def DR-CR'!AI9</f>
        <v>-1330493</v>
      </c>
      <c r="S22" s="1132">
        <f>'G-1.02 Def DR-CR'!AD9</f>
        <v>-2892209.85</v>
      </c>
      <c r="T22" s="1012"/>
      <c r="U22" s="1074">
        <f t="shared" si="5"/>
        <v>0</v>
      </c>
      <c r="V22" s="1133">
        <f>'G-1.02 Def DR-CR'!AI29</f>
        <v>0</v>
      </c>
      <c r="W22" s="1132">
        <f>'G-1.02 Def DR-CR'!AD29</f>
        <v>0</v>
      </c>
      <c r="AA22" s="477"/>
      <c r="AB22" s="477"/>
      <c r="AC22" s="477"/>
      <c r="AD22" s="477"/>
      <c r="AE22" s="477"/>
      <c r="AF22" s="477"/>
      <c r="AG22" s="477"/>
      <c r="AH22" s="477"/>
      <c r="AI22" s="477"/>
      <c r="AM22" s="531" t="s">
        <v>867</v>
      </c>
      <c r="AO22" s="1143">
        <f>(AO7+AO8+AO9+AO10+AO11+AO12+AO13+AO14+AO15+AO16+AO17+AO20)/12</f>
        <v>6026.0741666666663</v>
      </c>
      <c r="AQ22" s="3772"/>
      <c r="AR22" s="3772"/>
      <c r="AS22" s="3772"/>
    </row>
    <row r="23" spans="1:45">
      <c r="C23" s="888"/>
      <c r="O23" s="581" t="s">
        <v>854</v>
      </c>
      <c r="P23" s="1063">
        <f>P22</f>
        <v>2022</v>
      </c>
      <c r="Q23" s="1074">
        <f t="shared" si="4"/>
        <v>-4191214.33</v>
      </c>
      <c r="R23" s="1133">
        <f>'G-1.02 Def DR-CR'!AI10</f>
        <v>-1327785</v>
      </c>
      <c r="S23" s="1132">
        <f>'G-1.02 Def DR-CR'!AD10</f>
        <v>-2863429.33</v>
      </c>
      <c r="T23" s="1012"/>
      <c r="U23" s="1074">
        <f t="shared" si="5"/>
        <v>0</v>
      </c>
      <c r="V23" s="1133">
        <f>'G-1.02 Def DR-CR'!AI30</f>
        <v>0</v>
      </c>
      <c r="W23" s="1132">
        <f>'G-1.02 Def DR-CR'!AD30</f>
        <v>0</v>
      </c>
      <c r="AA23" s="1084" t="s">
        <v>838</v>
      </c>
      <c r="AB23" s="1081" t="s">
        <v>865</v>
      </c>
      <c r="AC23" s="1081" t="s">
        <v>866</v>
      </c>
      <c r="AD23" s="1089"/>
      <c r="AE23" s="1141"/>
      <c r="AF23" s="1084" t="s">
        <v>838</v>
      </c>
      <c r="AG23" s="1081" t="s">
        <v>865</v>
      </c>
      <c r="AH23" s="1081" t="s">
        <v>864</v>
      </c>
      <c r="AI23" s="1089"/>
      <c r="AO23" s="1139"/>
      <c r="AQ23" s="3772"/>
      <c r="AR23" s="3772"/>
      <c r="AS23" s="3772"/>
    </row>
    <row r="24" spans="1:45">
      <c r="A24" s="477" t="s">
        <v>896</v>
      </c>
      <c r="O24" s="581" t="s">
        <v>853</v>
      </c>
      <c r="P24" s="1063">
        <f>P23</f>
        <v>2022</v>
      </c>
      <c r="Q24" s="1074">
        <f t="shared" si="4"/>
        <v>-4211506.34</v>
      </c>
      <c r="R24" s="1133">
        <f>'G-1.02 Def DR-CR'!AI11</f>
        <v>-1327785</v>
      </c>
      <c r="S24" s="1132">
        <f>'G-1.02 Def DR-CR'!AD11</f>
        <v>-2883721.34</v>
      </c>
      <c r="T24" s="1012"/>
      <c r="U24" s="1074">
        <f t="shared" si="5"/>
        <v>0</v>
      </c>
      <c r="V24" s="1133">
        <f>'G-1.02 Def DR-CR'!AI31</f>
        <v>0</v>
      </c>
      <c r="W24" s="1132">
        <f>'G-1.02 Def DR-CR'!AD31</f>
        <v>0</v>
      </c>
      <c r="AA24" s="1087" t="s">
        <v>835</v>
      </c>
      <c r="AB24" s="477"/>
      <c r="AC24" s="477"/>
      <c r="AD24" s="477"/>
      <c r="AE24" s="477"/>
      <c r="AF24" s="1087" t="s">
        <v>835</v>
      </c>
      <c r="AG24" s="477"/>
      <c r="AH24" s="477"/>
      <c r="AI24" s="477"/>
      <c r="AO24" s="1139"/>
      <c r="AQ24" s="3772"/>
      <c r="AR24" s="3772"/>
      <c r="AS24" s="3772"/>
    </row>
    <row r="25" spans="1:45" ht="25.5">
      <c r="I25" s="888"/>
      <c r="O25" s="581" t="s">
        <v>852</v>
      </c>
      <c r="P25" s="1063">
        <f>P14</f>
        <v>2023</v>
      </c>
      <c r="Q25" s="1074">
        <f t="shared" si="4"/>
        <v>-4314272.34</v>
      </c>
      <c r="R25" s="1133">
        <f>'G-1.02 Def DR-CR'!AI12</f>
        <v>-1304965</v>
      </c>
      <c r="S25" s="1132">
        <f>'G-1.02 Def DR-CR'!AD12</f>
        <v>-3009307.34</v>
      </c>
      <c r="T25" s="1012"/>
      <c r="U25" s="1074">
        <f t="shared" si="5"/>
        <v>0</v>
      </c>
      <c r="V25" s="1133">
        <f>'G-1.02 Def DR-CR'!AI32</f>
        <v>0</v>
      </c>
      <c r="W25" s="1132">
        <f>'G-1.02 Def DR-CR'!AD32</f>
        <v>0</v>
      </c>
      <c r="AA25" s="1084" t="s">
        <v>679</v>
      </c>
      <c r="AB25" s="1084" t="s">
        <v>744</v>
      </c>
      <c r="AC25" s="1084" t="s">
        <v>743</v>
      </c>
      <c r="AD25" s="1084" t="s">
        <v>745</v>
      </c>
      <c r="AE25" s="477"/>
      <c r="AF25" s="1084" t="s">
        <v>679</v>
      </c>
      <c r="AG25" s="1084" t="s">
        <v>744</v>
      </c>
      <c r="AH25" s="1084" t="s">
        <v>743</v>
      </c>
      <c r="AI25" s="1084" t="s">
        <v>745</v>
      </c>
      <c r="AO25" s="1139"/>
      <c r="AQ25" s="3772"/>
      <c r="AR25" s="3772"/>
      <c r="AS25" s="3772"/>
    </row>
    <row r="26" spans="1:45" ht="13.5" thickBot="1">
      <c r="H26" s="1144"/>
      <c r="I26" s="888"/>
      <c r="O26" s="581" t="s">
        <v>851</v>
      </c>
      <c r="P26" s="1063">
        <f>P25</f>
        <v>2023</v>
      </c>
      <c r="Q26" s="1074">
        <f t="shared" si="4"/>
        <v>-4242631.34</v>
      </c>
      <c r="R26" s="1133">
        <f>'G-1.02 Def DR-CR'!AI13</f>
        <v>-1288338</v>
      </c>
      <c r="S26" s="1132">
        <f>'G-1.02 Def DR-CR'!AD13</f>
        <v>-2954293.34</v>
      </c>
      <c r="T26" s="1012"/>
      <c r="U26" s="1074">
        <f t="shared" si="5"/>
        <v>0</v>
      </c>
      <c r="V26" s="1133">
        <f>'G-1.02 Def DR-CR'!AI33</f>
        <v>0</v>
      </c>
      <c r="W26" s="1132">
        <f>'G-1.02 Def DR-CR'!AD33</f>
        <v>0</v>
      </c>
      <c r="AA26" s="1081">
        <v>202207</v>
      </c>
      <c r="AB26" s="1080">
        <v>0</v>
      </c>
      <c r="AC26" s="1080"/>
      <c r="AD26" s="1080">
        <f t="shared" ref="AD26:AD37" si="6">SUM(AB26:AC26)</f>
        <v>0</v>
      </c>
      <c r="AE26" s="1009"/>
      <c r="AF26" s="1081">
        <v>202207</v>
      </c>
      <c r="AG26" s="1080">
        <v>0</v>
      </c>
      <c r="AH26" s="1080">
        <v>0</v>
      </c>
      <c r="AI26" s="1080">
        <f t="shared" ref="AI26:AI37" si="7">SUM(AG26:AH26)</f>
        <v>0</v>
      </c>
      <c r="AM26" s="531" t="s">
        <v>862</v>
      </c>
      <c r="AO26" s="1139"/>
      <c r="AP26" s="1138"/>
      <c r="AQ26" s="3770"/>
      <c r="AR26" s="3770"/>
      <c r="AS26" s="3770"/>
    </row>
    <row r="27" spans="1:45" ht="14.25" thickTop="1" thickBot="1">
      <c r="O27" s="581" t="s">
        <v>850</v>
      </c>
      <c r="P27" s="1063">
        <f>P26</f>
        <v>2023</v>
      </c>
      <c r="Q27" s="1074">
        <f t="shared" si="4"/>
        <v>-4182515.34</v>
      </c>
      <c r="R27" s="1133">
        <f>'G-1.02 Def DR-CR'!AI14</f>
        <v>-1273858</v>
      </c>
      <c r="S27" s="1132">
        <f>'G-1.02 Def DR-CR'!AD14</f>
        <v>-2908657.34</v>
      </c>
      <c r="T27" s="1012"/>
      <c r="U27" s="1074">
        <f t="shared" si="5"/>
        <v>0</v>
      </c>
      <c r="V27" s="1133">
        <f>'G-1.02 Def DR-CR'!AI34</f>
        <v>0</v>
      </c>
      <c r="W27" s="1132">
        <f>'G-1.02 Def DR-CR'!AD34</f>
        <v>0</v>
      </c>
      <c r="AA27" s="1081">
        <v>202208</v>
      </c>
      <c r="AB27" s="1080">
        <f t="shared" ref="AB27:AB37" si="8">AD26</f>
        <v>0</v>
      </c>
      <c r="AC27" s="1080"/>
      <c r="AD27" s="1080">
        <f t="shared" si="6"/>
        <v>0</v>
      </c>
      <c r="AE27" s="477"/>
      <c r="AF27" s="1081">
        <v>202208</v>
      </c>
      <c r="AG27" s="1080">
        <v>0</v>
      </c>
      <c r="AH27" s="1080">
        <v>0</v>
      </c>
      <c r="AI27" s="1080">
        <f t="shared" si="7"/>
        <v>0</v>
      </c>
      <c r="AM27" s="477" t="s">
        <v>860</v>
      </c>
      <c r="AN27" s="1135">
        <v>0.77144000000000001</v>
      </c>
      <c r="AO27" s="1137">
        <f>AO22*AN27</f>
        <v>4648.7546551333335</v>
      </c>
      <c r="AQ27" s="3769" t="s">
        <v>859</v>
      </c>
      <c r="AR27" s="3769"/>
      <c r="AS27" s="1136" t="s">
        <v>858</v>
      </c>
    </row>
    <row r="28" spans="1:45" ht="13.5" thickTop="1">
      <c r="I28" s="888"/>
      <c r="O28" s="581" t="s">
        <v>848</v>
      </c>
      <c r="P28" s="1063">
        <f>P27</f>
        <v>2023</v>
      </c>
      <c r="Q28" s="1074">
        <f t="shared" si="4"/>
        <v>-4113986.34</v>
      </c>
      <c r="R28" s="1133">
        <f>'G-1.02 Def DR-CR'!AI15</f>
        <v>-1250373</v>
      </c>
      <c r="S28" s="1132">
        <f>'G-1.02 Def DR-CR'!AD15</f>
        <v>-2863613.34</v>
      </c>
      <c r="T28" s="1012"/>
      <c r="U28" s="1074">
        <f t="shared" si="5"/>
        <v>0</v>
      </c>
      <c r="V28" s="1133">
        <f>'G-1.02 Def DR-CR'!AI35</f>
        <v>0</v>
      </c>
      <c r="W28" s="1132">
        <f>'G-1.02 Def DR-CR'!AD35</f>
        <v>0</v>
      </c>
      <c r="AA28" s="1081">
        <v>202209</v>
      </c>
      <c r="AB28" s="1080">
        <f t="shared" si="8"/>
        <v>0</v>
      </c>
      <c r="AC28" s="1080"/>
      <c r="AD28" s="1080">
        <f t="shared" si="6"/>
        <v>0</v>
      </c>
      <c r="AF28" s="1081">
        <v>202209</v>
      </c>
      <c r="AG28" s="1080">
        <v>0</v>
      </c>
      <c r="AH28" s="1080">
        <v>0</v>
      </c>
      <c r="AI28" s="1080">
        <f t="shared" si="7"/>
        <v>0</v>
      </c>
      <c r="AM28" s="477" t="s">
        <v>856</v>
      </c>
      <c r="AN28" s="1135">
        <v>0.22856000000000001</v>
      </c>
      <c r="AO28" s="1134">
        <f>AO22*AN28</f>
        <v>1377.3195115333333</v>
      </c>
      <c r="AR28" s="1130">
        <v>4.6699999999999998E-2</v>
      </c>
      <c r="AS28" s="1129">
        <f>AO27*AR28</f>
        <v>217.09684239472668</v>
      </c>
    </row>
    <row r="29" spans="1:45" ht="13.5" thickBot="1">
      <c r="O29" s="581" t="s">
        <v>846</v>
      </c>
      <c r="P29" s="1063">
        <f>P28</f>
        <v>2023</v>
      </c>
      <c r="Q29" s="1074">
        <f t="shared" si="4"/>
        <v>-4254403.58</v>
      </c>
      <c r="R29" s="1133">
        <f>'G-1.02 Def DR-CR'!AI16</f>
        <v>-1237217</v>
      </c>
      <c r="S29" s="1132">
        <f>'G-1.02 Def DR-CR'!AD16</f>
        <v>-3017186.58</v>
      </c>
      <c r="T29" s="1012"/>
      <c r="U29" s="1074">
        <f t="shared" si="5"/>
        <v>0</v>
      </c>
      <c r="V29" s="1133">
        <f>'G-1.02 Def DR-CR'!AI36</f>
        <v>0</v>
      </c>
      <c r="W29" s="1132">
        <f>'G-1.02 Def DR-CR'!AD36</f>
        <v>0</v>
      </c>
      <c r="AA29" s="1081">
        <v>202210</v>
      </c>
      <c r="AB29" s="1080">
        <f t="shared" si="8"/>
        <v>0</v>
      </c>
      <c r="AC29" s="1080"/>
      <c r="AD29" s="1080">
        <f t="shared" si="6"/>
        <v>0</v>
      </c>
      <c r="AE29" s="477"/>
      <c r="AF29" s="1081">
        <v>202210</v>
      </c>
      <c r="AG29" s="1080">
        <v>0</v>
      </c>
      <c r="AH29" s="1080">
        <v>0</v>
      </c>
      <c r="AI29" s="1080">
        <f t="shared" si="7"/>
        <v>0</v>
      </c>
      <c r="AM29" s="477" t="s">
        <v>198</v>
      </c>
      <c r="AO29" s="1131">
        <f>SUM(AO27:AO28)</f>
        <v>6026.0741666666672</v>
      </c>
      <c r="AR29" s="1130">
        <f>AR28</f>
        <v>4.6699999999999998E-2</v>
      </c>
      <c r="AS29" s="1129">
        <f>AO28*AR29</f>
        <v>64.320821188606658</v>
      </c>
    </row>
    <row r="30" spans="1:45">
      <c r="P30" s="1063"/>
      <c r="Q30" s="1120"/>
      <c r="R30" s="1128"/>
      <c r="S30" s="1127"/>
      <c r="T30" s="1012"/>
      <c r="U30" s="1120"/>
      <c r="V30" s="1128"/>
      <c r="W30" s="1127"/>
      <c r="AA30" s="1081">
        <v>202211</v>
      </c>
      <c r="AB30" s="1080">
        <f t="shared" si="8"/>
        <v>0</v>
      </c>
      <c r="AC30" s="1080"/>
      <c r="AD30" s="1080">
        <f t="shared" si="6"/>
        <v>0</v>
      </c>
      <c r="AE30" s="477"/>
      <c r="AF30" s="1081">
        <v>202211</v>
      </c>
      <c r="AG30" s="1080">
        <v>0</v>
      </c>
      <c r="AH30" s="1080">
        <v>0</v>
      </c>
      <c r="AI30" s="1080">
        <f t="shared" si="7"/>
        <v>0</v>
      </c>
      <c r="AS30" s="1126">
        <f>SUM(AS28:AS29)</f>
        <v>281.41766358333336</v>
      </c>
    </row>
    <row r="31" spans="1:45">
      <c r="O31" s="478" t="s">
        <v>198</v>
      </c>
      <c r="P31" s="1063"/>
      <c r="Q31" s="1093">
        <f>SUM(Q18:Q30)</f>
        <v>-49719167.075000003</v>
      </c>
      <c r="R31" s="1122">
        <f>SUM(R18:R30)</f>
        <v>-15425857.5</v>
      </c>
      <c r="S31" s="1121">
        <f>SUM(S18:S30)</f>
        <v>-34293309.574999996</v>
      </c>
      <c r="T31" s="1012"/>
      <c r="U31" s="1093">
        <f>SUM(U18:U30)</f>
        <v>0</v>
      </c>
      <c r="V31" s="1122">
        <f>SUM(V18:V30)</f>
        <v>0</v>
      </c>
      <c r="W31" s="1121">
        <f>SUM(W18:W30)</f>
        <v>0</v>
      </c>
      <c r="AA31" s="1081">
        <v>202212</v>
      </c>
      <c r="AB31" s="1080">
        <f t="shared" si="8"/>
        <v>0</v>
      </c>
      <c r="AC31" s="1080"/>
      <c r="AD31" s="1080">
        <f t="shared" si="6"/>
        <v>0</v>
      </c>
      <c r="AE31" s="477"/>
      <c r="AF31" s="1081">
        <v>202212</v>
      </c>
      <c r="AG31" s="1080">
        <v>0</v>
      </c>
      <c r="AH31" s="1080">
        <v>0</v>
      </c>
      <c r="AI31" s="1080">
        <f t="shared" si="7"/>
        <v>0</v>
      </c>
    </row>
    <row r="32" spans="1:45">
      <c r="O32" s="478" t="s">
        <v>831</v>
      </c>
      <c r="P32" s="1063"/>
      <c r="Q32" s="1125" t="s">
        <v>830</v>
      </c>
      <c r="R32" s="1124" t="s">
        <v>830</v>
      </c>
      <c r="S32" s="1123" t="s">
        <v>830</v>
      </c>
      <c r="T32" s="1051"/>
      <c r="U32" s="1125" t="s">
        <v>830</v>
      </c>
      <c r="V32" s="1124" t="s">
        <v>830</v>
      </c>
      <c r="W32" s="1123" t="s">
        <v>830</v>
      </c>
      <c r="AA32" s="1081">
        <v>202301</v>
      </c>
      <c r="AB32" s="1080">
        <f t="shared" si="8"/>
        <v>0</v>
      </c>
      <c r="AC32" s="1080"/>
      <c r="AD32" s="1080">
        <f t="shared" si="6"/>
        <v>0</v>
      </c>
      <c r="AE32" s="477"/>
      <c r="AF32" s="1081">
        <v>202301</v>
      </c>
      <c r="AG32" s="1080">
        <v>0</v>
      </c>
      <c r="AH32" s="1080">
        <v>0</v>
      </c>
      <c r="AI32" s="1080">
        <f t="shared" si="7"/>
        <v>0</v>
      </c>
    </row>
    <row r="33" spans="15:39">
      <c r="P33" s="1063"/>
      <c r="Q33" s="1093"/>
      <c r="R33" s="1122"/>
      <c r="S33" s="1121"/>
      <c r="T33" s="1012"/>
      <c r="U33" s="1093"/>
      <c r="V33" s="1122"/>
      <c r="W33" s="1121"/>
      <c r="AA33" s="1081">
        <v>202302</v>
      </c>
      <c r="AB33" s="1080">
        <f t="shared" si="8"/>
        <v>0</v>
      </c>
      <c r="AC33" s="1080"/>
      <c r="AD33" s="1080">
        <f t="shared" si="6"/>
        <v>0</v>
      </c>
      <c r="AE33" s="477"/>
      <c r="AF33" s="1081">
        <v>202302</v>
      </c>
      <c r="AG33" s="1080">
        <v>0</v>
      </c>
      <c r="AH33" s="1080">
        <v>0</v>
      </c>
      <c r="AI33" s="1080">
        <f t="shared" si="7"/>
        <v>0</v>
      </c>
    </row>
    <row r="34" spans="15:39" ht="13.5" thickBot="1">
      <c r="O34" s="478" t="s">
        <v>828</v>
      </c>
      <c r="P34" s="1063"/>
      <c r="Q34" s="1120">
        <f>Q31/12</f>
        <v>-4143263.9229166671</v>
      </c>
      <c r="R34" s="1119">
        <f>R31/12</f>
        <v>-1285488.125</v>
      </c>
      <c r="S34" s="1118">
        <f>S31/12</f>
        <v>-2857775.7979166661</v>
      </c>
      <c r="T34" s="1012"/>
      <c r="U34" s="1120">
        <f>U31/12</f>
        <v>0</v>
      </c>
      <c r="V34" s="1119">
        <f>V31/12</f>
        <v>0</v>
      </c>
      <c r="W34" s="1118">
        <f>W31/12</f>
        <v>0</v>
      </c>
      <c r="AA34" s="1081">
        <v>202303</v>
      </c>
      <c r="AB34" s="1080">
        <f t="shared" si="8"/>
        <v>0</v>
      </c>
      <c r="AC34" s="1080"/>
      <c r="AD34" s="1080">
        <f t="shared" si="6"/>
        <v>0</v>
      </c>
      <c r="AE34" s="477"/>
      <c r="AF34" s="1081">
        <v>202303</v>
      </c>
      <c r="AG34" s="1080">
        <v>0</v>
      </c>
      <c r="AH34" s="1080">
        <v>0</v>
      </c>
      <c r="AI34" s="1080">
        <f t="shared" si="7"/>
        <v>0</v>
      </c>
      <c r="AM34" s="634" t="s">
        <v>849</v>
      </c>
    </row>
    <row r="35" spans="15:39">
      <c r="Q35" s="1012"/>
      <c r="T35" s="1012"/>
      <c r="U35" s="1012"/>
      <c r="V35" s="1012"/>
      <c r="W35" s="1012"/>
      <c r="AA35" s="1081">
        <v>202304</v>
      </c>
      <c r="AB35" s="1080">
        <f t="shared" si="8"/>
        <v>0</v>
      </c>
      <c r="AC35" s="1080"/>
      <c r="AD35" s="1080">
        <f t="shared" si="6"/>
        <v>0</v>
      </c>
      <c r="AE35" s="477"/>
      <c r="AF35" s="1081">
        <v>202304</v>
      </c>
      <c r="AG35" s="1080">
        <v>0</v>
      </c>
      <c r="AH35" s="1080">
        <v>0</v>
      </c>
      <c r="AI35" s="1080">
        <f t="shared" si="7"/>
        <v>0</v>
      </c>
      <c r="AM35" s="634" t="s">
        <v>847</v>
      </c>
    </row>
    <row r="36" spans="15:39">
      <c r="V36" s="1012"/>
      <c r="AA36" s="1081">
        <v>202305</v>
      </c>
      <c r="AB36" s="1080">
        <f t="shared" si="8"/>
        <v>0</v>
      </c>
      <c r="AC36" s="1080"/>
      <c r="AD36" s="1080">
        <f t="shared" si="6"/>
        <v>0</v>
      </c>
      <c r="AE36" s="477"/>
      <c r="AF36" s="1081">
        <v>202305</v>
      </c>
      <c r="AG36" s="1080">
        <v>0</v>
      </c>
      <c r="AH36" s="1080">
        <v>0</v>
      </c>
      <c r="AI36" s="1080">
        <f t="shared" si="7"/>
        <v>0</v>
      </c>
      <c r="AM36" s="634" t="s">
        <v>845</v>
      </c>
    </row>
    <row r="37" spans="15:39">
      <c r="P37" s="1063"/>
      <c r="Q37" s="1115" t="s">
        <v>198</v>
      </c>
      <c r="R37" s="1114" t="s">
        <v>819</v>
      </c>
      <c r="S37" s="1113"/>
      <c r="T37" s="1112" t="s">
        <v>78</v>
      </c>
      <c r="U37" s="1111"/>
      <c r="AA37" s="1081">
        <v>202306</v>
      </c>
      <c r="AB37" s="1080">
        <f t="shared" si="8"/>
        <v>0</v>
      </c>
      <c r="AC37" s="1080"/>
      <c r="AD37" s="1080">
        <f t="shared" si="6"/>
        <v>0</v>
      </c>
      <c r="AE37" s="1009"/>
      <c r="AF37" s="1081">
        <v>202306</v>
      </c>
      <c r="AG37" s="1080">
        <v>0</v>
      </c>
      <c r="AH37" s="1080">
        <v>0</v>
      </c>
      <c r="AI37" s="1080">
        <f t="shared" si="7"/>
        <v>0</v>
      </c>
    </row>
    <row r="38" spans="15:39">
      <c r="P38" s="1063"/>
      <c r="Q38" s="1110" t="s">
        <v>843</v>
      </c>
      <c r="R38" s="1109"/>
      <c r="S38" s="1108"/>
      <c r="T38" s="1107"/>
      <c r="U38" s="1106"/>
      <c r="W38" s="580"/>
      <c r="AA38" s="1078"/>
      <c r="AB38" s="1076"/>
      <c r="AC38" s="1076">
        <f>SUM(AC26:AC37)</f>
        <v>0</v>
      </c>
      <c r="AD38" s="1076"/>
      <c r="AE38" s="477"/>
      <c r="AF38" s="1078"/>
      <c r="AG38" s="1076"/>
      <c r="AH38" s="1076">
        <f>SUM(AH26:AH37)</f>
        <v>0</v>
      </c>
      <c r="AI38" s="1076"/>
    </row>
    <row r="39" spans="15:39">
      <c r="P39" s="1063"/>
      <c r="Q39" s="1104" t="s">
        <v>842</v>
      </c>
      <c r="R39" s="1103" t="s">
        <v>841</v>
      </c>
      <c r="S39" s="1104" t="s">
        <v>81</v>
      </c>
      <c r="T39" s="1103" t="s">
        <v>841</v>
      </c>
      <c r="U39" s="1102" t="s">
        <v>81</v>
      </c>
      <c r="W39" s="580"/>
      <c r="AB39" s="1101"/>
      <c r="AC39" s="1101"/>
      <c r="AD39" s="1101"/>
      <c r="AE39" s="477"/>
      <c r="AF39" s="477"/>
      <c r="AG39" s="1101"/>
      <c r="AH39" s="1101"/>
      <c r="AI39" s="1072"/>
    </row>
    <row r="40" spans="15:39">
      <c r="O40" s="1100" t="s">
        <v>840</v>
      </c>
      <c r="P40" s="1063"/>
      <c r="Q40" s="1099">
        <v>252000</v>
      </c>
      <c r="R40" s="1097">
        <v>252000</v>
      </c>
      <c r="S40" s="1098">
        <v>252000</v>
      </c>
      <c r="T40" s="1097">
        <v>252000</v>
      </c>
      <c r="U40" s="1096">
        <v>252000</v>
      </c>
      <c r="AB40" s="477"/>
      <c r="AC40" s="477"/>
      <c r="AD40" s="477"/>
      <c r="AE40" s="477"/>
      <c r="AF40" s="477"/>
      <c r="AG40" s="477"/>
      <c r="AH40" s="477"/>
    </row>
    <row r="41" spans="15:39">
      <c r="O41" s="1095"/>
      <c r="P41" s="1063"/>
      <c r="Q41" s="1094" t="s">
        <v>839</v>
      </c>
      <c r="R41" s="1093"/>
      <c r="T41" s="1012"/>
      <c r="U41" s="1092"/>
      <c r="AA41" s="477"/>
      <c r="AB41" s="477"/>
      <c r="AC41" s="477"/>
      <c r="AD41" s="477"/>
      <c r="AF41" s="477"/>
      <c r="AG41" s="477"/>
      <c r="AH41" s="477"/>
      <c r="AI41" s="477"/>
    </row>
    <row r="42" spans="15:39">
      <c r="O42" s="581" t="str">
        <f>O13</f>
        <v>June</v>
      </c>
      <c r="P42" s="1090">
        <f>P13</f>
        <v>2022</v>
      </c>
      <c r="Q42" s="1079">
        <f>'G-1.02 Def DR-CR'!AB46</f>
        <v>0</v>
      </c>
      <c r="R42" s="1074"/>
      <c r="T42" s="1012"/>
      <c r="U42" s="1073"/>
      <c r="AA42" s="477"/>
      <c r="AB42" s="477"/>
      <c r="AC42" s="477"/>
      <c r="AD42" s="477"/>
      <c r="AF42" s="477"/>
      <c r="AG42" s="477"/>
      <c r="AH42" s="477"/>
      <c r="AI42" s="477"/>
    </row>
    <row r="43" spans="15:39">
      <c r="O43" s="581" t="str">
        <f>O14</f>
        <v>June</v>
      </c>
      <c r="P43" s="1090">
        <f>P14</f>
        <v>2023</v>
      </c>
      <c r="Q43" s="1075">
        <f>'G-1.02 Def DR-CR'!AD57</f>
        <v>0</v>
      </c>
      <c r="R43" s="1074"/>
      <c r="T43" s="1012"/>
      <c r="U43" s="1073"/>
      <c r="AA43" s="1084" t="s">
        <v>838</v>
      </c>
      <c r="AB43" s="1081" t="s">
        <v>837</v>
      </c>
      <c r="AC43" s="1081" t="s">
        <v>836</v>
      </c>
      <c r="AD43" s="1089"/>
      <c r="AE43" s="1088"/>
      <c r="AF43" s="477"/>
      <c r="AG43" s="477"/>
      <c r="AH43" s="477"/>
      <c r="AI43" s="477"/>
    </row>
    <row r="44" spans="15:39">
      <c r="P44" s="1063"/>
      <c r="Q44" s="1067"/>
      <c r="R44" s="1066"/>
      <c r="S44" s="1065"/>
      <c r="T44" s="1065"/>
      <c r="U44" s="1064"/>
      <c r="AA44" s="1087" t="s">
        <v>835</v>
      </c>
      <c r="AB44" s="477"/>
      <c r="AC44" s="477"/>
      <c r="AD44" s="477"/>
      <c r="AF44" s="477"/>
      <c r="AG44" s="477"/>
      <c r="AH44" s="477"/>
      <c r="AI44" s="477"/>
    </row>
    <row r="45" spans="15:39" ht="25.5">
      <c r="O45" s="478" t="s">
        <v>198</v>
      </c>
      <c r="P45" s="1063"/>
      <c r="Q45" s="1086">
        <f>Q42+Q43</f>
        <v>0</v>
      </c>
      <c r="R45" s="1086"/>
      <c r="T45" s="1012"/>
      <c r="U45" s="1073"/>
      <c r="AA45" s="1084" t="s">
        <v>679</v>
      </c>
      <c r="AB45" s="1084" t="s">
        <v>744</v>
      </c>
      <c r="AC45" s="1085" t="s">
        <v>743</v>
      </c>
      <c r="AD45" s="1084" t="s">
        <v>745</v>
      </c>
      <c r="AE45" s="477"/>
      <c r="AF45" s="477"/>
      <c r="AG45" s="477"/>
      <c r="AH45" s="477"/>
      <c r="AI45" s="477"/>
    </row>
    <row r="46" spans="15:39">
      <c r="O46" s="478" t="s">
        <v>834</v>
      </c>
      <c r="P46" s="1063"/>
      <c r="Q46" s="1071" t="s">
        <v>833</v>
      </c>
      <c r="R46" s="1070"/>
      <c r="S46" s="1069"/>
      <c r="T46" s="1069"/>
      <c r="U46" s="1068"/>
      <c r="AA46" s="1081">
        <v>202207</v>
      </c>
      <c r="AB46" s="1080">
        <v>0</v>
      </c>
      <c r="AC46" s="1080">
        <v>0</v>
      </c>
      <c r="AD46" s="1080">
        <f t="shared" ref="AD46:AD57" si="9">SUM(AB46:AC46)</f>
        <v>0</v>
      </c>
      <c r="AE46" s="477"/>
      <c r="AF46" s="477"/>
      <c r="AG46" s="477"/>
      <c r="AH46" s="477"/>
      <c r="AI46" s="477"/>
    </row>
    <row r="47" spans="15:39">
      <c r="O47" s="478" t="s">
        <v>832</v>
      </c>
      <c r="P47" s="1063"/>
      <c r="Q47" s="1083">
        <f>Q45/2</f>
        <v>0</v>
      </c>
      <c r="R47" s="1074"/>
      <c r="T47" s="1012"/>
      <c r="U47" s="1073"/>
      <c r="AA47" s="1081">
        <v>202208</v>
      </c>
      <c r="AB47" s="1080">
        <f t="shared" ref="AB47:AB57" si="10">AD46</f>
        <v>0</v>
      </c>
      <c r="AC47" s="1080">
        <v>0</v>
      </c>
      <c r="AD47" s="1080">
        <f t="shared" si="9"/>
        <v>0</v>
      </c>
      <c r="AE47" s="477"/>
      <c r="AF47" s="477"/>
      <c r="AG47" s="477"/>
      <c r="AH47" s="477"/>
      <c r="AI47" s="477"/>
    </row>
    <row r="48" spans="15:39">
      <c r="O48" s="581" t="str">
        <f t="shared" ref="O48:P58" si="11">O19</f>
        <v>July</v>
      </c>
      <c r="P48" s="581">
        <f t="shared" si="11"/>
        <v>2022</v>
      </c>
      <c r="Q48" s="1079">
        <f>'G-1.02 Def DR-CR'!AD46</f>
        <v>0</v>
      </c>
      <c r="R48" s="1074"/>
      <c r="T48" s="1012"/>
      <c r="U48" s="1073"/>
      <c r="AA48" s="1081">
        <v>202209</v>
      </c>
      <c r="AB48" s="1080">
        <f t="shared" si="10"/>
        <v>0</v>
      </c>
      <c r="AC48" s="1080">
        <v>0</v>
      </c>
      <c r="AD48" s="1080">
        <f t="shared" si="9"/>
        <v>0</v>
      </c>
      <c r="AE48" s="477"/>
      <c r="AF48" s="477"/>
      <c r="AG48" s="477"/>
      <c r="AH48" s="477"/>
      <c r="AI48" s="477"/>
    </row>
    <row r="49" spans="15:35">
      <c r="O49" s="581" t="str">
        <f t="shared" si="11"/>
        <v>August</v>
      </c>
      <c r="P49" s="581">
        <f t="shared" si="11"/>
        <v>2022</v>
      </c>
      <c r="Q49" s="1079">
        <f>'G-1.02 Def DR-CR'!AD47</f>
        <v>0</v>
      </c>
      <c r="R49" s="1074"/>
      <c r="T49" s="1012"/>
      <c r="U49" s="1073"/>
      <c r="AA49" s="1081">
        <v>202210</v>
      </c>
      <c r="AB49" s="1080">
        <f t="shared" si="10"/>
        <v>0</v>
      </c>
      <c r="AC49" s="1080">
        <v>0</v>
      </c>
      <c r="AD49" s="1080">
        <f t="shared" si="9"/>
        <v>0</v>
      </c>
      <c r="AE49" s="477"/>
      <c r="AF49" s="477"/>
      <c r="AG49" s="477"/>
      <c r="AH49" s="477"/>
      <c r="AI49" s="477"/>
    </row>
    <row r="50" spans="15:35">
      <c r="O50" s="581" t="str">
        <f t="shared" si="11"/>
        <v>September</v>
      </c>
      <c r="P50" s="581">
        <f t="shared" si="11"/>
        <v>2022</v>
      </c>
      <c r="Q50" s="1079">
        <f>'G-1.02 Def DR-CR'!AD48</f>
        <v>0</v>
      </c>
      <c r="R50" s="1074"/>
      <c r="T50" s="1012"/>
      <c r="U50" s="1073"/>
      <c r="AA50" s="1081">
        <v>202211</v>
      </c>
      <c r="AB50" s="1080">
        <f t="shared" si="10"/>
        <v>0</v>
      </c>
      <c r="AC50" s="1080">
        <v>0</v>
      </c>
      <c r="AD50" s="1080">
        <f t="shared" si="9"/>
        <v>0</v>
      </c>
      <c r="AE50" s="477"/>
      <c r="AF50" s="477"/>
      <c r="AG50" s="477"/>
      <c r="AH50" s="477"/>
      <c r="AI50" s="477"/>
    </row>
    <row r="51" spans="15:35">
      <c r="O51" s="581" t="str">
        <f t="shared" si="11"/>
        <v>October</v>
      </c>
      <c r="P51" s="581">
        <f t="shared" si="11"/>
        <v>2022</v>
      </c>
      <c r="Q51" s="1079">
        <f>'G-1.02 Def DR-CR'!AD49</f>
        <v>0</v>
      </c>
      <c r="R51" s="1074"/>
      <c r="T51" s="1012"/>
      <c r="U51" s="1073"/>
      <c r="AA51" s="1081">
        <v>202212</v>
      </c>
      <c r="AB51" s="1080">
        <f t="shared" si="10"/>
        <v>0</v>
      </c>
      <c r="AC51" s="1080">
        <v>0</v>
      </c>
      <c r="AD51" s="1080">
        <f t="shared" si="9"/>
        <v>0</v>
      </c>
      <c r="AE51" s="477"/>
      <c r="AF51" s="477"/>
      <c r="AG51" s="477"/>
      <c r="AH51" s="477"/>
      <c r="AI51" s="477"/>
    </row>
    <row r="52" spans="15:35">
      <c r="O52" s="581" t="str">
        <f t="shared" si="11"/>
        <v>November</v>
      </c>
      <c r="P52" s="581">
        <f t="shared" si="11"/>
        <v>2022</v>
      </c>
      <c r="Q52" s="1079">
        <f>'G-1.02 Def DR-CR'!AD50</f>
        <v>0</v>
      </c>
      <c r="R52" s="1074"/>
      <c r="T52" s="1012"/>
      <c r="U52" s="1073"/>
      <c r="AA52" s="1081">
        <v>202301</v>
      </c>
      <c r="AB52" s="1080">
        <f t="shared" si="10"/>
        <v>0</v>
      </c>
      <c r="AC52" s="1080">
        <v>0</v>
      </c>
      <c r="AD52" s="1080">
        <f t="shared" si="9"/>
        <v>0</v>
      </c>
      <c r="AE52" s="477"/>
      <c r="AF52" s="477"/>
      <c r="AG52" s="477"/>
      <c r="AH52" s="477"/>
      <c r="AI52" s="477"/>
    </row>
    <row r="53" spans="15:35">
      <c r="O53" s="581" t="str">
        <f t="shared" si="11"/>
        <v>December</v>
      </c>
      <c r="P53" s="581">
        <f t="shared" si="11"/>
        <v>2022</v>
      </c>
      <c r="Q53" s="1079">
        <f>'G-1.02 Def DR-CR'!AD51</f>
        <v>0</v>
      </c>
      <c r="R53" s="1074"/>
      <c r="T53" s="1012"/>
      <c r="U53" s="1073"/>
      <c r="AA53" s="1081">
        <v>202302</v>
      </c>
      <c r="AB53" s="1080">
        <f t="shared" si="10"/>
        <v>0</v>
      </c>
      <c r="AC53" s="1080">
        <v>0</v>
      </c>
      <c r="AD53" s="1080">
        <f t="shared" si="9"/>
        <v>0</v>
      </c>
      <c r="AE53" s="477"/>
      <c r="AF53" s="477"/>
      <c r="AG53" s="477"/>
      <c r="AH53" s="477"/>
      <c r="AI53" s="477"/>
    </row>
    <row r="54" spans="15:35">
      <c r="O54" s="581" t="str">
        <f t="shared" si="11"/>
        <v>January</v>
      </c>
      <c r="P54" s="581">
        <f t="shared" si="11"/>
        <v>2023</v>
      </c>
      <c r="Q54" s="1079">
        <f>'G-1.02 Def DR-CR'!AD52</f>
        <v>0</v>
      </c>
      <c r="R54" s="1074"/>
      <c r="T54" s="1012"/>
      <c r="U54" s="1073"/>
      <c r="AA54" s="1081">
        <v>202303</v>
      </c>
      <c r="AB54" s="1080">
        <f t="shared" si="10"/>
        <v>0</v>
      </c>
      <c r="AC54" s="1080">
        <v>0</v>
      </c>
      <c r="AD54" s="1080">
        <f t="shared" si="9"/>
        <v>0</v>
      </c>
      <c r="AE54" s="477"/>
      <c r="AF54" s="477"/>
      <c r="AG54" s="477"/>
      <c r="AH54" s="477"/>
      <c r="AI54" s="477"/>
    </row>
    <row r="55" spans="15:35">
      <c r="O55" s="581" t="str">
        <f t="shared" si="11"/>
        <v>February</v>
      </c>
      <c r="P55" s="581">
        <f t="shared" si="11"/>
        <v>2023</v>
      </c>
      <c r="Q55" s="1079">
        <f>'G-1.02 Def DR-CR'!AD53</f>
        <v>0</v>
      </c>
      <c r="R55" s="1074"/>
      <c r="T55" s="1012"/>
      <c r="U55" s="1073"/>
      <c r="AA55" s="1081">
        <v>202304</v>
      </c>
      <c r="AB55" s="1080">
        <f t="shared" si="10"/>
        <v>0</v>
      </c>
      <c r="AC55" s="1080">
        <v>0</v>
      </c>
      <c r="AD55" s="1080">
        <f t="shared" si="9"/>
        <v>0</v>
      </c>
      <c r="AE55" s="477"/>
      <c r="AF55" s="477"/>
      <c r="AG55" s="477"/>
      <c r="AH55" s="477"/>
      <c r="AI55" s="477"/>
    </row>
    <row r="56" spans="15:35">
      <c r="O56" s="581" t="str">
        <f t="shared" si="11"/>
        <v>March</v>
      </c>
      <c r="P56" s="581">
        <f t="shared" si="11"/>
        <v>2023</v>
      </c>
      <c r="Q56" s="1079">
        <f>'G-1.02 Def DR-CR'!AD54</f>
        <v>0</v>
      </c>
      <c r="R56" s="1074"/>
      <c r="T56" s="1012"/>
      <c r="U56" s="1073"/>
      <c r="AA56" s="1081">
        <v>202305</v>
      </c>
      <c r="AB56" s="1080">
        <f t="shared" si="10"/>
        <v>0</v>
      </c>
      <c r="AC56" s="1080">
        <v>0</v>
      </c>
      <c r="AD56" s="1080">
        <f t="shared" si="9"/>
        <v>0</v>
      </c>
      <c r="AE56" s="477"/>
      <c r="AF56" s="477"/>
      <c r="AG56" s="477"/>
      <c r="AH56" s="477"/>
      <c r="AI56" s="477"/>
    </row>
    <row r="57" spans="15:35">
      <c r="O57" s="581" t="str">
        <f t="shared" si="11"/>
        <v>April</v>
      </c>
      <c r="P57" s="581">
        <f t="shared" si="11"/>
        <v>2023</v>
      </c>
      <c r="Q57" s="1079">
        <f>'G-1.02 Def DR-CR'!AD55</f>
        <v>0</v>
      </c>
      <c r="R57" s="1074"/>
      <c r="T57" s="1012"/>
      <c r="U57" s="1073"/>
      <c r="AA57" s="1081">
        <v>202306</v>
      </c>
      <c r="AB57" s="1080">
        <f t="shared" si="10"/>
        <v>0</v>
      </c>
      <c r="AC57" s="1080">
        <v>0</v>
      </c>
      <c r="AD57" s="1080">
        <f t="shared" si="9"/>
        <v>0</v>
      </c>
      <c r="AE57" s="477"/>
      <c r="AF57" s="477"/>
      <c r="AG57" s="477"/>
      <c r="AH57" s="477"/>
      <c r="AI57" s="477"/>
    </row>
    <row r="58" spans="15:35">
      <c r="O58" s="581" t="str">
        <f t="shared" si="11"/>
        <v>May</v>
      </c>
      <c r="P58" s="581">
        <f t="shared" si="11"/>
        <v>2023</v>
      </c>
      <c r="Q58" s="1079">
        <f>'G-1.02 Def DR-CR'!AD56</f>
        <v>0</v>
      </c>
      <c r="R58" s="1074"/>
      <c r="T58" s="1012"/>
      <c r="U58" s="1073"/>
      <c r="AA58" s="1078"/>
      <c r="AB58" s="1076"/>
      <c r="AC58" s="1077">
        <f>SUM(AC46:AC57)</f>
        <v>0</v>
      </c>
      <c r="AD58" s="1076"/>
      <c r="AE58" s="477"/>
      <c r="AF58" s="477"/>
      <c r="AG58" s="477"/>
      <c r="AH58" s="477"/>
      <c r="AI58" s="477"/>
    </row>
    <row r="59" spans="15:35">
      <c r="P59" s="1063"/>
      <c r="Q59" s="1075"/>
      <c r="R59" s="1074"/>
      <c r="T59" s="1012"/>
      <c r="U59" s="1073"/>
      <c r="AB59" s="1072"/>
      <c r="AC59" s="1072"/>
      <c r="AD59" s="1072"/>
    </row>
    <row r="60" spans="15:35">
      <c r="O60" s="478" t="s">
        <v>198</v>
      </c>
      <c r="P60" s="1063"/>
      <c r="Q60" s="1067">
        <f>SUM(Q47:Q59)</f>
        <v>0</v>
      </c>
      <c r="R60" s="1066"/>
      <c r="S60" s="1065"/>
      <c r="T60" s="1065"/>
      <c r="U60" s="1064"/>
    </row>
    <row r="61" spans="15:35">
      <c r="O61" s="478" t="s">
        <v>831</v>
      </c>
      <c r="P61" s="1063"/>
      <c r="Q61" s="1071" t="s">
        <v>830</v>
      </c>
      <c r="R61" s="1070"/>
      <c r="S61" s="1069"/>
      <c r="T61" s="1069"/>
      <c r="U61" s="1068"/>
    </row>
    <row r="62" spans="15:35">
      <c r="P62" s="1063"/>
      <c r="Q62" s="1067">
        <f>Q60/12</f>
        <v>0</v>
      </c>
      <c r="R62" s="1066" t="s">
        <v>829</v>
      </c>
      <c r="S62" s="1065"/>
      <c r="T62" s="1065"/>
      <c r="U62" s="1064"/>
    </row>
    <row r="63" spans="15:35">
      <c r="O63" s="478" t="s">
        <v>828</v>
      </c>
      <c r="P63" s="1063"/>
      <c r="Q63" s="1062">
        <f>SUM($R63:$U63)</f>
        <v>0</v>
      </c>
      <c r="R63" s="1062">
        <f>'G-1.02 Def DR-CR'!T70</f>
        <v>0</v>
      </c>
      <c r="S63" s="1061">
        <f>'G-1.02 Def DR-CR'!T71</f>
        <v>0</v>
      </c>
      <c r="T63" s="1061">
        <f>'G-1.02 Def DR-CR'!T73</f>
        <v>0</v>
      </c>
      <c r="U63" s="1060">
        <f>'G-1.02 Def DR-CR'!T74</f>
        <v>0</v>
      </c>
    </row>
    <row r="64" spans="15:35">
      <c r="Q64" s="1012"/>
      <c r="T64" s="1012"/>
      <c r="U64" s="1012"/>
    </row>
    <row r="65" spans="15:22">
      <c r="T65" s="1012"/>
      <c r="U65" s="1012"/>
      <c r="V65" s="1012"/>
    </row>
    <row r="66" spans="15:22">
      <c r="O66" s="1044" t="s">
        <v>827</v>
      </c>
    </row>
    <row r="68" spans="15:22">
      <c r="O68" s="1050"/>
      <c r="P68" s="1049"/>
      <c r="Q68" s="1058" t="s">
        <v>45</v>
      </c>
      <c r="R68" s="1049"/>
      <c r="S68" s="1049"/>
      <c r="T68" s="1057" t="s">
        <v>826</v>
      </c>
      <c r="U68" s="1059"/>
      <c r="V68" s="1044"/>
    </row>
    <row r="69" spans="15:22">
      <c r="O69" s="1050" t="s">
        <v>825</v>
      </c>
      <c r="P69" s="1049"/>
      <c r="Q69" s="1058" t="s">
        <v>648</v>
      </c>
      <c r="R69" s="1057" t="s">
        <v>824</v>
      </c>
      <c r="S69" s="1049"/>
      <c r="T69" s="1057" t="s">
        <v>823</v>
      </c>
      <c r="U69" s="1056"/>
      <c r="V69" s="1051"/>
    </row>
    <row r="70" spans="15:22">
      <c r="O70" s="1050"/>
      <c r="P70" s="1049" t="s">
        <v>763</v>
      </c>
      <c r="Q70" s="1054">
        <v>1486383654</v>
      </c>
      <c r="R70" s="1052">
        <f>ROUND(Q70/$Q$78,4)</f>
        <v>0.40329999999999999</v>
      </c>
      <c r="S70" s="1049"/>
      <c r="T70" s="1026">
        <f>ROUND($T$78*R70,0)</f>
        <v>0</v>
      </c>
      <c r="U70" s="1051"/>
      <c r="V70" s="1051"/>
    </row>
    <row r="71" spans="15:22">
      <c r="O71" s="1050"/>
      <c r="P71" s="1049" t="s">
        <v>683</v>
      </c>
      <c r="Q71" s="1054">
        <v>750668689</v>
      </c>
      <c r="R71" s="1052">
        <f>ROUND(Q71/$Q$78,4)</f>
        <v>0.20369999999999999</v>
      </c>
      <c r="S71" s="1049"/>
      <c r="T71" s="1026">
        <f>ROUND($T$78*R71,0)</f>
        <v>0</v>
      </c>
      <c r="U71" s="1055"/>
      <c r="V71" s="1055"/>
    </row>
    <row r="72" spans="15:22">
      <c r="O72" s="1050" t="s">
        <v>822</v>
      </c>
      <c r="P72" s="1049"/>
      <c r="Q72" s="1054"/>
      <c r="R72" s="1049"/>
      <c r="S72" s="1049"/>
      <c r="T72" s="1026"/>
    </row>
    <row r="73" spans="15:22">
      <c r="O73" s="1050"/>
      <c r="P73" s="1049" t="s">
        <v>763</v>
      </c>
      <c r="Q73" s="1054">
        <v>650522559</v>
      </c>
      <c r="R73" s="1052">
        <f>ROUND(Q73/$Q$78,4)</f>
        <v>0.17649999999999999</v>
      </c>
      <c r="S73" s="1049"/>
      <c r="T73" s="1026">
        <f>ROUND($T$78*R73,0)</f>
        <v>0</v>
      </c>
      <c r="U73" s="1012"/>
      <c r="V73" s="1012"/>
    </row>
    <row r="74" spans="15:22">
      <c r="O74" s="1050"/>
      <c r="P74" s="1049" t="s">
        <v>683</v>
      </c>
      <c r="Q74" s="1054">
        <v>300337431</v>
      </c>
      <c r="R74" s="1052">
        <f>ROUND(Q74/$Q$78,4)</f>
        <v>8.1500000000000003E-2</v>
      </c>
      <c r="S74" s="1049"/>
      <c r="T74" s="1026">
        <f>ROUND($T$78*R74,0)</f>
        <v>0</v>
      </c>
      <c r="U74" s="1012"/>
      <c r="V74" s="1012"/>
    </row>
    <row r="75" spans="15:22">
      <c r="O75" s="1050" t="s">
        <v>821</v>
      </c>
      <c r="P75" s="1049"/>
      <c r="Q75" s="1054"/>
      <c r="R75" s="1049"/>
      <c r="S75" s="1049"/>
      <c r="T75" s="1026"/>
      <c r="U75" s="1012"/>
      <c r="V75" s="1012"/>
    </row>
    <row r="76" spans="15:22">
      <c r="O76" s="1050"/>
      <c r="P76" s="1049" t="s">
        <v>676</v>
      </c>
      <c r="Q76" s="1054">
        <v>497378635</v>
      </c>
      <c r="R76" s="1052">
        <f>ROUND(Q76/$Q$78,4)</f>
        <v>0.13500000000000001</v>
      </c>
      <c r="S76" s="1049"/>
      <c r="T76" s="1026">
        <f>ROUND($T$78*R76,0)</f>
        <v>0</v>
      </c>
      <c r="U76" s="1012"/>
      <c r="V76" s="1012"/>
    </row>
    <row r="77" spans="15:22">
      <c r="O77" s="1050"/>
      <c r="P77" s="1049"/>
      <c r="Q77" s="1053"/>
      <c r="R77" s="1052"/>
      <c r="S77" s="1049"/>
      <c r="T77" s="1026"/>
      <c r="U77" s="1051"/>
      <c r="V77" s="1051"/>
    </row>
    <row r="78" spans="15:22">
      <c r="O78" s="1050" t="s">
        <v>198</v>
      </c>
      <c r="P78" s="1049"/>
      <c r="Q78" s="1048">
        <f>SUM(Q70:Q77)</f>
        <v>3685290968</v>
      </c>
      <c r="R78" s="1047">
        <f>SUM(R70:R77)</f>
        <v>1</v>
      </c>
      <c r="S78" s="1046"/>
      <c r="T78" s="1045">
        <f>Q62</f>
        <v>0</v>
      </c>
      <c r="U78" s="1012"/>
      <c r="V78" s="1012"/>
    </row>
    <row r="79" spans="15:22">
      <c r="T79" s="1012"/>
      <c r="U79" s="1012"/>
      <c r="V79" s="1012"/>
    </row>
    <row r="80" spans="15:22">
      <c r="O80" s="1044" t="s">
        <v>820</v>
      </c>
      <c r="T80" s="1012"/>
      <c r="U80" s="1012"/>
      <c r="V80" s="1012"/>
    </row>
    <row r="81" spans="15:23" ht="13.5" thickBot="1">
      <c r="T81" s="1012"/>
      <c r="U81" s="1012"/>
      <c r="V81" s="1012"/>
    </row>
    <row r="82" spans="15:23" ht="15">
      <c r="O82" s="1043"/>
      <c r="P82" s="1042"/>
      <c r="Q82" s="1040" t="s">
        <v>819</v>
      </c>
      <c r="R82" s="1041"/>
      <c r="S82" s="1040" t="s">
        <v>78</v>
      </c>
      <c r="T82" s="1039"/>
    </row>
    <row r="83" spans="15:23" ht="15">
      <c r="O83" s="1038" t="s">
        <v>818</v>
      </c>
      <c r="P83" s="1037"/>
      <c r="Q83" s="1035"/>
      <c r="R83" s="1036"/>
      <c r="S83" s="1035"/>
      <c r="T83" s="1034"/>
    </row>
    <row r="84" spans="15:23" ht="15">
      <c r="O84" s="1033" t="s">
        <v>817</v>
      </c>
      <c r="P84" s="1032" t="s">
        <v>198</v>
      </c>
      <c r="Q84" s="1030" t="s">
        <v>80</v>
      </c>
      <c r="R84" s="1031" t="s">
        <v>81</v>
      </c>
      <c r="S84" s="1030" t="s">
        <v>80</v>
      </c>
      <c r="T84" s="1029" t="s">
        <v>81</v>
      </c>
    </row>
    <row r="85" spans="15:23" ht="15">
      <c r="O85" s="1021"/>
      <c r="P85" s="477"/>
      <c r="Q85" s="477"/>
      <c r="R85" s="477"/>
      <c r="S85" s="477"/>
      <c r="T85" s="1028"/>
    </row>
    <row r="86" spans="15:23" ht="15">
      <c r="O86" s="1027" t="s">
        <v>816</v>
      </c>
      <c r="P86" s="1026">
        <f>SUM(Q86:T86)</f>
        <v>0</v>
      </c>
      <c r="Q86" s="1026">
        <f>'G-1.02 Def DR-CR'!R63</f>
        <v>0</v>
      </c>
      <c r="R86" s="1026">
        <f>'G-1.02 Def DR-CR'!S63</f>
        <v>0</v>
      </c>
      <c r="S86" s="1026">
        <f>'G-1.02 Def DR-CR'!T63</f>
        <v>0</v>
      </c>
      <c r="T86" s="1025">
        <f>'G-1.02 Def DR-CR'!U63</f>
        <v>0</v>
      </c>
    </row>
    <row r="87" spans="15:23" ht="15">
      <c r="O87" s="1027" t="s">
        <v>815</v>
      </c>
      <c r="P87" s="1026">
        <f>SUM(Q87:T87)</f>
        <v>-4143263.9229166661</v>
      </c>
      <c r="Q87" s="1026">
        <f>'G-1.02 Def DR-CR'!R34</f>
        <v>-1285488.125</v>
      </c>
      <c r="R87" s="1026">
        <f>'G-1.02 Def DR-CR'!S34</f>
        <v>-2857775.7979166661</v>
      </c>
      <c r="S87" s="1026"/>
      <c r="T87" s="1025"/>
    </row>
    <row r="88" spans="15:23" ht="15">
      <c r="O88" s="1027" t="s">
        <v>814</v>
      </c>
      <c r="P88" s="1026">
        <f>SUM(Q88:T88)</f>
        <v>0</v>
      </c>
      <c r="Q88" s="1026"/>
      <c r="R88" s="1026"/>
      <c r="S88" s="1026">
        <f>'G-1.02 Def DR-CR'!V34</f>
        <v>0</v>
      </c>
      <c r="T88" s="1025">
        <f>'G-1.02 Def DR-CR'!W34</f>
        <v>0</v>
      </c>
    </row>
    <row r="89" spans="15:23" ht="15">
      <c r="O89" s="1024"/>
      <c r="P89" s="1023"/>
      <c r="Q89" s="1023"/>
      <c r="R89" s="1023"/>
      <c r="S89" s="1023"/>
      <c r="T89" s="1022"/>
    </row>
    <row r="90" spans="15:23" ht="15.75" thickBot="1">
      <c r="O90" s="1021"/>
      <c r="P90" s="1020"/>
      <c r="Q90" s="1020"/>
      <c r="R90" s="1020"/>
      <c r="S90" s="1020"/>
      <c r="T90" s="1019"/>
    </row>
    <row r="91" spans="15:23" ht="15.75" thickBot="1">
      <c r="O91" s="1018" t="s">
        <v>813</v>
      </c>
      <c r="P91" s="1017">
        <f>SUM(P86:P88)</f>
        <v>-4143263.9229166661</v>
      </c>
      <c r="Q91" s="1015">
        <f>SUM(Q86:Q88)</f>
        <v>-1285488.125</v>
      </c>
      <c r="R91" s="1016">
        <f>SUM(R86:R88)</f>
        <v>-2857775.7979166661</v>
      </c>
      <c r="S91" s="1015">
        <f>SUM(S86:S88)</f>
        <v>0</v>
      </c>
      <c r="T91" s="1014">
        <f>SUM(T86:T88)</f>
        <v>0</v>
      </c>
    </row>
    <row r="92" spans="15:23" ht="15.75">
      <c r="R92" s="273"/>
      <c r="S92" s="288"/>
      <c r="T92" s="1013"/>
      <c r="U92" s="1013"/>
      <c r="V92" s="1013"/>
      <c r="W92" s="273"/>
    </row>
  </sheetData>
  <mergeCells count="13">
    <mergeCell ref="AQ27:AR27"/>
    <mergeCell ref="AQ26:AS26"/>
    <mergeCell ref="AQ12:AS25"/>
    <mergeCell ref="R8:S8"/>
    <mergeCell ref="V8:W8"/>
    <mergeCell ref="O1:W1"/>
    <mergeCell ref="O2:W2"/>
    <mergeCell ref="O3:W3"/>
    <mergeCell ref="B5:D5"/>
    <mergeCell ref="G5:I5"/>
    <mergeCell ref="A1:J1"/>
    <mergeCell ref="A2:J2"/>
    <mergeCell ref="A3:J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C36F-522C-4B1B-AF5C-4069C919200F}">
  <sheetPr codeName="Sheet13"/>
  <dimension ref="A1:BJ64"/>
  <sheetViews>
    <sheetView workbookViewId="0"/>
  </sheetViews>
  <sheetFormatPr defaultColWidth="8.85546875" defaultRowHeight="12.75"/>
  <cols>
    <col min="1" max="1" width="7.7109375" style="1187" customWidth="1"/>
    <col min="2" max="2" width="8.140625" style="1187" customWidth="1"/>
    <col min="3" max="3" width="7.7109375" style="1187" customWidth="1"/>
    <col min="4" max="4" width="6.42578125" style="1187" customWidth="1"/>
    <col min="5" max="5" width="7" style="1187" customWidth="1"/>
    <col min="6" max="6" width="7.140625" style="1187" customWidth="1"/>
    <col min="7" max="7" width="7" style="1187" customWidth="1"/>
    <col min="8" max="8" width="7.42578125" style="1187" customWidth="1"/>
    <col min="9" max="9" width="17.28515625" style="890" customWidth="1"/>
    <col min="10" max="10" width="19.42578125" style="880" customWidth="1"/>
    <col min="11" max="11" width="15" style="531" customWidth="1"/>
    <col min="12" max="12" width="14.5703125" style="477" customWidth="1"/>
    <col min="13" max="13" width="14.7109375" style="1199" customWidth="1"/>
    <col min="14" max="14" width="1.42578125" style="477" customWidth="1"/>
    <col min="15" max="15" width="8.85546875" style="477"/>
    <col min="16" max="16" width="10.7109375" style="477" customWidth="1"/>
    <col min="17" max="17" width="9.7109375" style="477" customWidth="1"/>
    <col min="18" max="18" width="1.140625" style="477" customWidth="1"/>
    <col min="19" max="23" width="8.7109375" style="477" customWidth="1"/>
    <col min="24" max="24" width="0.85546875" style="477" customWidth="1"/>
    <col min="25" max="29" width="8.5703125" style="477" customWidth="1"/>
    <col min="30" max="30" width="1.5703125" style="477" customWidth="1"/>
    <col min="31" max="34" width="14.140625" style="1199" customWidth="1"/>
    <col min="35" max="35" width="14.140625" style="1235" customWidth="1"/>
    <col min="36" max="36" width="8.85546875" style="477"/>
    <col min="37" max="37" width="1.7109375" style="1008" customWidth="1"/>
    <col min="38" max="38" width="8.85546875" style="477"/>
    <col min="39" max="39" width="7" style="477" bestFit="1" customWidth="1"/>
    <col min="40" max="40" width="16.5703125" style="477" bestFit="1" customWidth="1"/>
    <col min="41" max="41" width="14.28515625" style="477" bestFit="1" customWidth="1"/>
    <col min="42" max="42" width="19.42578125" style="477" customWidth="1"/>
    <col min="43" max="43" width="12.42578125" style="477" customWidth="1"/>
    <col min="44" max="45" width="12.42578125" style="515" customWidth="1"/>
    <col min="46" max="46" width="2" style="477" customWidth="1"/>
    <col min="47" max="47" width="13.7109375" style="477" bestFit="1" customWidth="1"/>
    <col min="48" max="48" width="14.28515625" style="477" bestFit="1" customWidth="1"/>
    <col min="49" max="49" width="19.42578125" style="477" customWidth="1"/>
    <col min="50" max="50" width="8.85546875" style="477"/>
    <col min="51" max="51" width="14" style="515" customWidth="1"/>
    <col min="52" max="52" width="11.28515625" style="515" bestFit="1" customWidth="1"/>
    <col min="53" max="53" width="9.28515625" style="477" customWidth="1"/>
    <col min="54" max="54" width="1.7109375" style="1008" customWidth="1"/>
    <col min="55" max="56" width="8.85546875" style="477"/>
    <col min="57" max="57" width="17.5703125" style="477" customWidth="1"/>
    <col min="58" max="58" width="4" style="477" customWidth="1"/>
    <col min="59" max="59" width="15.7109375" style="477" customWidth="1"/>
    <col min="60" max="60" width="11.85546875" style="477" bestFit="1" customWidth="1"/>
    <col min="61" max="61" width="10.28515625" style="477" bestFit="1" customWidth="1"/>
    <col min="62" max="62" width="13.140625" style="477" bestFit="1" customWidth="1"/>
    <col min="63" max="16384" width="8.85546875" style="477"/>
  </cols>
  <sheetData>
    <row r="1" spans="1:62" ht="13.5" thickBot="1">
      <c r="I1" s="1188" t="s">
        <v>906</v>
      </c>
      <c r="L1" s="531"/>
      <c r="M1" s="531"/>
      <c r="N1" s="1189"/>
      <c r="O1" s="1189"/>
      <c r="P1" s="1189"/>
      <c r="Q1" s="1189"/>
      <c r="R1" s="1189"/>
      <c r="S1" s="1189"/>
      <c r="T1" s="1189"/>
      <c r="U1" s="1189"/>
      <c r="V1" s="1189"/>
      <c r="W1" s="1189"/>
      <c r="X1" s="1189"/>
      <c r="Y1" s="1189"/>
      <c r="Z1" s="1189"/>
      <c r="AA1" s="1189"/>
      <c r="AB1" s="1189"/>
      <c r="AC1" s="1189"/>
      <c r="AD1" s="1189"/>
      <c r="AE1" s="1190"/>
      <c r="AF1" s="1190"/>
      <c r="AG1" s="1190"/>
      <c r="AH1" s="1190"/>
      <c r="AI1" s="1191"/>
      <c r="AN1" s="3776" t="s">
        <v>907</v>
      </c>
      <c r="AO1" s="3777"/>
      <c r="AP1" s="3777"/>
      <c r="AQ1" s="3777"/>
      <c r="AR1" s="3777"/>
      <c r="AS1" s="3778"/>
      <c r="AU1" s="3776" t="s">
        <v>908</v>
      </c>
      <c r="AV1" s="3777"/>
      <c r="AW1" s="3777"/>
      <c r="AX1" s="3777"/>
      <c r="AY1" s="3777"/>
      <c r="AZ1" s="3778"/>
    </row>
    <row r="2" spans="1:62" ht="60">
      <c r="I2" s="1188" t="s">
        <v>909</v>
      </c>
      <c r="L2" s="531"/>
      <c r="M2" s="531"/>
      <c r="N2" s="1189"/>
      <c r="O2" s="1189"/>
      <c r="P2" s="1189"/>
      <c r="Q2" s="1189"/>
      <c r="R2" s="1189"/>
      <c r="S2" s="1189"/>
      <c r="T2" s="1189"/>
      <c r="U2" s="1189"/>
      <c r="V2" s="1189"/>
      <c r="W2" s="1189"/>
      <c r="X2" s="1189"/>
      <c r="Y2" s="1189"/>
      <c r="Z2" s="1189"/>
      <c r="AA2" s="1189"/>
      <c r="AB2" s="1189"/>
      <c r="AC2" s="1189"/>
      <c r="AD2" s="1189"/>
      <c r="AE2" s="1190"/>
      <c r="AF2" s="1190"/>
      <c r="AG2" s="1190"/>
      <c r="AH2" s="1190"/>
      <c r="AI2" s="1191"/>
      <c r="AM2" s="1192"/>
      <c r="AN2" s="1192" t="s">
        <v>745</v>
      </c>
      <c r="AO2" s="1192" t="s">
        <v>910</v>
      </c>
      <c r="AP2" s="1192" t="s">
        <v>911</v>
      </c>
      <c r="AQ2" s="1192" t="s">
        <v>912</v>
      </c>
      <c r="AR2" s="1193" t="s">
        <v>913</v>
      </c>
      <c r="AS2" s="1192" t="s">
        <v>914</v>
      </c>
      <c r="AT2" s="1192"/>
      <c r="AU2" s="1192" t="s">
        <v>745</v>
      </c>
      <c r="AV2" s="1192" t="s">
        <v>910</v>
      </c>
      <c r="AW2" s="1192" t="s">
        <v>911</v>
      </c>
      <c r="AX2" s="1192" t="s">
        <v>912</v>
      </c>
      <c r="AY2" s="1193" t="s">
        <v>913</v>
      </c>
      <c r="AZ2" s="1192" t="s">
        <v>914</v>
      </c>
    </row>
    <row r="3" spans="1:62">
      <c r="I3" s="1188" t="s">
        <v>915</v>
      </c>
      <c r="L3" s="531"/>
      <c r="M3" s="531"/>
      <c r="N3" s="1189"/>
      <c r="O3" s="1189"/>
      <c r="P3" s="1189"/>
      <c r="Q3" s="1189"/>
      <c r="R3" s="1189"/>
      <c r="S3" s="1189"/>
      <c r="T3" s="1189"/>
      <c r="U3" s="1189"/>
      <c r="V3" s="1189"/>
      <c r="W3" s="1189"/>
      <c r="X3" s="1189"/>
      <c r="Y3" s="1189"/>
      <c r="Z3" s="1189"/>
      <c r="AA3" s="1189"/>
      <c r="AB3" s="1189"/>
      <c r="AC3" s="1189"/>
      <c r="AD3" s="1189"/>
      <c r="AE3" s="1190"/>
      <c r="AF3" s="1190"/>
      <c r="AG3" s="1190"/>
      <c r="AH3" s="1190"/>
      <c r="AI3" s="1191"/>
      <c r="AM3" s="477">
        <v>202206</v>
      </c>
      <c r="AN3" s="515">
        <v>-4266633.03</v>
      </c>
      <c r="AO3" s="515"/>
      <c r="AP3" s="515">
        <f>'G-1.03 WC'!BJ15</f>
        <v>181.11000000000058</v>
      </c>
      <c r="AQ3" s="1194">
        <f>0.0086/12</f>
        <v>7.1666666666666667E-4</v>
      </c>
      <c r="AR3" s="515">
        <f t="shared" ref="AR3:AR15" si="0">IF(AP3&lt;0,-AP3/AQ3,AP3/AQ3)</f>
        <v>252711.62790697755</v>
      </c>
      <c r="AT3" s="1195"/>
      <c r="AU3" s="515">
        <v>16702485.27</v>
      </c>
      <c r="AV3" s="515"/>
      <c r="AW3" s="515">
        <f>'G-1.03 WC'!BE15</f>
        <v>-3647.64</v>
      </c>
      <c r="AX3" s="1194">
        <f>0.01669/12</f>
        <v>1.3908333333333333E-3</v>
      </c>
      <c r="AY3" s="515">
        <f t="shared" ref="AY3:AY15" si="1">IF(AW3&lt;0,-AW3/AX3,AW3/AX3)</f>
        <v>2622629.1192330737</v>
      </c>
    </row>
    <row r="4" spans="1:62" ht="15">
      <c r="I4" s="1196" t="s">
        <v>916</v>
      </c>
      <c r="L4" s="531"/>
      <c r="M4" s="531"/>
      <c r="N4" s="1189"/>
      <c r="O4" s="1189"/>
      <c r="P4" s="1189"/>
      <c r="Q4" s="1189"/>
      <c r="R4" s="1189"/>
      <c r="S4" s="1189"/>
      <c r="T4" s="1189"/>
      <c r="U4" s="1189"/>
      <c r="V4" s="1189"/>
      <c r="W4" s="1189"/>
      <c r="X4" s="1189"/>
      <c r="Y4" s="1189"/>
      <c r="Z4" s="1189"/>
      <c r="AA4" s="1189"/>
      <c r="AB4" s="1189"/>
      <c r="AC4" s="1189"/>
      <c r="AD4" s="1189"/>
      <c r="AE4" s="1190"/>
      <c r="AF4" s="1190"/>
      <c r="AG4" s="1190"/>
      <c r="AH4" s="1190"/>
      <c r="AI4" s="1191"/>
      <c r="AM4" s="477">
        <f t="shared" ref="AM4:AM9" si="2">AM3+1</f>
        <v>202207</v>
      </c>
      <c r="AN4" s="515">
        <v>7797554.4699999997</v>
      </c>
      <c r="AO4" s="515">
        <f t="shared" ref="AO4:AO15" si="3">(AN3+AN4)/2</f>
        <v>1765460.7199999997</v>
      </c>
      <c r="AP4" s="515">
        <f>'G-1.03 WC'!BJ16</f>
        <v>3195.16</v>
      </c>
      <c r="AQ4" s="1194">
        <f>0.0135/12</f>
        <v>1.1249999999999999E-3</v>
      </c>
      <c r="AR4" s="515">
        <f t="shared" si="0"/>
        <v>2840142.2222222225</v>
      </c>
      <c r="AS4" s="515">
        <f t="shared" ref="AS4:AS15" si="4">(AR3+AR4)/2</f>
        <v>1546426.9250646001</v>
      </c>
      <c r="AT4" s="1195"/>
      <c r="AU4" s="515">
        <v>28425538.760000002</v>
      </c>
      <c r="AV4" s="515">
        <f t="shared" ref="AV4:AV15" si="5">(AU3+AU4)/2</f>
        <v>22564012.015000001</v>
      </c>
      <c r="AW4" s="515">
        <f>'G-1.03 WC'!BE16</f>
        <v>-326.27</v>
      </c>
      <c r="AX4" s="1194">
        <f>0.01769/12</f>
        <v>1.4741666666666668E-3</v>
      </c>
      <c r="AY4" s="515">
        <f t="shared" si="1"/>
        <v>221325.04239683432</v>
      </c>
      <c r="AZ4" s="515">
        <f t="shared" ref="AZ4:AZ15" si="6">(AY3+AY4)/2</f>
        <v>1421977.0808149539</v>
      </c>
      <c r="BD4" s="3779" t="s">
        <v>917</v>
      </c>
      <c r="BE4" s="3779"/>
      <c r="BF4" s="3779"/>
      <c r="BG4" s="3779"/>
      <c r="BH4" s="3779"/>
      <c r="BI4" s="3779"/>
      <c r="BJ4" s="3779"/>
    </row>
    <row r="5" spans="1:62" ht="18.75">
      <c r="L5" s="531"/>
      <c r="M5" s="531"/>
      <c r="N5" s="1189"/>
      <c r="O5" s="1189"/>
      <c r="P5" s="1189"/>
      <c r="Q5" s="1189"/>
      <c r="R5" s="1189"/>
      <c r="S5" s="1189"/>
      <c r="T5" s="1189"/>
      <c r="U5" s="1189"/>
      <c r="V5" s="1189"/>
      <c r="W5" s="1189"/>
      <c r="X5" s="1189"/>
      <c r="Y5" s="1189"/>
      <c r="Z5" s="1189"/>
      <c r="AA5" s="1189"/>
      <c r="AB5" s="1189"/>
      <c r="AC5" s="1189"/>
      <c r="AD5" s="1189"/>
      <c r="AE5" s="1190"/>
      <c r="AF5" s="1190"/>
      <c r="AG5" s="1190"/>
      <c r="AH5" s="1190"/>
      <c r="AI5" s="1191"/>
      <c r="AM5" s="477">
        <f t="shared" si="2"/>
        <v>202208</v>
      </c>
      <c r="AN5" s="515">
        <v>7306800.7000000002</v>
      </c>
      <c r="AO5" s="515">
        <f t="shared" si="3"/>
        <v>7552177.585</v>
      </c>
      <c r="AP5" s="515">
        <f>'G-1.03 WC'!BJ17</f>
        <v>5056.6399999999976</v>
      </c>
      <c r="AQ5" s="1194">
        <f>0.0202/12</f>
        <v>1.6833333333333333E-3</v>
      </c>
      <c r="AR5" s="515">
        <f t="shared" si="0"/>
        <v>3003944.5544554442</v>
      </c>
      <c r="AS5" s="515">
        <f t="shared" si="4"/>
        <v>2922043.3883388331</v>
      </c>
      <c r="AT5" s="1195"/>
      <c r="AU5" s="515">
        <v>22214690.09</v>
      </c>
      <c r="AV5" s="515">
        <f t="shared" si="5"/>
        <v>25320114.425000001</v>
      </c>
      <c r="AW5" s="515">
        <f>'G-1.03 WC'!BE17</f>
        <v>-2024.89</v>
      </c>
      <c r="AX5" s="1194">
        <f>0.02711/12</f>
        <v>2.2591666666666667E-3</v>
      </c>
      <c r="AY5" s="515">
        <f t="shared" si="1"/>
        <v>896299.52047215053</v>
      </c>
      <c r="AZ5" s="515">
        <f t="shared" si="6"/>
        <v>558812.28143449244</v>
      </c>
      <c r="BD5" s="3780" t="s">
        <v>918</v>
      </c>
      <c r="BE5" s="3780"/>
      <c r="BF5" s="3780"/>
      <c r="BG5" s="3780"/>
      <c r="BH5" s="3780"/>
      <c r="BI5" s="3780"/>
      <c r="BJ5" s="3780"/>
    </row>
    <row r="6" spans="1:62" ht="13.5" thickBot="1">
      <c r="K6" s="182"/>
      <c r="M6" s="182"/>
      <c r="N6" s="1189"/>
      <c r="O6" s="1189"/>
      <c r="P6" s="1189"/>
      <c r="Q6" s="1189"/>
      <c r="R6" s="1189"/>
      <c r="S6" s="1189"/>
      <c r="T6" s="1189"/>
      <c r="U6" s="1189"/>
      <c r="V6" s="1189"/>
      <c r="W6" s="1189"/>
      <c r="X6" s="1189"/>
      <c r="Y6" s="1189"/>
      <c r="Z6" s="1189"/>
      <c r="AA6" s="1189"/>
      <c r="AB6" s="1189"/>
      <c r="AC6" s="1189"/>
      <c r="AD6" s="1189"/>
      <c r="AE6" s="1190"/>
      <c r="AF6" s="1190"/>
      <c r="AG6" s="1190"/>
      <c r="AH6" s="1190"/>
      <c r="AI6" s="1191"/>
      <c r="AM6" s="477">
        <f t="shared" si="2"/>
        <v>202209</v>
      </c>
      <c r="AN6" s="515">
        <v>23741691.539999999</v>
      </c>
      <c r="AO6" s="515">
        <f t="shared" si="3"/>
        <v>15524246.119999999</v>
      </c>
      <c r="AP6" s="515">
        <f>'G-1.03 WC'!BJ18</f>
        <v>3738.6200000000026</v>
      </c>
      <c r="AQ6" s="1194">
        <f>0.0223/12</f>
        <v>1.8583333333333334E-3</v>
      </c>
      <c r="AR6" s="515">
        <f t="shared" si="0"/>
        <v>2011813.4529147996</v>
      </c>
      <c r="AS6" s="515">
        <f t="shared" si="4"/>
        <v>2507879.0036851219</v>
      </c>
      <c r="AT6" s="1195"/>
      <c r="AU6" s="515">
        <v>36187104.869999997</v>
      </c>
      <c r="AV6" s="515">
        <f t="shared" si="5"/>
        <v>29200897.479999997</v>
      </c>
      <c r="AW6" s="515">
        <f>'G-1.03 WC'!BE18</f>
        <v>-3379.12</v>
      </c>
      <c r="AX6" s="1194">
        <f>0.03121/12</f>
        <v>2.6008333333333335E-3</v>
      </c>
      <c r="AY6" s="515">
        <f t="shared" si="1"/>
        <v>1299245.1137455942</v>
      </c>
      <c r="AZ6" s="515">
        <f t="shared" si="6"/>
        <v>1097772.3171088723</v>
      </c>
    </row>
    <row r="7" spans="1:62" ht="15.75" thickBot="1">
      <c r="I7" s="1197" t="s">
        <v>919</v>
      </c>
      <c r="L7" s="1198">
        <v>31845434.367671866</v>
      </c>
      <c r="N7" s="1189"/>
      <c r="O7" s="1189"/>
      <c r="P7" s="1189"/>
      <c r="Q7" s="1189"/>
      <c r="R7" s="1189"/>
      <c r="S7" s="1189"/>
      <c r="T7" s="1189"/>
      <c r="U7" s="1189"/>
      <c r="V7" s="1189"/>
      <c r="W7" s="1189"/>
      <c r="X7" s="1189"/>
      <c r="Y7" s="1189"/>
      <c r="Z7" s="1189"/>
      <c r="AA7" s="1189"/>
      <c r="AB7" s="1189"/>
      <c r="AC7" s="1189"/>
      <c r="AD7" s="1189"/>
      <c r="AE7" s="1190"/>
      <c r="AF7" s="1190"/>
      <c r="AG7" s="1190"/>
      <c r="AH7" s="1190"/>
      <c r="AI7" s="1191"/>
      <c r="AM7" s="477">
        <f t="shared" si="2"/>
        <v>202210</v>
      </c>
      <c r="AN7" s="515">
        <v>25704633.199999999</v>
      </c>
      <c r="AO7" s="515">
        <f t="shared" si="3"/>
        <v>24723162.369999997</v>
      </c>
      <c r="AP7" s="515">
        <f>'G-1.03 WC'!BJ19</f>
        <v>7364.7099999999991</v>
      </c>
      <c r="AQ7" s="1194">
        <f>0.027/12</f>
        <v>2.2499999999999998E-3</v>
      </c>
      <c r="AR7" s="515">
        <f t="shared" si="0"/>
        <v>3273204.4444444445</v>
      </c>
      <c r="AS7" s="515">
        <f t="shared" si="4"/>
        <v>2642508.9486796223</v>
      </c>
      <c r="AT7" s="1195"/>
      <c r="AU7" s="515">
        <v>33657608.039999999</v>
      </c>
      <c r="AV7" s="515">
        <f t="shared" si="5"/>
        <v>34922356.454999998</v>
      </c>
      <c r="AW7" s="515">
        <f>'G-1.03 WC'!BE19</f>
        <v>-1162.3</v>
      </c>
      <c r="AX7" s="1194">
        <f>0.03429/12</f>
        <v>2.8575000000000002E-3</v>
      </c>
      <c r="AY7" s="515">
        <f t="shared" si="1"/>
        <v>406754.15573053365</v>
      </c>
      <c r="AZ7" s="515">
        <f t="shared" si="6"/>
        <v>852999.63473806391</v>
      </c>
      <c r="BE7" s="1200" t="s">
        <v>920</v>
      </c>
      <c r="BF7" s="1201"/>
      <c r="BG7" s="3781" t="s">
        <v>921</v>
      </c>
      <c r="BH7" s="3782"/>
      <c r="BI7" s="3782"/>
      <c r="BJ7" s="3783"/>
    </row>
    <row r="8" spans="1:62">
      <c r="J8" s="1197"/>
      <c r="L8" s="531"/>
      <c r="M8" s="1191"/>
      <c r="N8" s="1189"/>
      <c r="O8" s="1189"/>
      <c r="P8" s="1189"/>
      <c r="Q8" s="1189"/>
      <c r="R8" s="1189"/>
      <c r="S8" s="1189"/>
      <c r="T8" s="1189"/>
      <c r="U8" s="1189"/>
      <c r="V8" s="1189"/>
      <c r="W8" s="1189"/>
      <c r="X8" s="1189"/>
      <c r="Y8" s="1189"/>
      <c r="Z8" s="1189"/>
      <c r="AA8" s="1189"/>
      <c r="AB8" s="1189"/>
      <c r="AC8" s="1189"/>
      <c r="AD8" s="1189"/>
      <c r="AE8" s="1190"/>
      <c r="AF8" s="1190"/>
      <c r="AG8" s="1190"/>
      <c r="AH8" s="1190"/>
      <c r="AI8" s="1191"/>
      <c r="AM8" s="477">
        <f t="shared" si="2"/>
        <v>202211</v>
      </c>
      <c r="AN8" s="515">
        <v>42584801.649999999</v>
      </c>
      <c r="AO8" s="515">
        <f t="shared" si="3"/>
        <v>34144717.424999997</v>
      </c>
      <c r="AP8" s="515">
        <f>'G-1.03 WC'!BJ20</f>
        <v>9351.9600000000064</v>
      </c>
      <c r="AQ8" s="1194">
        <f>0.0355/12</f>
        <v>2.9583333333333332E-3</v>
      </c>
      <c r="AR8" s="515">
        <f t="shared" si="0"/>
        <v>3161225.9154929603</v>
      </c>
      <c r="AS8" s="515">
        <f t="shared" si="4"/>
        <v>3217215.1799687026</v>
      </c>
      <c r="AT8" s="1195"/>
      <c r="AU8" s="515">
        <v>44015728.090000004</v>
      </c>
      <c r="AV8" s="515">
        <f t="shared" si="5"/>
        <v>38836668.064999998</v>
      </c>
      <c r="AW8" s="515">
        <f>'G-1.03 WC'!BE20</f>
        <v>-3337.85</v>
      </c>
      <c r="AX8" s="1194">
        <f>0.04218/12</f>
        <v>3.5150000000000003E-3</v>
      </c>
      <c r="AY8" s="515">
        <f t="shared" si="1"/>
        <v>949601.70697012788</v>
      </c>
      <c r="AZ8" s="515">
        <f t="shared" si="6"/>
        <v>678177.93135033082</v>
      </c>
      <c r="BE8" s="880"/>
      <c r="BF8" s="880"/>
      <c r="BG8" s="1202" t="s">
        <v>922</v>
      </c>
      <c r="BH8" s="880" t="s">
        <v>923</v>
      </c>
      <c r="BI8" s="880" t="s">
        <v>924</v>
      </c>
      <c r="BJ8" s="880" t="s">
        <v>925</v>
      </c>
    </row>
    <row r="9" spans="1:62" ht="45">
      <c r="A9" s="1187" t="s">
        <v>926</v>
      </c>
      <c r="B9" s="1187" t="s">
        <v>926</v>
      </c>
      <c r="C9" s="1187" t="s">
        <v>926</v>
      </c>
      <c r="D9" s="1187" t="s">
        <v>926</v>
      </c>
      <c r="E9" s="1187" t="s">
        <v>926</v>
      </c>
      <c r="F9" s="1187" t="s">
        <v>926</v>
      </c>
      <c r="G9" s="1187" t="s">
        <v>926</v>
      </c>
      <c r="H9" s="1187" t="s">
        <v>926</v>
      </c>
      <c r="I9" s="1203" t="s">
        <v>927</v>
      </c>
      <c r="J9" s="1117" t="s">
        <v>927</v>
      </c>
      <c r="N9" s="1189"/>
      <c r="O9" s="1189"/>
      <c r="P9" s="1189"/>
      <c r="Q9" s="1189"/>
      <c r="R9" s="1189"/>
      <c r="S9" s="1189"/>
      <c r="T9" s="1189"/>
      <c r="U9" s="1189"/>
      <c r="V9" s="1189"/>
      <c r="W9" s="1189"/>
      <c r="X9" s="1189"/>
      <c r="Y9" s="1189"/>
      <c r="Z9" s="1189"/>
      <c r="AA9" s="1189"/>
      <c r="AB9" s="1189"/>
      <c r="AC9" s="1189"/>
      <c r="AD9" s="1189"/>
      <c r="AE9" s="1190"/>
      <c r="AF9" s="1190"/>
      <c r="AG9" s="1190"/>
      <c r="AH9" s="1190"/>
      <c r="AI9" s="1191"/>
      <c r="AM9" s="477">
        <f t="shared" si="2"/>
        <v>202212</v>
      </c>
      <c r="AN9" s="515">
        <v>83306097.079999998</v>
      </c>
      <c r="AO9" s="515">
        <f t="shared" si="3"/>
        <v>62945449.364999995</v>
      </c>
      <c r="AP9" s="515">
        <f>'G-1.03 WC'!BJ21</f>
        <v>2717.6500000000015</v>
      </c>
      <c r="AQ9" s="1194">
        <f>0.0386/12</f>
        <v>3.2166666666666667E-3</v>
      </c>
      <c r="AR9" s="515">
        <f t="shared" si="0"/>
        <v>844865.28497409367</v>
      </c>
      <c r="AS9" s="515">
        <f t="shared" si="4"/>
        <v>2003045.6002335269</v>
      </c>
      <c r="AT9" s="1195"/>
      <c r="AU9" s="515">
        <v>88274508.079999998</v>
      </c>
      <c r="AV9" s="515">
        <f t="shared" si="5"/>
        <v>66145118.085000001</v>
      </c>
      <c r="AW9" s="515">
        <f>'G-1.03 WC'!BE21</f>
        <v>-26132.31</v>
      </c>
      <c r="AX9" s="1194">
        <f>0.04713/12</f>
        <v>3.9274999999999996E-3</v>
      </c>
      <c r="AY9" s="515">
        <f t="shared" si="1"/>
        <v>6653675.3660089122</v>
      </c>
      <c r="AZ9" s="515">
        <f t="shared" si="6"/>
        <v>3801638.5364895202</v>
      </c>
      <c r="BD9" s="1192"/>
      <c r="BE9" s="1192" t="s">
        <v>928</v>
      </c>
      <c r="BF9" s="1192"/>
      <c r="BG9" s="1204" t="s">
        <v>928</v>
      </c>
      <c r="BH9" s="1192" t="s">
        <v>929</v>
      </c>
      <c r="BI9" s="1192" t="s">
        <v>930</v>
      </c>
      <c r="BJ9" s="1192" t="s">
        <v>931</v>
      </c>
    </row>
    <row r="10" spans="1:62" ht="15">
      <c r="A10" s="1187" t="s">
        <v>24</v>
      </c>
      <c r="B10" s="1187" t="s">
        <v>932</v>
      </c>
      <c r="C10" s="1187" t="s">
        <v>933</v>
      </c>
      <c r="D10" s="1187" t="s">
        <v>934</v>
      </c>
      <c r="E10" s="1187" t="s">
        <v>935</v>
      </c>
      <c r="F10" s="1187" t="s">
        <v>935</v>
      </c>
      <c r="G10" s="1187" t="s">
        <v>935</v>
      </c>
      <c r="H10" s="1187" t="s">
        <v>935</v>
      </c>
      <c r="I10" s="1203" t="s">
        <v>936</v>
      </c>
      <c r="J10" s="1117" t="s">
        <v>937</v>
      </c>
      <c r="K10" s="1205" t="s">
        <v>24</v>
      </c>
      <c r="L10" s="1205" t="s">
        <v>938</v>
      </c>
      <c r="M10" s="1206" t="s">
        <v>933</v>
      </c>
      <c r="N10" s="1189"/>
      <c r="O10" s="1207" t="s">
        <v>729</v>
      </c>
      <c r="P10" s="1207" t="s">
        <v>939</v>
      </c>
      <c r="Q10" s="1207" t="s">
        <v>940</v>
      </c>
      <c r="R10" s="1207"/>
      <c r="S10" s="1207" t="s">
        <v>941</v>
      </c>
      <c r="T10" s="1207" t="s">
        <v>942</v>
      </c>
      <c r="U10" s="1207" t="s">
        <v>943</v>
      </c>
      <c r="V10" s="1207" t="s">
        <v>944</v>
      </c>
      <c r="W10" s="1207" t="s">
        <v>945</v>
      </c>
      <c r="X10" s="1207"/>
      <c r="Y10" s="1207" t="s">
        <v>941</v>
      </c>
      <c r="Z10" s="1207" t="s">
        <v>942</v>
      </c>
      <c r="AA10" s="1207" t="s">
        <v>943</v>
      </c>
      <c r="AB10" s="1207" t="s">
        <v>944</v>
      </c>
      <c r="AC10" s="1207" t="s">
        <v>945</v>
      </c>
      <c r="AD10" s="1189"/>
      <c r="AE10" s="1208" t="s">
        <v>941</v>
      </c>
      <c r="AF10" s="1208" t="s">
        <v>942</v>
      </c>
      <c r="AG10" s="1208" t="s">
        <v>943</v>
      </c>
      <c r="AH10" s="1208" t="s">
        <v>944</v>
      </c>
      <c r="AI10" s="1208" t="s">
        <v>945</v>
      </c>
      <c r="AM10" s="477">
        <v>202301</v>
      </c>
      <c r="AN10" s="515">
        <v>34872618.829999998</v>
      </c>
      <c r="AO10" s="515">
        <f t="shared" si="3"/>
        <v>59089357.954999998</v>
      </c>
      <c r="AP10" s="515">
        <f>'G-1.03 WC'!BJ22</f>
        <v>33499.970000000016</v>
      </c>
      <c r="AQ10" s="1194">
        <f>0.0398/12</f>
        <v>3.316666666666667E-3</v>
      </c>
      <c r="AR10" s="515">
        <f t="shared" si="0"/>
        <v>10100493.467336686</v>
      </c>
      <c r="AS10" s="515">
        <f t="shared" si="4"/>
        <v>5472679.3761553904</v>
      </c>
      <c r="AT10" s="1195"/>
      <c r="AU10" s="515">
        <v>43059022.170000002</v>
      </c>
      <c r="AV10" s="515">
        <f t="shared" si="5"/>
        <v>65666765.125</v>
      </c>
      <c r="AW10" s="515">
        <f>'G-1.03 WC'!BE22</f>
        <v>4414.0200000000004</v>
      </c>
      <c r="AX10" s="1194">
        <f>0.04373/12</f>
        <v>3.6441666666666666E-3</v>
      </c>
      <c r="AY10" s="515">
        <f t="shared" si="1"/>
        <v>1211256.3457580609</v>
      </c>
      <c r="AZ10" s="515">
        <f t="shared" si="6"/>
        <v>3932465.8558834866</v>
      </c>
      <c r="BD10" s="1209">
        <v>44562</v>
      </c>
      <c r="BE10" s="1210">
        <v>-396.93</v>
      </c>
      <c r="BF10" s="1210"/>
      <c r="BG10" s="1211">
        <f>1.61-1129.53</f>
        <v>-1127.92</v>
      </c>
      <c r="BH10" s="1212"/>
      <c r="BI10" s="1210"/>
      <c r="BJ10" s="1210">
        <f t="shared" ref="BJ10:BJ30" si="7">(BG10-BI10)</f>
        <v>-1127.92</v>
      </c>
    </row>
    <row r="11" spans="1:62">
      <c r="A11" s="1187">
        <v>318921</v>
      </c>
      <c r="B11" s="1187">
        <v>318922</v>
      </c>
      <c r="C11" s="1187">
        <v>318923</v>
      </c>
      <c r="E11" s="1187">
        <v>11556</v>
      </c>
      <c r="I11" s="890">
        <v>1</v>
      </c>
      <c r="J11" s="880" t="s">
        <v>946</v>
      </c>
      <c r="K11" s="1213">
        <v>34250118.770000003</v>
      </c>
      <c r="L11" s="1214">
        <v>-4904616.9558691466</v>
      </c>
      <c r="M11" s="1215">
        <v>29345501.814130858</v>
      </c>
      <c r="N11" s="1189"/>
      <c r="O11" s="1216">
        <v>1</v>
      </c>
      <c r="P11" s="1216"/>
      <c r="Q11" s="1216"/>
      <c r="R11" s="1216"/>
      <c r="S11" s="1217">
        <v>0.64400000000000002</v>
      </c>
      <c r="T11" s="1217">
        <v>0.35599999999999998</v>
      </c>
      <c r="U11" s="1216"/>
      <c r="V11" s="1216"/>
      <c r="W11" s="1216"/>
      <c r="X11" s="1216"/>
      <c r="Y11" s="1216">
        <f t="shared" ref="Y11:Y17" si="8">O11*S11</f>
        <v>0.64400000000000002</v>
      </c>
      <c r="Z11" s="1216">
        <f t="shared" ref="Z11:AA17" si="9">O11*T11</f>
        <v>0.35599999999999998</v>
      </c>
      <c r="AA11" s="1216">
        <f t="shared" si="9"/>
        <v>0</v>
      </c>
      <c r="AB11" s="1216">
        <f t="shared" ref="AB11:AC17" si="10">P11*V11</f>
        <v>0</v>
      </c>
      <c r="AC11" s="1216">
        <f t="shared" si="10"/>
        <v>0</v>
      </c>
      <c r="AD11" s="1218"/>
      <c r="AE11" s="1219">
        <f t="shared" ref="AE11:AE17" si="11">M11*Y11</f>
        <v>18898503.168300271</v>
      </c>
      <c r="AF11" s="1219">
        <f t="shared" ref="AF11:AF17" si="12">M11*Z11</f>
        <v>10446998.645830585</v>
      </c>
      <c r="AG11" s="1219">
        <f t="shared" ref="AG11:AG17" si="13">M11*AA11</f>
        <v>0</v>
      </c>
      <c r="AH11" s="1219">
        <f t="shared" ref="AH11:AH17" si="14">M11*AB11</f>
        <v>0</v>
      </c>
      <c r="AI11" s="1219">
        <f t="shared" ref="AI11:AI17" si="15">M11*AC11</f>
        <v>0</v>
      </c>
      <c r="AM11" s="477">
        <f>AM10+1</f>
        <v>202302</v>
      </c>
      <c r="AN11" s="515">
        <v>49273559.939999998</v>
      </c>
      <c r="AO11" s="515">
        <f t="shared" si="3"/>
        <v>42073089.384999998</v>
      </c>
      <c r="AP11" s="515">
        <f>'G-1.03 WC'!BJ23</f>
        <v>27122.520000000004</v>
      </c>
      <c r="AQ11" s="1194">
        <f>0.0434/12</f>
        <v>3.6166666666666669E-3</v>
      </c>
      <c r="AR11" s="515">
        <f t="shared" si="0"/>
        <v>7499314.2857142864</v>
      </c>
      <c r="AS11" s="515">
        <f t="shared" si="4"/>
        <v>8799903.8765254859</v>
      </c>
      <c r="AT11" s="1195"/>
      <c r="AU11" s="515">
        <v>51273189.619999997</v>
      </c>
      <c r="AV11" s="515">
        <f t="shared" si="5"/>
        <v>47166105.894999996</v>
      </c>
      <c r="AW11" s="515">
        <f>'G-1.03 WC'!BE23</f>
        <v>-3268.07</v>
      </c>
      <c r="AX11" s="1194">
        <f>0.05087/12</f>
        <v>4.2391666666666663E-3</v>
      </c>
      <c r="AY11" s="515">
        <f t="shared" si="1"/>
        <v>770922.74425004923</v>
      </c>
      <c r="AZ11" s="515">
        <f t="shared" si="6"/>
        <v>991089.54500405514</v>
      </c>
      <c r="BD11" s="1209">
        <v>44593</v>
      </c>
      <c r="BE11" s="1210">
        <v>-131.59</v>
      </c>
      <c r="BF11" s="1210"/>
      <c r="BG11" s="1211">
        <v>-855.04</v>
      </c>
      <c r="BH11" s="1212"/>
      <c r="BI11" s="1210"/>
      <c r="BJ11" s="1210">
        <f t="shared" si="7"/>
        <v>-855.04</v>
      </c>
    </row>
    <row r="12" spans="1:62">
      <c r="A12" s="1187">
        <v>391670</v>
      </c>
      <c r="B12" s="1187">
        <v>391671</v>
      </c>
      <c r="C12" s="1187">
        <v>391672</v>
      </c>
      <c r="J12" s="880" t="s">
        <v>947</v>
      </c>
      <c r="K12" s="1213">
        <v>0</v>
      </c>
      <c r="L12" s="1214">
        <v>0</v>
      </c>
      <c r="M12" s="1215">
        <v>0</v>
      </c>
      <c r="N12" s="1189"/>
      <c r="O12" s="1216">
        <v>1</v>
      </c>
      <c r="P12" s="1216"/>
      <c r="Q12" s="1216"/>
      <c r="R12" s="1216"/>
      <c r="S12" s="1216"/>
      <c r="T12" s="1216">
        <v>1</v>
      </c>
      <c r="U12" s="1216"/>
      <c r="V12" s="1216"/>
      <c r="W12" s="1216"/>
      <c r="X12" s="1216"/>
      <c r="Y12" s="1216">
        <f t="shared" si="8"/>
        <v>0</v>
      </c>
      <c r="Z12" s="1216">
        <f t="shared" si="9"/>
        <v>1</v>
      </c>
      <c r="AA12" s="1216">
        <f t="shared" si="9"/>
        <v>0</v>
      </c>
      <c r="AB12" s="1216">
        <f t="shared" si="10"/>
        <v>0</v>
      </c>
      <c r="AC12" s="1216">
        <f t="shared" si="10"/>
        <v>0</v>
      </c>
      <c r="AD12" s="1218"/>
      <c r="AE12" s="1219">
        <f t="shared" si="11"/>
        <v>0</v>
      </c>
      <c r="AF12" s="1219">
        <f t="shared" si="12"/>
        <v>0</v>
      </c>
      <c r="AG12" s="1219">
        <f t="shared" si="13"/>
        <v>0</v>
      </c>
      <c r="AH12" s="1219">
        <f t="shared" si="14"/>
        <v>0</v>
      </c>
      <c r="AI12" s="1219">
        <f t="shared" si="15"/>
        <v>0</v>
      </c>
      <c r="AM12" s="477">
        <f>AM11+1</f>
        <v>202303</v>
      </c>
      <c r="AN12" s="515">
        <v>53326320.289999999</v>
      </c>
      <c r="AO12" s="515">
        <f t="shared" si="3"/>
        <v>51299940.114999995</v>
      </c>
      <c r="AP12" s="515">
        <f>'G-1.03 WC'!BJ24</f>
        <v>26214.6</v>
      </c>
      <c r="AQ12" s="1194">
        <f>0.044/12</f>
        <v>3.6666666666666666E-3</v>
      </c>
      <c r="AR12" s="515">
        <f t="shared" si="0"/>
        <v>7149436.3636363633</v>
      </c>
      <c r="AS12" s="515">
        <f t="shared" si="4"/>
        <v>7324375.3246753253</v>
      </c>
      <c r="AT12" s="1195"/>
      <c r="AU12" s="515">
        <v>51883372.920000002</v>
      </c>
      <c r="AV12" s="515">
        <f t="shared" si="5"/>
        <v>51578281.269999996</v>
      </c>
      <c r="AW12" s="515">
        <f>'G-1.03 WC'!BE24</f>
        <v>-1174.1400000000001</v>
      </c>
      <c r="AX12" s="1194">
        <f>0.04893/12</f>
        <v>4.0775000000000004E-3</v>
      </c>
      <c r="AY12" s="515">
        <f t="shared" si="1"/>
        <v>287955.85530349478</v>
      </c>
      <c r="AZ12" s="515">
        <f t="shared" si="6"/>
        <v>529439.29977677204</v>
      </c>
      <c r="BD12" s="1209">
        <v>44621</v>
      </c>
      <c r="BE12" s="1210">
        <v>-120</v>
      </c>
      <c r="BF12" s="1210"/>
      <c r="BG12" s="1211">
        <f>29.02-222.28</f>
        <v>-193.26</v>
      </c>
      <c r="BH12" s="1212"/>
      <c r="BI12" s="1210">
        <v>152.15</v>
      </c>
      <c r="BJ12" s="1210">
        <f t="shared" si="7"/>
        <v>-345.40999999999997</v>
      </c>
    </row>
    <row r="13" spans="1:62">
      <c r="A13" s="1187">
        <v>461466</v>
      </c>
      <c r="B13" s="1187">
        <v>461467</v>
      </c>
      <c r="C13" s="1187">
        <v>461468</v>
      </c>
      <c r="J13" s="880" t="s">
        <v>948</v>
      </c>
      <c r="K13" s="1213">
        <v>5206420.4800000004</v>
      </c>
      <c r="L13" s="1214">
        <v>-745559.40483217139</v>
      </c>
      <c r="M13" s="1215">
        <v>4460861.0751678292</v>
      </c>
      <c r="N13" s="1189"/>
      <c r="O13" s="1216">
        <v>1</v>
      </c>
      <c r="P13" s="1216"/>
      <c r="Q13" s="1216"/>
      <c r="R13" s="1216"/>
      <c r="S13" s="1216">
        <v>1</v>
      </c>
      <c r="T13" s="1216"/>
      <c r="U13" s="1216"/>
      <c r="V13" s="1216"/>
      <c r="W13" s="1216"/>
      <c r="X13" s="1216"/>
      <c r="Y13" s="1216">
        <f t="shared" si="8"/>
        <v>1</v>
      </c>
      <c r="Z13" s="1216">
        <f t="shared" si="9"/>
        <v>0</v>
      </c>
      <c r="AA13" s="1216">
        <f t="shared" si="9"/>
        <v>0</v>
      </c>
      <c r="AB13" s="1216">
        <f t="shared" si="10"/>
        <v>0</v>
      </c>
      <c r="AC13" s="1216">
        <f t="shared" si="10"/>
        <v>0</v>
      </c>
      <c r="AD13" s="1218"/>
      <c r="AE13" s="1219">
        <f t="shared" si="11"/>
        <v>4460861.0751678292</v>
      </c>
      <c r="AF13" s="1219">
        <f t="shared" si="12"/>
        <v>0</v>
      </c>
      <c r="AG13" s="1219">
        <f t="shared" si="13"/>
        <v>0</v>
      </c>
      <c r="AH13" s="1219">
        <f t="shared" si="14"/>
        <v>0</v>
      </c>
      <c r="AI13" s="1219">
        <f t="shared" si="15"/>
        <v>0</v>
      </c>
      <c r="AM13" s="477">
        <f>AM12+1</f>
        <v>202304</v>
      </c>
      <c r="AN13" s="515">
        <v>40549346.049999997</v>
      </c>
      <c r="AO13" s="515">
        <f t="shared" si="3"/>
        <v>46937833.170000002</v>
      </c>
      <c r="AP13" s="515">
        <f>'G-1.03 WC'!BJ25</f>
        <v>31270.420000000006</v>
      </c>
      <c r="AQ13" s="1194">
        <f>0.0456/12</f>
        <v>3.8E-3</v>
      </c>
      <c r="AR13" s="515">
        <f t="shared" si="0"/>
        <v>8229057.8947368432</v>
      </c>
      <c r="AS13" s="515">
        <f t="shared" si="4"/>
        <v>7689247.1291866032</v>
      </c>
      <c r="AT13" s="1195"/>
      <c r="AU13" s="515">
        <v>47469856.119999997</v>
      </c>
      <c r="AV13" s="515">
        <f t="shared" si="5"/>
        <v>49676614.519999996</v>
      </c>
      <c r="AW13" s="515">
        <f>'G-1.03 WC'!BE25</f>
        <v>2429.36</v>
      </c>
      <c r="AX13" s="1194">
        <f>0.0486/12</f>
        <v>4.0499999999999998E-3</v>
      </c>
      <c r="AY13" s="515">
        <f t="shared" si="1"/>
        <v>599841.97530864202</v>
      </c>
      <c r="AZ13" s="515">
        <f t="shared" si="6"/>
        <v>443898.91530606837</v>
      </c>
      <c r="BD13" s="1209">
        <v>44652</v>
      </c>
      <c r="BE13" s="1210">
        <v>-208.83</v>
      </c>
      <c r="BF13" s="1210"/>
      <c r="BG13" s="1211">
        <f>406.27-52.71+33.01</f>
        <v>386.57</v>
      </c>
      <c r="BH13" s="1212"/>
      <c r="BI13" s="1210">
        <v>360.97</v>
      </c>
      <c r="BJ13" s="1210">
        <f t="shared" si="7"/>
        <v>25.599999999999966</v>
      </c>
    </row>
    <row r="14" spans="1:62">
      <c r="A14" s="1187">
        <v>324670</v>
      </c>
      <c r="B14" s="1187">
        <v>324671</v>
      </c>
      <c r="C14" s="1187">
        <v>324672</v>
      </c>
      <c r="E14" s="1187">
        <v>11556</v>
      </c>
      <c r="J14" s="880" t="s">
        <v>949</v>
      </c>
      <c r="K14" s="1213">
        <v>0</v>
      </c>
      <c r="L14" s="1214">
        <v>0</v>
      </c>
      <c r="M14" s="1215">
        <v>0</v>
      </c>
      <c r="N14" s="1189"/>
      <c r="O14" s="1216"/>
      <c r="P14" s="1216">
        <v>1</v>
      </c>
      <c r="Q14" s="1216"/>
      <c r="R14" s="1216"/>
      <c r="S14" s="1216"/>
      <c r="T14" s="1216"/>
      <c r="U14" s="1217">
        <v>0.6845</v>
      </c>
      <c r="V14" s="1217">
        <v>0.3155</v>
      </c>
      <c r="W14" s="1216"/>
      <c r="X14" s="1216"/>
      <c r="Y14" s="1216">
        <f t="shared" si="8"/>
        <v>0</v>
      </c>
      <c r="Z14" s="1216">
        <f t="shared" si="9"/>
        <v>0</v>
      </c>
      <c r="AA14" s="1216">
        <f t="shared" si="9"/>
        <v>0.6845</v>
      </c>
      <c r="AB14" s="1216">
        <f t="shared" si="10"/>
        <v>0.3155</v>
      </c>
      <c r="AC14" s="1216">
        <f t="shared" si="10"/>
        <v>0</v>
      </c>
      <c r="AD14" s="1218"/>
      <c r="AE14" s="1219">
        <f t="shared" si="11"/>
        <v>0</v>
      </c>
      <c r="AF14" s="1219">
        <f t="shared" si="12"/>
        <v>0</v>
      </c>
      <c r="AG14" s="1219">
        <f t="shared" si="13"/>
        <v>0</v>
      </c>
      <c r="AH14" s="1219">
        <f t="shared" si="14"/>
        <v>0</v>
      </c>
      <c r="AI14" s="1219">
        <f t="shared" si="15"/>
        <v>0</v>
      </c>
      <c r="AM14" s="477">
        <f>AM13+1</f>
        <v>202305</v>
      </c>
      <c r="AN14" s="515">
        <v>25884994.059999999</v>
      </c>
      <c r="AO14" s="515">
        <f t="shared" si="3"/>
        <v>33217170.055</v>
      </c>
      <c r="AP14" s="515">
        <f>'G-1.03 WC'!BJ26</f>
        <v>29713.979999999996</v>
      </c>
      <c r="AQ14" s="1194">
        <f>0.0481/12</f>
        <v>4.0083333333333334E-3</v>
      </c>
      <c r="AR14" s="515">
        <f t="shared" si="0"/>
        <v>7413051.1434511421</v>
      </c>
      <c r="AS14" s="515">
        <f t="shared" si="4"/>
        <v>7821054.5190939922</v>
      </c>
      <c r="AT14" s="1195"/>
      <c r="AU14" s="515">
        <v>31400310.93</v>
      </c>
      <c r="AV14" s="515">
        <f t="shared" si="5"/>
        <v>39435083.524999999</v>
      </c>
      <c r="AW14" s="515">
        <f>'G-1.03 WC'!BE26</f>
        <v>-34.369999999999997</v>
      </c>
      <c r="AX14" s="1194">
        <f>0.0525/12</f>
        <v>4.3749999999999995E-3</v>
      </c>
      <c r="AY14" s="515">
        <f t="shared" si="1"/>
        <v>7856</v>
      </c>
      <c r="AZ14" s="515">
        <f t="shared" si="6"/>
        <v>303848.98765432101</v>
      </c>
      <c r="BD14" s="1209">
        <v>44682</v>
      </c>
      <c r="BE14" s="1210">
        <v>-1991.75</v>
      </c>
      <c r="BF14" s="1210"/>
      <c r="BG14" s="1211">
        <f>23.35-366.4+4729.81</f>
        <v>4386.76</v>
      </c>
      <c r="BH14" s="1212"/>
      <c r="BI14" s="1210">
        <v>5022.63</v>
      </c>
      <c r="BJ14" s="1210">
        <f t="shared" si="7"/>
        <v>-635.86999999999989</v>
      </c>
    </row>
    <row r="15" spans="1:62">
      <c r="A15" s="1187">
        <v>319070</v>
      </c>
      <c r="B15" s="1187">
        <v>319071</v>
      </c>
      <c r="C15" s="1187">
        <v>319072</v>
      </c>
      <c r="J15" s="880" t="s">
        <v>950</v>
      </c>
      <c r="K15" s="1213">
        <v>124348.86</v>
      </c>
      <c r="L15" s="1214">
        <v>-17806.756563226911</v>
      </c>
      <c r="M15" s="1215">
        <v>106542.10343677309</v>
      </c>
      <c r="N15" s="1189"/>
      <c r="O15" s="1216"/>
      <c r="P15" s="1216">
        <v>1</v>
      </c>
      <c r="Q15" s="1216"/>
      <c r="R15" s="1216"/>
      <c r="S15" s="1216"/>
      <c r="T15" s="1216"/>
      <c r="V15" s="1216">
        <v>1</v>
      </c>
      <c r="W15" s="1216"/>
      <c r="X15" s="1216"/>
      <c r="Y15" s="1216">
        <f t="shared" si="8"/>
        <v>0</v>
      </c>
      <c r="Z15" s="1216">
        <f t="shared" si="9"/>
        <v>0</v>
      </c>
      <c r="AA15" s="1216">
        <f t="shared" si="9"/>
        <v>0</v>
      </c>
      <c r="AB15" s="1216">
        <f t="shared" si="10"/>
        <v>1</v>
      </c>
      <c r="AC15" s="1216">
        <f t="shared" si="10"/>
        <v>0</v>
      </c>
      <c r="AD15" s="1218"/>
      <c r="AE15" s="1219">
        <f t="shared" si="11"/>
        <v>0</v>
      </c>
      <c r="AF15" s="1219">
        <f t="shared" si="12"/>
        <v>0</v>
      </c>
      <c r="AG15" s="1219">
        <f t="shared" si="13"/>
        <v>0</v>
      </c>
      <c r="AH15" s="1219">
        <f t="shared" si="14"/>
        <v>106542.10343677309</v>
      </c>
      <c r="AI15" s="1219">
        <f t="shared" si="15"/>
        <v>0</v>
      </c>
      <c r="AM15" s="477">
        <f>AM14+1</f>
        <v>202306</v>
      </c>
      <c r="AN15" s="515">
        <v>22875309.609999999</v>
      </c>
      <c r="AO15" s="515">
        <f t="shared" si="3"/>
        <v>24380151.835000001</v>
      </c>
      <c r="AP15" s="515">
        <f>'G-1.03 WC'!BJ27</f>
        <v>20088.599999999999</v>
      </c>
      <c r="AQ15" s="1194">
        <f>0.0486/12</f>
        <v>4.0499999999999998E-3</v>
      </c>
      <c r="AR15" s="515">
        <f t="shared" si="0"/>
        <v>4960148.1481481483</v>
      </c>
      <c r="AS15" s="515">
        <f t="shared" si="4"/>
        <v>6186599.6457996452</v>
      </c>
      <c r="AT15" s="1195"/>
      <c r="AU15" s="515">
        <v>32102935.030000001</v>
      </c>
      <c r="AV15" s="515">
        <f t="shared" si="5"/>
        <v>31751622.98</v>
      </c>
      <c r="AW15" s="515">
        <f>'G-1.03 WC'!BE27</f>
        <v>1214.67</v>
      </c>
      <c r="AX15" s="1194">
        <f>0.05169/12</f>
        <v>4.3074999999999997E-3</v>
      </c>
      <c r="AY15" s="515">
        <f t="shared" si="1"/>
        <v>281989.55310504936</v>
      </c>
      <c r="AZ15" s="515">
        <f t="shared" si="6"/>
        <v>144922.77655252468</v>
      </c>
      <c r="BD15" s="1209">
        <v>44713</v>
      </c>
      <c r="BE15" s="1220">
        <v>-3647.64</v>
      </c>
      <c r="BF15" s="1210"/>
      <c r="BG15" s="1211">
        <f>-628.66+8883+58.67</f>
        <v>8313.01</v>
      </c>
      <c r="BH15" s="1212"/>
      <c r="BI15" s="1210">
        <v>8131.9</v>
      </c>
      <c r="BJ15" s="1220">
        <f t="shared" si="7"/>
        <v>181.11000000000058</v>
      </c>
    </row>
    <row r="16" spans="1:62" ht="13.5" thickBot="1">
      <c r="A16" s="1187">
        <v>319078</v>
      </c>
      <c r="B16" s="1187">
        <v>319079</v>
      </c>
      <c r="C16" s="1187">
        <v>319080</v>
      </c>
      <c r="J16" s="880" t="s">
        <v>951</v>
      </c>
      <c r="K16" s="1213">
        <v>3483935.41</v>
      </c>
      <c r="L16" s="1214">
        <v>-498899.54542306327</v>
      </c>
      <c r="M16" s="1215">
        <v>2985035.8645769367</v>
      </c>
      <c r="N16" s="1189"/>
      <c r="O16" s="1216"/>
      <c r="P16" s="1216"/>
      <c r="Q16" s="1216">
        <v>1</v>
      </c>
      <c r="R16" s="1216"/>
      <c r="S16" s="1216"/>
      <c r="T16" s="1216"/>
      <c r="U16" s="1216"/>
      <c r="V16" s="1216"/>
      <c r="W16" s="1216">
        <v>1</v>
      </c>
      <c r="X16" s="1216"/>
      <c r="Y16" s="1216">
        <f t="shared" si="8"/>
        <v>0</v>
      </c>
      <c r="Z16" s="1216">
        <f t="shared" si="9"/>
        <v>0</v>
      </c>
      <c r="AA16" s="1216">
        <f t="shared" si="9"/>
        <v>0</v>
      </c>
      <c r="AB16" s="1216">
        <f t="shared" si="10"/>
        <v>0</v>
      </c>
      <c r="AC16" s="1216">
        <f t="shared" si="10"/>
        <v>1</v>
      </c>
      <c r="AD16" s="1218"/>
      <c r="AE16" s="1219">
        <f t="shared" si="11"/>
        <v>0</v>
      </c>
      <c r="AF16" s="1219">
        <f t="shared" si="12"/>
        <v>0</v>
      </c>
      <c r="AG16" s="1219">
        <f t="shared" si="13"/>
        <v>0</v>
      </c>
      <c r="AH16" s="1219">
        <f t="shared" si="14"/>
        <v>0</v>
      </c>
      <c r="AI16" s="1219">
        <f t="shared" si="15"/>
        <v>2985035.8645769367</v>
      </c>
      <c r="AN16" s="515"/>
      <c r="AO16" s="1221">
        <f>SUM(AO4:AO15)/12</f>
        <v>33637729.674999997</v>
      </c>
      <c r="AP16" s="515"/>
      <c r="AQ16" s="1194"/>
      <c r="AS16" s="1221">
        <f>SUM(AS4:AS15)/12</f>
        <v>4844414.9097839044</v>
      </c>
      <c r="AT16" s="1195"/>
      <c r="AU16" s="515"/>
      <c r="AV16" s="1221">
        <f>SUM(AV4:AV15)/12</f>
        <v>41855303.319999993</v>
      </c>
      <c r="AW16" s="515"/>
      <c r="AZ16" s="1221">
        <f>SUM(AZ4:AZ15)/12</f>
        <v>1229753.5968427884</v>
      </c>
      <c r="BD16" s="1209">
        <v>44743</v>
      </c>
      <c r="BE16" s="1222">
        <v>-326.27</v>
      </c>
      <c r="BF16" s="1210"/>
      <c r="BG16" s="1211">
        <f>233.37+14597.21</f>
        <v>14830.58</v>
      </c>
      <c r="BH16" s="1212"/>
      <c r="BI16" s="1210">
        <v>11635.42</v>
      </c>
      <c r="BJ16" s="1222">
        <f t="shared" si="7"/>
        <v>3195.16</v>
      </c>
    </row>
    <row r="17" spans="1:62">
      <c r="A17" s="1187">
        <v>319270</v>
      </c>
      <c r="B17" s="1187">
        <v>319271</v>
      </c>
      <c r="C17" s="1187">
        <v>319272</v>
      </c>
      <c r="J17" s="880" t="s">
        <v>952</v>
      </c>
      <c r="K17" s="1213">
        <v>1401207.86</v>
      </c>
      <c r="L17" s="1214">
        <v>-200652.96342483666</v>
      </c>
      <c r="M17" s="1215">
        <v>1200554.8965751634</v>
      </c>
      <c r="N17" s="1189"/>
      <c r="O17" s="1216"/>
      <c r="P17" s="1216">
        <v>1</v>
      </c>
      <c r="Q17" s="1216"/>
      <c r="R17" s="1216"/>
      <c r="S17" s="1216"/>
      <c r="T17" s="1216"/>
      <c r="U17" s="1216">
        <v>1</v>
      </c>
      <c r="W17" s="1216"/>
      <c r="X17" s="1216"/>
      <c r="Y17" s="1216">
        <f t="shared" si="8"/>
        <v>0</v>
      </c>
      <c r="Z17" s="1216">
        <f t="shared" si="9"/>
        <v>0</v>
      </c>
      <c r="AA17" s="1216">
        <f t="shared" si="9"/>
        <v>1</v>
      </c>
      <c r="AB17" s="1216">
        <f t="shared" si="10"/>
        <v>0</v>
      </c>
      <c r="AC17" s="1216">
        <f t="shared" si="10"/>
        <v>0</v>
      </c>
      <c r="AD17" s="1218"/>
      <c r="AE17" s="1219">
        <f t="shared" si="11"/>
        <v>0</v>
      </c>
      <c r="AF17" s="1219">
        <f t="shared" si="12"/>
        <v>0</v>
      </c>
      <c r="AG17" s="1219">
        <f t="shared" si="13"/>
        <v>1200554.8965751634</v>
      </c>
      <c r="AH17" s="1219">
        <f t="shared" si="14"/>
        <v>0</v>
      </c>
      <c r="AI17" s="1219">
        <f t="shared" si="15"/>
        <v>0</v>
      </c>
      <c r="AN17" s="515"/>
      <c r="AO17" s="515"/>
      <c r="AP17" s="515"/>
      <c r="AQ17" s="1194"/>
      <c r="AT17" s="1195"/>
      <c r="AU17" s="515"/>
      <c r="AV17" s="515"/>
      <c r="AW17" s="515"/>
      <c r="BD17" s="1209">
        <v>44774</v>
      </c>
      <c r="BE17" s="1222">
        <v>-2024.89</v>
      </c>
      <c r="BF17" s="1210"/>
      <c r="BG17" s="1211">
        <f>22065.05+78.93-786.06</f>
        <v>21357.919999999998</v>
      </c>
      <c r="BH17" s="1212"/>
      <c r="BI17" s="1210">
        <v>16301.28</v>
      </c>
      <c r="BJ17" s="1222">
        <f t="shared" si="7"/>
        <v>5056.6399999999976</v>
      </c>
    </row>
    <row r="18" spans="1:62">
      <c r="I18" s="1203" t="s">
        <v>953</v>
      </c>
      <c r="K18" s="1223">
        <f>SUM(K11:K17)</f>
        <v>44466031.379999995</v>
      </c>
      <c r="L18" s="1223">
        <f>SUM(L11:L17)</f>
        <v>-6367535.6261124443</v>
      </c>
      <c r="M18" s="1223">
        <f>SUM(M11:M17)</f>
        <v>38098495.753887556</v>
      </c>
      <c r="N18" s="1189"/>
      <c r="O18" s="1216"/>
      <c r="P18" s="1216"/>
      <c r="Q18" s="1216"/>
      <c r="R18" s="1216"/>
      <c r="S18" s="1216"/>
      <c r="T18" s="1216"/>
      <c r="U18" s="1216"/>
      <c r="V18" s="1216"/>
      <c r="W18" s="1216"/>
      <c r="X18" s="1216"/>
      <c r="Y18" s="1216"/>
      <c r="Z18" s="1216"/>
      <c r="AA18" s="1216"/>
      <c r="AB18" s="1216"/>
      <c r="AC18" s="1216"/>
      <c r="AD18" s="1218"/>
      <c r="AE18" s="1223">
        <f>SUM(AE11:AE17)</f>
        <v>23359364.243468098</v>
      </c>
      <c r="AF18" s="1223">
        <f>SUM(AF11:AF17)</f>
        <v>10446998.645830585</v>
      </c>
      <c r="AG18" s="1223">
        <f>SUM(AG11:AG17)</f>
        <v>1200554.8965751634</v>
      </c>
      <c r="AH18" s="1223">
        <f>SUM(AH11:AH17)</f>
        <v>106542.10343677309</v>
      </c>
      <c r="AI18" s="1223">
        <f>SUM(AI11:AI17)</f>
        <v>2985035.8645769367</v>
      </c>
      <c r="AN18" s="515"/>
      <c r="AO18" s="515"/>
      <c r="AP18" s="515"/>
      <c r="AQ18" s="1194"/>
      <c r="AT18" s="1195"/>
      <c r="AU18" s="515"/>
      <c r="AV18" s="515"/>
      <c r="AW18" s="515"/>
      <c r="BD18" s="1209">
        <v>44805</v>
      </c>
      <c r="BE18" s="1222">
        <v>-3379.12</v>
      </c>
      <c r="BF18" s="1210"/>
      <c r="BG18" s="1211">
        <f>25023.4-2872.52</f>
        <v>22150.880000000001</v>
      </c>
      <c r="BH18" s="1212"/>
      <c r="BI18" s="1210">
        <v>18412.259999999998</v>
      </c>
      <c r="BJ18" s="1222">
        <f t="shared" si="7"/>
        <v>3738.6200000000026</v>
      </c>
    </row>
    <row r="19" spans="1:62">
      <c r="K19" s="1224"/>
      <c r="L19" s="1225"/>
      <c r="M19" s="1226"/>
      <c r="N19" s="1189"/>
      <c r="O19" s="1216"/>
      <c r="P19" s="1216"/>
      <c r="Q19" s="1216"/>
      <c r="R19" s="1216"/>
      <c r="S19" s="1216"/>
      <c r="T19" s="1216"/>
      <c r="U19" s="1216"/>
      <c r="V19" s="1216"/>
      <c r="W19" s="1216"/>
      <c r="X19" s="1216"/>
      <c r="Y19" s="1216"/>
      <c r="Z19" s="1216"/>
      <c r="AA19" s="1216"/>
      <c r="AB19" s="1216"/>
      <c r="AC19" s="1216"/>
      <c r="AD19" s="1218"/>
      <c r="AE19" s="1219"/>
      <c r="AF19" s="1219"/>
      <c r="AG19" s="1219"/>
      <c r="AH19" s="1219"/>
      <c r="AI19" s="1219"/>
      <c r="AN19" s="515" t="s">
        <v>954</v>
      </c>
      <c r="AO19" s="515"/>
      <c r="AP19" s="515"/>
      <c r="AQ19" s="1194"/>
      <c r="AT19" s="1195"/>
      <c r="AU19" s="3775" t="s">
        <v>955</v>
      </c>
      <c r="AV19" s="3775"/>
      <c r="AW19" s="3775"/>
      <c r="AX19" s="3775"/>
      <c r="AY19" s="3775"/>
      <c r="AZ19" s="3775"/>
      <c r="BD19" s="1209">
        <v>44835</v>
      </c>
      <c r="BE19" s="1222">
        <v>-1162.3</v>
      </c>
      <c r="BF19" s="1210"/>
      <c r="BG19" s="1211">
        <f>29662.18-564.93</f>
        <v>29097.25</v>
      </c>
      <c r="BH19" s="1212"/>
      <c r="BI19" s="1210">
        <v>21732.54</v>
      </c>
      <c r="BJ19" s="1222">
        <f t="shared" si="7"/>
        <v>7364.7099999999991</v>
      </c>
    </row>
    <row r="20" spans="1:62">
      <c r="A20" s="1187">
        <v>319502</v>
      </c>
      <c r="B20" s="1187">
        <v>319503</v>
      </c>
      <c r="C20" s="1187">
        <v>319504</v>
      </c>
      <c r="D20" s="1187">
        <v>11299</v>
      </c>
      <c r="E20" s="1187">
        <v>11579</v>
      </c>
      <c r="I20" s="890">
        <v>2</v>
      </c>
      <c r="J20" s="880" t="s">
        <v>731</v>
      </c>
      <c r="K20" s="1213">
        <v>-36344398.759999998</v>
      </c>
      <c r="L20" s="1214">
        <v>5204517.8472578349</v>
      </c>
      <c r="M20" s="1215">
        <v>-31139880.912742164</v>
      </c>
      <c r="N20" s="1189"/>
      <c r="O20" s="1217">
        <v>0.52107524000000005</v>
      </c>
      <c r="P20" s="1217">
        <v>0.34264541999999998</v>
      </c>
      <c r="Q20" s="1217">
        <v>0.13627934</v>
      </c>
      <c r="R20" s="1216"/>
      <c r="S20" s="1217">
        <v>0.65096714</v>
      </c>
      <c r="T20" s="1217">
        <v>0.34903286</v>
      </c>
      <c r="U20" s="1217">
        <v>0.65454411000000001</v>
      </c>
      <c r="V20" s="1217">
        <v>0.34545588999999999</v>
      </c>
      <c r="W20" s="1216">
        <v>1</v>
      </c>
      <c r="X20" s="1216"/>
      <c r="Y20" s="1216">
        <f t="shared" ref="Y20:Y29" si="16">O20*S20</f>
        <v>0.33920285870761363</v>
      </c>
      <c r="Z20" s="1216">
        <f t="shared" ref="Z20:AA29" si="17">O20*T20</f>
        <v>0.18187238129238642</v>
      </c>
      <c r="AA20" s="1216">
        <f t="shared" si="17"/>
        <v>0.22427654147947618</v>
      </c>
      <c r="AB20" s="1216">
        <f t="shared" ref="AB20:AC29" si="18">P20*V20</f>
        <v>0.11836887852052379</v>
      </c>
      <c r="AC20" s="1216">
        <f t="shared" si="18"/>
        <v>0.13627934</v>
      </c>
      <c r="AD20" s="1218"/>
      <c r="AE20" s="1219">
        <f t="shared" ref="AE20:AE29" si="19">M20*Y20</f>
        <v>-10562736.625416795</v>
      </c>
      <c r="AF20" s="1219">
        <f t="shared" ref="AF20:AF29" si="20">M20*Z20</f>
        <v>-5663484.294761749</v>
      </c>
      <c r="AG20" s="1219">
        <f t="shared" ref="AG20:AG29" si="21">M20*AA20</f>
        <v>-6983944.7931925664</v>
      </c>
      <c r="AH20" s="1219">
        <f t="shared" ref="AH20:AH29" si="22">M20*AB20</f>
        <v>-3685992.7809039545</v>
      </c>
      <c r="AI20" s="1219">
        <f t="shared" ref="AI20:AI29" si="23">M20*AC20</f>
        <v>-4243722.4184670998</v>
      </c>
      <c r="AN20" s="515" t="s">
        <v>956</v>
      </c>
      <c r="AO20" s="515">
        <f>AS16</f>
        <v>4844414.9097839044</v>
      </c>
      <c r="AP20" s="515"/>
      <c r="AQ20" s="1194"/>
      <c r="AT20" s="1195"/>
      <c r="AU20" s="3775"/>
      <c r="AV20" s="3775"/>
      <c r="AW20" s="3775"/>
      <c r="AX20" s="3775"/>
      <c r="AY20" s="3775"/>
      <c r="AZ20" s="3775"/>
      <c r="BD20" s="1209">
        <v>44866</v>
      </c>
      <c r="BE20" s="1222">
        <v>-3337.85</v>
      </c>
      <c r="BF20" s="1210"/>
      <c r="BG20" s="1211">
        <f>39521.55-2989.59</f>
        <v>36531.960000000006</v>
      </c>
      <c r="BH20" s="1212"/>
      <c r="BI20" s="1210">
        <v>27180</v>
      </c>
      <c r="BJ20" s="1222">
        <f t="shared" si="7"/>
        <v>9351.9600000000064</v>
      </c>
    </row>
    <row r="21" spans="1:62">
      <c r="A21" s="1187">
        <v>319494</v>
      </c>
      <c r="B21" s="1187">
        <v>319495</v>
      </c>
      <c r="C21" s="1187">
        <v>319496</v>
      </c>
      <c r="D21" s="1187">
        <v>11540</v>
      </c>
      <c r="J21" s="880" t="s">
        <v>957</v>
      </c>
      <c r="K21" s="1213">
        <v>-103970.61</v>
      </c>
      <c r="L21" s="1214">
        <v>14888.59119416298</v>
      </c>
      <c r="M21" s="1215">
        <v>-89082.018805837026</v>
      </c>
      <c r="N21" s="1189"/>
      <c r="O21" s="1217">
        <v>0.60329138999999998</v>
      </c>
      <c r="P21" s="1217">
        <v>0.39670861000000002</v>
      </c>
      <c r="Q21" s="1216"/>
      <c r="R21" s="1216"/>
      <c r="S21" s="1216"/>
      <c r="T21" s="1216">
        <v>1</v>
      </c>
      <c r="U21" s="1216"/>
      <c r="V21" s="1216">
        <v>1</v>
      </c>
      <c r="W21" s="1216"/>
      <c r="X21" s="1216"/>
      <c r="Y21" s="1216">
        <f t="shared" si="16"/>
        <v>0</v>
      </c>
      <c r="Z21" s="1216">
        <f t="shared" si="17"/>
        <v>0.60329138999999998</v>
      </c>
      <c r="AA21" s="1216">
        <f t="shared" si="17"/>
        <v>0</v>
      </c>
      <c r="AB21" s="1216">
        <f t="shared" si="18"/>
        <v>0.39670861000000002</v>
      </c>
      <c r="AC21" s="1216">
        <f t="shared" si="18"/>
        <v>0</v>
      </c>
      <c r="AD21" s="1218"/>
      <c r="AE21" s="1219">
        <f t="shared" si="19"/>
        <v>0</v>
      </c>
      <c r="AF21" s="1219">
        <f t="shared" si="20"/>
        <v>-53742.414949379556</v>
      </c>
      <c r="AG21" s="1219">
        <f t="shared" si="21"/>
        <v>0</v>
      </c>
      <c r="AH21" s="1219">
        <f t="shared" si="22"/>
        <v>-35339.60385645747</v>
      </c>
      <c r="AI21" s="1219">
        <f t="shared" si="23"/>
        <v>0</v>
      </c>
      <c r="AN21" s="515" t="s">
        <v>314</v>
      </c>
      <c r="AO21" s="515">
        <f>AZ16</f>
        <v>1229753.5968427884</v>
      </c>
      <c r="AP21" s="515"/>
      <c r="AQ21" s="1194"/>
      <c r="AT21" s="1195"/>
      <c r="AU21" s="515"/>
      <c r="AV21" s="515"/>
      <c r="AW21" s="515"/>
      <c r="BD21" s="1209">
        <v>44896</v>
      </c>
      <c r="BE21" s="1222">
        <v>-26132.31</v>
      </c>
      <c r="BF21" s="1210"/>
      <c r="BG21" s="1211">
        <f>74240.63-19692.61</f>
        <v>54548.020000000004</v>
      </c>
      <c r="BH21" s="1212"/>
      <c r="BI21" s="1210">
        <v>51830.37</v>
      </c>
      <c r="BJ21" s="1222">
        <f t="shared" si="7"/>
        <v>2717.6500000000015</v>
      </c>
    </row>
    <row r="22" spans="1:62" ht="13.5" thickBot="1">
      <c r="A22" s="1187">
        <v>319486</v>
      </c>
      <c r="B22" s="1187">
        <v>319487</v>
      </c>
      <c r="C22" s="1187">
        <v>319488</v>
      </c>
      <c r="D22" s="1187">
        <v>11540</v>
      </c>
      <c r="J22" s="880" t="s">
        <v>958</v>
      </c>
      <c r="K22" s="1213">
        <v>-282467.96999999997</v>
      </c>
      <c r="L22" s="1214">
        <v>40449.412875187445</v>
      </c>
      <c r="M22" s="1215">
        <v>-242018.55712481253</v>
      </c>
      <c r="N22" s="1189"/>
      <c r="O22" s="1217">
        <v>0.60329138999999998</v>
      </c>
      <c r="P22" s="1217">
        <v>0.39670861000000002</v>
      </c>
      <c r="Q22" s="1216"/>
      <c r="R22" s="1216"/>
      <c r="S22" s="1216">
        <v>1</v>
      </c>
      <c r="T22" s="1216"/>
      <c r="U22" s="1216">
        <v>1</v>
      </c>
      <c r="V22" s="1216"/>
      <c r="W22" s="1216"/>
      <c r="X22" s="1216"/>
      <c r="Y22" s="1216">
        <f t="shared" si="16"/>
        <v>0.60329138999999998</v>
      </c>
      <c r="Z22" s="1216">
        <f t="shared" si="17"/>
        <v>0</v>
      </c>
      <c r="AA22" s="1216">
        <f t="shared" si="17"/>
        <v>0.39670861000000002</v>
      </c>
      <c r="AB22" s="1216">
        <f t="shared" si="18"/>
        <v>0</v>
      </c>
      <c r="AC22" s="1216">
        <f t="shared" si="18"/>
        <v>0</v>
      </c>
      <c r="AD22" s="1218"/>
      <c r="AE22" s="1219">
        <f t="shared" si="19"/>
        <v>-146007.71173362256</v>
      </c>
      <c r="AF22" s="1219">
        <f t="shared" si="20"/>
        <v>0</v>
      </c>
      <c r="AG22" s="1219">
        <f t="shared" si="21"/>
        <v>-96010.845391189985</v>
      </c>
      <c r="AH22" s="1219">
        <f t="shared" si="22"/>
        <v>0</v>
      </c>
      <c r="AI22" s="1219">
        <f t="shared" si="23"/>
        <v>0</v>
      </c>
      <c r="AN22" s="515" t="s">
        <v>959</v>
      </c>
      <c r="AO22" s="1221">
        <f>SUM(AO20:AO21)</f>
        <v>6074168.5066266926</v>
      </c>
      <c r="AP22" s="515"/>
      <c r="AQ22" s="1195"/>
      <c r="AT22" s="1195"/>
      <c r="AU22" s="515"/>
      <c r="AV22" s="515"/>
      <c r="AW22" s="515"/>
      <c r="BD22" s="1209">
        <v>44927</v>
      </c>
      <c r="BE22" s="1222">
        <v>4414.0200000000004</v>
      </c>
      <c r="BF22" s="1210"/>
      <c r="BG22" s="1211">
        <f>96054.49-1156.26+5516.33</f>
        <v>100414.56000000001</v>
      </c>
      <c r="BH22" s="1212">
        <v>10002</v>
      </c>
      <c r="BI22" s="1210">
        <v>66914.59</v>
      </c>
      <c r="BJ22" s="1222">
        <f t="shared" si="7"/>
        <v>33499.970000000016</v>
      </c>
    </row>
    <row r="23" spans="1:62" ht="13.5" thickBot="1">
      <c r="A23" s="1187">
        <v>319542</v>
      </c>
      <c r="B23" s="1187">
        <v>319543</v>
      </c>
      <c r="C23" s="1187">
        <v>319544</v>
      </c>
      <c r="E23" s="1187">
        <v>11579</v>
      </c>
      <c r="J23" s="880" t="s">
        <v>946</v>
      </c>
      <c r="K23" s="1213">
        <v>-299.54000000000002</v>
      </c>
      <c r="L23" s="1214">
        <v>42.894127545270528</v>
      </c>
      <c r="M23" s="1215">
        <v>-256.6458724547295</v>
      </c>
      <c r="N23" s="1189"/>
      <c r="O23" s="1216">
        <v>1</v>
      </c>
      <c r="P23" s="1216"/>
      <c r="Q23" s="1216"/>
      <c r="R23" s="1216"/>
      <c r="S23" s="1217">
        <v>0.65096714</v>
      </c>
      <c r="T23" s="1217">
        <v>0.34903286</v>
      </c>
      <c r="U23" s="1216"/>
      <c r="V23" s="1216"/>
      <c r="W23" s="1216"/>
      <c r="X23" s="1216"/>
      <c r="Y23" s="1216">
        <f t="shared" si="16"/>
        <v>0.65096714</v>
      </c>
      <c r="Z23" s="1216">
        <f t="shared" si="17"/>
        <v>0.34903286</v>
      </c>
      <c r="AA23" s="1216">
        <f t="shared" si="17"/>
        <v>0</v>
      </c>
      <c r="AB23" s="1216">
        <f t="shared" si="18"/>
        <v>0</v>
      </c>
      <c r="AC23" s="1216">
        <f t="shared" si="18"/>
        <v>0</v>
      </c>
      <c r="AD23" s="1218"/>
      <c r="AE23" s="1219">
        <f t="shared" si="19"/>
        <v>-167.06802958466005</v>
      </c>
      <c r="AF23" s="1219">
        <f t="shared" si="20"/>
        <v>-89.57784287006946</v>
      </c>
      <c r="AG23" s="1219">
        <f t="shared" si="21"/>
        <v>0</v>
      </c>
      <c r="AH23" s="1219">
        <f t="shared" si="22"/>
        <v>0</v>
      </c>
      <c r="AI23" s="1219">
        <f t="shared" si="23"/>
        <v>0</v>
      </c>
      <c r="AN23" s="515"/>
      <c r="AO23" s="515"/>
      <c r="AP23" s="515"/>
      <c r="AQ23" s="1195"/>
      <c r="AT23" s="1195"/>
      <c r="AU23" s="515"/>
      <c r="AV23" s="515"/>
      <c r="AW23" s="515"/>
      <c r="BD23" s="1209">
        <v>44958</v>
      </c>
      <c r="BE23" s="1222">
        <v>-3268.07</v>
      </c>
      <c r="BF23" s="1210"/>
      <c r="BG23" s="1211">
        <f>94851.8-2139.84</f>
        <v>92711.96</v>
      </c>
      <c r="BH23" s="1212">
        <v>4141.25</v>
      </c>
      <c r="BI23" s="1210">
        <v>65589.440000000002</v>
      </c>
      <c r="BJ23" s="1222">
        <f t="shared" si="7"/>
        <v>27122.520000000004</v>
      </c>
    </row>
    <row r="24" spans="1:62" ht="16.5" thickTop="1" thickBot="1">
      <c r="A24" s="1187">
        <v>410483</v>
      </c>
      <c r="B24" s="1187">
        <v>410484</v>
      </c>
      <c r="C24" s="1187">
        <v>410485</v>
      </c>
      <c r="J24" s="880" t="s">
        <v>947</v>
      </c>
      <c r="K24" s="1213">
        <v>2709163.21</v>
      </c>
      <c r="L24" s="1214">
        <v>-387952.16755923926</v>
      </c>
      <c r="M24" s="1215">
        <v>2321211.0424407609</v>
      </c>
      <c r="N24" s="1189"/>
      <c r="O24" s="1216">
        <v>1</v>
      </c>
      <c r="P24" s="1216"/>
      <c r="Q24" s="1216"/>
      <c r="R24" s="1216"/>
      <c r="S24" s="1216"/>
      <c r="T24" s="1216">
        <v>1</v>
      </c>
      <c r="U24" s="1216"/>
      <c r="V24" s="1216"/>
      <c r="W24" s="1216"/>
      <c r="X24" s="1216"/>
      <c r="Y24" s="1216">
        <f t="shared" si="16"/>
        <v>0</v>
      </c>
      <c r="Z24" s="1216">
        <f t="shared" si="17"/>
        <v>1</v>
      </c>
      <c r="AA24" s="1216">
        <f t="shared" si="17"/>
        <v>0</v>
      </c>
      <c r="AB24" s="1216">
        <f t="shared" si="18"/>
        <v>0</v>
      </c>
      <c r="AC24" s="1216">
        <f t="shared" si="18"/>
        <v>0</v>
      </c>
      <c r="AD24" s="1218"/>
      <c r="AE24" s="1219">
        <f t="shared" si="19"/>
        <v>0</v>
      </c>
      <c r="AF24" s="1219">
        <f t="shared" si="20"/>
        <v>2321211.0424407609</v>
      </c>
      <c r="AG24" s="1219">
        <f t="shared" si="21"/>
        <v>0</v>
      </c>
      <c r="AH24" s="1219">
        <f t="shared" si="22"/>
        <v>0</v>
      </c>
      <c r="AI24" s="1219">
        <f t="shared" si="23"/>
        <v>0</v>
      </c>
      <c r="AN24" s="515" t="s">
        <v>960</v>
      </c>
      <c r="AO24" s="1227">
        <f>AO22*AO30*AO33</f>
        <v>2850787.8530412717</v>
      </c>
      <c r="AP24" s="515"/>
      <c r="AQ24" s="1195"/>
      <c r="AT24" s="1195"/>
      <c r="AU24" s="515"/>
      <c r="AV24" s="515"/>
      <c r="AW24" s="515"/>
      <c r="BD24" s="1209">
        <v>44986</v>
      </c>
      <c r="BE24" s="1222">
        <v>-1174.1400000000001</v>
      </c>
      <c r="BF24" s="1210"/>
      <c r="BG24" s="1211">
        <f>1014.25+78284.67</f>
        <v>79298.92</v>
      </c>
      <c r="BH24" s="1212">
        <v>11856</v>
      </c>
      <c r="BI24" s="1210">
        <v>53084.32</v>
      </c>
      <c r="BJ24" s="1222">
        <f t="shared" si="7"/>
        <v>26214.6</v>
      </c>
    </row>
    <row r="25" spans="1:62" ht="14.25" thickTop="1" thickBot="1">
      <c r="A25" s="1187">
        <v>319534</v>
      </c>
      <c r="B25" s="1187">
        <v>319535</v>
      </c>
      <c r="C25" s="1187">
        <v>319536</v>
      </c>
      <c r="J25" s="880" t="s">
        <v>948</v>
      </c>
      <c r="K25" s="1213">
        <v>13782168.49</v>
      </c>
      <c r="L25" s="1214">
        <v>-1973606.5068453914</v>
      </c>
      <c r="M25" s="1215">
        <v>11808561.98315461</v>
      </c>
      <c r="N25" s="1189"/>
      <c r="O25" s="1216">
        <v>1</v>
      </c>
      <c r="P25" s="1216"/>
      <c r="Q25" s="1216"/>
      <c r="R25" s="1216"/>
      <c r="S25" s="1216">
        <v>1</v>
      </c>
      <c r="T25" s="1216"/>
      <c r="U25" s="1216"/>
      <c r="V25" s="1216"/>
      <c r="W25" s="1216"/>
      <c r="X25" s="1216"/>
      <c r="Y25" s="1216">
        <f t="shared" si="16"/>
        <v>1</v>
      </c>
      <c r="Z25" s="1216">
        <f t="shared" si="17"/>
        <v>0</v>
      </c>
      <c r="AA25" s="1216">
        <f t="shared" si="17"/>
        <v>0</v>
      </c>
      <c r="AB25" s="1216">
        <f t="shared" si="18"/>
        <v>0</v>
      </c>
      <c r="AC25" s="1216">
        <f t="shared" si="18"/>
        <v>0</v>
      </c>
      <c r="AD25" s="1218"/>
      <c r="AE25" s="1219">
        <f t="shared" si="19"/>
        <v>11808561.98315461</v>
      </c>
      <c r="AF25" s="1219">
        <f t="shared" si="20"/>
        <v>0</v>
      </c>
      <c r="AG25" s="1219">
        <f t="shared" si="21"/>
        <v>0</v>
      </c>
      <c r="AH25" s="1219">
        <f t="shared" si="22"/>
        <v>0</v>
      </c>
      <c r="AI25" s="1219">
        <f t="shared" si="23"/>
        <v>0</v>
      </c>
      <c r="AN25" s="515"/>
      <c r="AO25" s="515"/>
      <c r="AP25" s="515"/>
      <c r="AQ25" s="1195"/>
      <c r="AT25" s="1195"/>
      <c r="AU25" s="515"/>
      <c r="AV25" s="515"/>
      <c r="AW25" s="515"/>
      <c r="BD25" s="1209">
        <v>45017</v>
      </c>
      <c r="BE25" s="1222">
        <v>2429.36</v>
      </c>
      <c r="BF25" s="1210"/>
      <c r="BG25" s="1211">
        <f>3666.91+85846.22</f>
        <v>89513.13</v>
      </c>
      <c r="BH25" s="1212">
        <v>7798.75</v>
      </c>
      <c r="BI25" s="1210">
        <v>58242.71</v>
      </c>
      <c r="BJ25" s="1222">
        <f t="shared" si="7"/>
        <v>31270.420000000006</v>
      </c>
    </row>
    <row r="26" spans="1:62" ht="16.5" thickTop="1" thickBot="1">
      <c r="A26" s="1187">
        <v>319526</v>
      </c>
      <c r="B26" s="1187">
        <v>319527</v>
      </c>
      <c r="C26" s="1187">
        <v>319528</v>
      </c>
      <c r="D26" s="1187">
        <v>11520</v>
      </c>
      <c r="E26" s="1187">
        <v>11579</v>
      </c>
      <c r="J26" s="880" t="s">
        <v>961</v>
      </c>
      <c r="K26" s="1213">
        <v>0</v>
      </c>
      <c r="L26" s="1214">
        <v>0</v>
      </c>
      <c r="M26" s="1215">
        <v>0</v>
      </c>
      <c r="N26" s="1189"/>
      <c r="O26" s="1216"/>
      <c r="P26" s="1217">
        <v>0.71544728000000002</v>
      </c>
      <c r="Q26" s="1217">
        <v>0.28455271999999998</v>
      </c>
      <c r="R26" s="1216"/>
      <c r="S26" s="1216"/>
      <c r="T26" s="1216"/>
      <c r="U26" s="1217">
        <v>0.65454411000000001</v>
      </c>
      <c r="V26" s="1217">
        <v>0.34545588999999999</v>
      </c>
      <c r="W26" s="1216">
        <v>1</v>
      </c>
      <c r="X26" s="1216"/>
      <c r="Y26" s="1216">
        <f t="shared" si="16"/>
        <v>0</v>
      </c>
      <c r="Z26" s="1216">
        <f t="shared" si="17"/>
        <v>0</v>
      </c>
      <c r="AA26" s="1216">
        <f t="shared" si="17"/>
        <v>0.46829180313952085</v>
      </c>
      <c r="AB26" s="1216">
        <f t="shared" si="18"/>
        <v>0.2471554768604792</v>
      </c>
      <c r="AC26" s="1216">
        <f t="shared" si="18"/>
        <v>0.28455271999999998</v>
      </c>
      <c r="AD26" s="1218"/>
      <c r="AE26" s="1219">
        <f t="shared" si="19"/>
        <v>0</v>
      </c>
      <c r="AF26" s="1219">
        <f t="shared" si="20"/>
        <v>0</v>
      </c>
      <c r="AG26" s="1219">
        <f t="shared" si="21"/>
        <v>0</v>
      </c>
      <c r="AH26" s="1219">
        <f t="shared" si="22"/>
        <v>0</v>
      </c>
      <c r="AI26" s="1219">
        <f t="shared" si="23"/>
        <v>0</v>
      </c>
      <c r="AN26" s="515" t="s">
        <v>962</v>
      </c>
      <c r="AO26" s="1227">
        <f>AO22*AO31*AO35</f>
        <v>902499.34929774317</v>
      </c>
      <c r="AP26" s="515"/>
      <c r="AQ26" s="1195"/>
      <c r="AT26" s="1195"/>
      <c r="AU26" s="515"/>
      <c r="AV26" s="515"/>
      <c r="AW26" s="515"/>
      <c r="BD26" s="1209">
        <v>45047</v>
      </c>
      <c r="BE26" s="1222">
        <v>-34.369999999999997</v>
      </c>
      <c r="BF26" s="1210"/>
      <c r="BG26" s="1211">
        <f>598.93+89424.05</f>
        <v>90022.98</v>
      </c>
      <c r="BH26" s="1212">
        <v>7650.5</v>
      </c>
      <c r="BI26" s="1210">
        <v>60309</v>
      </c>
      <c r="BJ26" s="1222">
        <f t="shared" si="7"/>
        <v>29713.979999999996</v>
      </c>
    </row>
    <row r="27" spans="1:62" ht="13.5" thickTop="1">
      <c r="A27" s="1187">
        <v>319518</v>
      </c>
      <c r="B27" s="1187">
        <v>319519</v>
      </c>
      <c r="C27" s="1187">
        <v>319520</v>
      </c>
      <c r="E27" s="1187">
        <v>11579</v>
      </c>
      <c r="J27" s="880" t="s">
        <v>949</v>
      </c>
      <c r="K27" s="1213">
        <v>-14.5</v>
      </c>
      <c r="L27" s="1214">
        <v>2.0763999779876565</v>
      </c>
      <c r="M27" s="1215">
        <v>-12.423600022012344</v>
      </c>
      <c r="N27" s="1189"/>
      <c r="O27" s="1216"/>
      <c r="P27" s="1216">
        <v>1</v>
      </c>
      <c r="Q27" s="1216"/>
      <c r="R27" s="1216"/>
      <c r="S27" s="1216"/>
      <c r="T27" s="1216"/>
      <c r="U27" s="1217">
        <v>0.65454411000000001</v>
      </c>
      <c r="V27" s="1217">
        <v>0.34545588999999999</v>
      </c>
      <c r="W27" s="1216"/>
      <c r="X27" s="1216"/>
      <c r="Y27" s="1216">
        <f t="shared" si="16"/>
        <v>0</v>
      </c>
      <c r="Z27" s="1216">
        <f t="shared" si="17"/>
        <v>0</v>
      </c>
      <c r="AA27" s="1216">
        <f t="shared" si="17"/>
        <v>0.65454411000000001</v>
      </c>
      <c r="AB27" s="1216">
        <f t="shared" si="18"/>
        <v>0.34545588999999999</v>
      </c>
      <c r="AC27" s="1216">
        <f t="shared" si="18"/>
        <v>0</v>
      </c>
      <c r="AD27" s="1218"/>
      <c r="AE27" s="1219">
        <f t="shared" si="19"/>
        <v>0</v>
      </c>
      <c r="AF27" s="1219">
        <f t="shared" si="20"/>
        <v>0</v>
      </c>
      <c r="AG27" s="1219">
        <f t="shared" si="21"/>
        <v>-8.1317942194040498</v>
      </c>
      <c r="AH27" s="1219">
        <f t="shared" si="22"/>
        <v>-4.2918058026082937</v>
      </c>
      <c r="AI27" s="1219">
        <f t="shared" si="23"/>
        <v>0</v>
      </c>
      <c r="AN27" s="515"/>
      <c r="AO27" s="515"/>
      <c r="AP27" s="515"/>
      <c r="AQ27" s="1195"/>
      <c r="AT27" s="1195"/>
      <c r="AU27" s="515"/>
      <c r="AV27" s="515"/>
      <c r="AW27" s="515"/>
      <c r="BD27" s="1209">
        <v>45078</v>
      </c>
      <c r="BE27" s="1228">
        <v>1214.67</v>
      </c>
      <c r="BF27" s="1210"/>
      <c r="BG27" s="1211">
        <f>1997.29+54841.6</f>
        <v>56838.89</v>
      </c>
      <c r="BH27" s="1212">
        <v>2238.5</v>
      </c>
      <c r="BI27" s="1210">
        <v>36750.29</v>
      </c>
      <c r="BJ27" s="1228">
        <f t="shared" si="7"/>
        <v>20088.599999999999</v>
      </c>
    </row>
    <row r="28" spans="1:62">
      <c r="A28" s="1187">
        <v>410491</v>
      </c>
      <c r="B28" s="1187">
        <v>410492</v>
      </c>
      <c r="C28" s="1187">
        <v>410493</v>
      </c>
      <c r="J28" s="880" t="s">
        <v>950</v>
      </c>
      <c r="K28" s="1213">
        <v>491277.27</v>
      </c>
      <c r="L28" s="1214">
        <v>-70350.904318195593</v>
      </c>
      <c r="M28" s="1215">
        <v>420926.36568180443</v>
      </c>
      <c r="N28" s="1189"/>
      <c r="O28" s="1216"/>
      <c r="P28" s="1216">
        <v>1</v>
      </c>
      <c r="Q28" s="1216"/>
      <c r="R28" s="1216"/>
      <c r="S28" s="1216"/>
      <c r="T28" s="1216"/>
      <c r="V28" s="1216">
        <v>1</v>
      </c>
      <c r="W28" s="1216"/>
      <c r="X28" s="1216"/>
      <c r="Y28" s="1216">
        <f t="shared" si="16"/>
        <v>0</v>
      </c>
      <c r="Z28" s="1216">
        <f t="shared" si="17"/>
        <v>0</v>
      </c>
      <c r="AA28" s="1216">
        <f t="shared" si="17"/>
        <v>0</v>
      </c>
      <c r="AB28" s="1216">
        <f t="shared" si="18"/>
        <v>1</v>
      </c>
      <c r="AC28" s="1216">
        <f t="shared" si="18"/>
        <v>0</v>
      </c>
      <c r="AD28" s="1218"/>
      <c r="AE28" s="1219">
        <f t="shared" si="19"/>
        <v>0</v>
      </c>
      <c r="AF28" s="1219">
        <f t="shared" si="20"/>
        <v>0</v>
      </c>
      <c r="AG28" s="1219">
        <f t="shared" si="21"/>
        <v>0</v>
      </c>
      <c r="AH28" s="1219">
        <f t="shared" si="22"/>
        <v>420926.36568180443</v>
      </c>
      <c r="AI28" s="1219">
        <f t="shared" si="23"/>
        <v>0</v>
      </c>
      <c r="AN28" s="515"/>
      <c r="AO28" s="515"/>
      <c r="AP28" s="515"/>
      <c r="AQ28" s="1195"/>
      <c r="AT28" s="1195"/>
      <c r="AU28" s="515"/>
      <c r="AV28" s="515"/>
      <c r="AW28" s="515"/>
      <c r="BD28" s="1209">
        <v>45108</v>
      </c>
      <c r="BE28" s="1210">
        <v>2675.94</v>
      </c>
      <c r="BF28" s="1210"/>
      <c r="BG28" s="1211">
        <f>3260+41239.03</f>
        <v>44499.03</v>
      </c>
      <c r="BH28" s="1212">
        <v>8102.75</v>
      </c>
      <c r="BI28" s="1210">
        <v>27609.55</v>
      </c>
      <c r="BJ28" s="1210">
        <f t="shared" si="7"/>
        <v>16889.48</v>
      </c>
    </row>
    <row r="29" spans="1:62">
      <c r="A29" s="1187">
        <v>319558</v>
      </c>
      <c r="B29" s="1187">
        <v>319559</v>
      </c>
      <c r="C29" s="1187">
        <v>319560</v>
      </c>
      <c r="J29" s="880" t="s">
        <v>952</v>
      </c>
      <c r="K29" s="1213">
        <v>2824603.45</v>
      </c>
      <c r="L29" s="1214">
        <v>-404483.20975199027</v>
      </c>
      <c r="M29" s="1215">
        <v>2420120.24024801</v>
      </c>
      <c r="N29" s="1189"/>
      <c r="O29" s="1216"/>
      <c r="P29" s="1216">
        <v>1</v>
      </c>
      <c r="Q29" s="1216"/>
      <c r="R29" s="1216"/>
      <c r="S29" s="1216"/>
      <c r="T29" s="1216"/>
      <c r="U29" s="1216">
        <v>1</v>
      </c>
      <c r="V29" s="1216"/>
      <c r="W29" s="1216"/>
      <c r="X29" s="1216"/>
      <c r="Y29" s="1216">
        <f t="shared" si="16"/>
        <v>0</v>
      </c>
      <c r="Z29" s="1216">
        <f t="shared" si="17"/>
        <v>0</v>
      </c>
      <c r="AA29" s="1216">
        <f t="shared" si="17"/>
        <v>1</v>
      </c>
      <c r="AB29" s="1216">
        <f t="shared" si="18"/>
        <v>0</v>
      </c>
      <c r="AC29" s="1216">
        <f t="shared" si="18"/>
        <v>0</v>
      </c>
      <c r="AD29" s="1218"/>
      <c r="AE29" s="1219">
        <f t="shared" si="19"/>
        <v>0</v>
      </c>
      <c r="AF29" s="1219">
        <f t="shared" si="20"/>
        <v>0</v>
      </c>
      <c r="AG29" s="1219">
        <f t="shared" si="21"/>
        <v>2420120.24024801</v>
      </c>
      <c r="AH29" s="1219">
        <f t="shared" si="22"/>
        <v>0</v>
      </c>
      <c r="AI29" s="1219">
        <f t="shared" si="23"/>
        <v>0</v>
      </c>
      <c r="AN29" s="477" t="s">
        <v>963</v>
      </c>
      <c r="BD29" s="1209">
        <v>45139</v>
      </c>
      <c r="BE29" s="1210">
        <v>908.51</v>
      </c>
      <c r="BF29" s="1210"/>
      <c r="BG29" s="1211">
        <f>1294.8+36650.06</f>
        <v>37944.86</v>
      </c>
      <c r="BH29" s="1212">
        <v>11152.25</v>
      </c>
      <c r="BI29" s="1210">
        <v>24519.62</v>
      </c>
      <c r="BJ29" s="1210">
        <f t="shared" si="7"/>
        <v>13425.240000000002</v>
      </c>
    </row>
    <row r="30" spans="1:62">
      <c r="I30" s="1203" t="s">
        <v>964</v>
      </c>
      <c r="K30" s="1223">
        <f>SUM(K20:K29)</f>
        <v>-16923938.959999993</v>
      </c>
      <c r="L30" s="1223">
        <f>SUM(L20:L29)</f>
        <v>2423508.0333798919</v>
      </c>
      <c r="M30" s="1223">
        <f>SUM(M20:M29)</f>
        <v>-14500430.926620103</v>
      </c>
      <c r="N30" s="1189"/>
      <c r="O30" s="1216"/>
      <c r="P30" s="1216"/>
      <c r="Q30" s="1216"/>
      <c r="R30" s="1216"/>
      <c r="S30" s="1216"/>
      <c r="T30" s="1216"/>
      <c r="U30" s="1216"/>
      <c r="V30" s="1216"/>
      <c r="W30" s="1216"/>
      <c r="X30" s="1216"/>
      <c r="Y30" s="1216"/>
      <c r="Z30" s="1216"/>
      <c r="AA30" s="1216"/>
      <c r="AB30" s="1216"/>
      <c r="AC30" s="1216"/>
      <c r="AD30" s="1218"/>
      <c r="AE30" s="1223">
        <f>SUM(AE20:AE29)</f>
        <v>1099650.5779746082</v>
      </c>
      <c r="AF30" s="1223">
        <f>SUM(AF20:AF29)</f>
        <v>-3396105.2451132378</v>
      </c>
      <c r="AG30" s="1223">
        <f>SUM(AG20:AG29)</f>
        <v>-4659843.5301299654</v>
      </c>
      <c r="AH30" s="1223">
        <f>SUM(AH20:AH29)</f>
        <v>-3300410.31088441</v>
      </c>
      <c r="AI30" s="1223">
        <f>SUM(AI20:AI29)</f>
        <v>-4243722.4184670998</v>
      </c>
      <c r="AN30" s="1181" t="s">
        <v>729</v>
      </c>
      <c r="AO30" s="1130">
        <v>0.70111999999999997</v>
      </c>
      <c r="BD30" s="1209">
        <v>45170</v>
      </c>
      <c r="BE30" s="1210">
        <v>-2256.61</v>
      </c>
      <c r="BF30" s="1210"/>
      <c r="BG30" s="1211">
        <f>22470-1908.46</f>
        <v>20561.54</v>
      </c>
      <c r="BH30" s="1212">
        <v>12255.75</v>
      </c>
      <c r="BI30" s="1210">
        <v>22470.62</v>
      </c>
      <c r="BJ30" s="1210">
        <f t="shared" si="7"/>
        <v>-1909.0799999999981</v>
      </c>
    </row>
    <row r="31" spans="1:62">
      <c r="K31" s="1223"/>
      <c r="L31" s="1229"/>
      <c r="M31" s="1219"/>
      <c r="N31" s="1189"/>
      <c r="O31" s="1216"/>
      <c r="P31" s="1216"/>
      <c r="Q31" s="1216"/>
      <c r="R31" s="1216"/>
      <c r="S31" s="1216"/>
      <c r="T31" s="1216"/>
      <c r="U31" s="1216"/>
      <c r="V31" s="1216"/>
      <c r="W31" s="1216"/>
      <c r="X31" s="1216"/>
      <c r="Y31" s="1216"/>
      <c r="Z31" s="1216"/>
      <c r="AA31" s="1216"/>
      <c r="AB31" s="1216"/>
      <c r="AC31" s="1216"/>
      <c r="AD31" s="1218"/>
      <c r="AE31" s="1219"/>
      <c r="AF31" s="1219"/>
      <c r="AG31" s="1219"/>
      <c r="AH31" s="1219"/>
      <c r="AI31" s="1219"/>
      <c r="AN31" s="1181" t="s">
        <v>786</v>
      </c>
      <c r="AO31" s="1130">
        <v>0.20707999999999999</v>
      </c>
    </row>
    <row r="32" spans="1:62" ht="15">
      <c r="A32" s="1187">
        <v>319746</v>
      </c>
      <c r="B32" s="1187">
        <v>319747</v>
      </c>
      <c r="C32" s="1187">
        <v>319748</v>
      </c>
      <c r="D32" s="1187">
        <v>11305</v>
      </c>
      <c r="E32" s="1187">
        <v>11553</v>
      </c>
      <c r="I32" s="890">
        <v>4</v>
      </c>
      <c r="J32" s="880" t="s">
        <v>731</v>
      </c>
      <c r="K32" s="1213">
        <v>241249114.62</v>
      </c>
      <c r="L32" s="1214">
        <v>-34546872.847345494</v>
      </c>
      <c r="M32" s="1215">
        <v>206702241.7726545</v>
      </c>
      <c r="N32" s="1189"/>
      <c r="O32" s="1217">
        <v>0.70112000000000008</v>
      </c>
      <c r="P32" s="1217">
        <v>0.20707999999999999</v>
      </c>
      <c r="Q32" s="1217">
        <v>9.1800000000000007E-2</v>
      </c>
      <c r="R32" s="1216"/>
      <c r="S32" s="1217">
        <v>0.66942999999999997</v>
      </c>
      <c r="T32" s="1217">
        <v>0.33056999999999997</v>
      </c>
      <c r="U32" s="1217">
        <v>0.71745999999999999</v>
      </c>
      <c r="V32" s="1217">
        <v>0.28254000000000001</v>
      </c>
      <c r="W32" s="1216">
        <v>1</v>
      </c>
      <c r="X32" s="1216"/>
      <c r="Y32" s="1216">
        <f t="shared" ref="Y32:Y43" si="24">O32*S32</f>
        <v>0.46935076160000005</v>
      </c>
      <c r="Z32" s="1216">
        <f t="shared" ref="Z32:AA43" si="25">O32*T32</f>
        <v>0.23176923839999999</v>
      </c>
      <c r="AA32" s="1216">
        <f t="shared" si="25"/>
        <v>0.1485716168</v>
      </c>
      <c r="AB32" s="1216">
        <f t="shared" ref="AB32:AC43" si="26">P32*V32</f>
        <v>5.85083832E-2</v>
      </c>
      <c r="AC32" s="1216">
        <f t="shared" si="26"/>
        <v>9.1800000000000007E-2</v>
      </c>
      <c r="AD32" s="1218"/>
      <c r="AE32" s="1219">
        <f t="shared" ref="AE32:AE43" si="27">M32*Y32</f>
        <v>97015854.60042274</v>
      </c>
      <c r="AF32" s="1219">
        <f t="shared" ref="AF32:AF43" si="28">M32*Z32</f>
        <v>47907221.151220798</v>
      </c>
      <c r="AG32" s="1219">
        <f t="shared" ref="AG32:AG43" si="29">M32*AA32</f>
        <v>30710086.256347779</v>
      </c>
      <c r="AH32" s="1219">
        <f t="shared" ref="AH32:AH43" si="30">M32*AB32</f>
        <v>12093813.969933517</v>
      </c>
      <c r="AI32" s="1219">
        <f t="shared" ref="AI32:AI43" si="31">M32*AC32</f>
        <v>18975265.794729684</v>
      </c>
      <c r="AN32" s="1181" t="s">
        <v>965</v>
      </c>
      <c r="AO32" s="1130">
        <v>9.1800000000000007E-2</v>
      </c>
      <c r="BD32" s="1230" t="s">
        <v>966</v>
      </c>
    </row>
    <row r="33" spans="1:56" ht="15">
      <c r="A33" s="1187">
        <v>319738</v>
      </c>
      <c r="B33" s="1187">
        <v>319739</v>
      </c>
      <c r="C33" s="1187">
        <v>319740</v>
      </c>
      <c r="D33" s="1187">
        <v>11509</v>
      </c>
      <c r="E33" s="1187">
        <v>11553</v>
      </c>
      <c r="J33" s="880" t="s">
        <v>967</v>
      </c>
      <c r="K33" s="1213">
        <v>-77192.95</v>
      </c>
      <c r="L33" s="1214">
        <v>11054.030322813949</v>
      </c>
      <c r="M33" s="1215">
        <v>-66138.919677186044</v>
      </c>
      <c r="N33" s="1189"/>
      <c r="O33" s="1217">
        <v>0.77142999999999995</v>
      </c>
      <c r="P33" s="1217">
        <v>0.22857</v>
      </c>
      <c r="Q33" s="1216"/>
      <c r="R33" s="1216"/>
      <c r="S33" s="1217">
        <v>0.66942999999999997</v>
      </c>
      <c r="T33" s="1217">
        <v>0.33056999999999997</v>
      </c>
      <c r="U33" s="1217">
        <v>0.71745999999999999</v>
      </c>
      <c r="V33" s="1217">
        <v>0.28254000000000001</v>
      </c>
      <c r="W33" s="1216"/>
      <c r="X33" s="1216"/>
      <c r="Y33" s="1216">
        <f t="shared" si="24"/>
        <v>0.51641838489999992</v>
      </c>
      <c r="Z33" s="1216">
        <f t="shared" si="25"/>
        <v>0.25501161509999998</v>
      </c>
      <c r="AA33" s="1216">
        <f t="shared" si="25"/>
        <v>0.16398983219999999</v>
      </c>
      <c r="AB33" s="1216">
        <f t="shared" si="26"/>
        <v>6.4580167800000005E-2</v>
      </c>
      <c r="AC33" s="1216">
        <f t="shared" si="26"/>
        <v>0</v>
      </c>
      <c r="AD33" s="1218"/>
      <c r="AE33" s="1219">
        <f t="shared" si="27"/>
        <v>-34155.354078723241</v>
      </c>
      <c r="AF33" s="1219">
        <f t="shared" si="28"/>
        <v>-16866.192727848382</v>
      </c>
      <c r="AG33" s="1219">
        <f t="shared" si="29"/>
        <v>-10846.110339751018</v>
      </c>
      <c r="AH33" s="1219">
        <f t="shared" si="30"/>
        <v>-4271.2625308633969</v>
      </c>
      <c r="AI33" s="1219">
        <f t="shared" si="31"/>
        <v>0</v>
      </c>
      <c r="AN33" s="1181" t="s">
        <v>968</v>
      </c>
      <c r="AO33" s="1130">
        <v>0.6694</v>
      </c>
      <c r="BD33" s="1230" t="s">
        <v>969</v>
      </c>
    </row>
    <row r="34" spans="1:56">
      <c r="A34" s="1187">
        <v>319730</v>
      </c>
      <c r="B34" s="1187">
        <v>319731</v>
      </c>
      <c r="C34" s="1187">
        <v>319732</v>
      </c>
      <c r="D34" s="1187">
        <v>11509</v>
      </c>
      <c r="J34" s="880" t="s">
        <v>957</v>
      </c>
      <c r="K34" s="1213">
        <v>1358.72</v>
      </c>
      <c r="L34" s="1214">
        <v>-194.56870193733715</v>
      </c>
      <c r="M34" s="1215">
        <v>1164.1512980626628</v>
      </c>
      <c r="N34" s="1189"/>
      <c r="O34" s="1217">
        <v>0.77142999999999995</v>
      </c>
      <c r="P34" s="1217">
        <v>0.22857</v>
      </c>
      <c r="Q34" s="1216"/>
      <c r="R34" s="1216"/>
      <c r="S34" s="1216"/>
      <c r="T34" s="1216">
        <v>1</v>
      </c>
      <c r="U34" s="1216"/>
      <c r="V34" s="1216">
        <v>1</v>
      </c>
      <c r="W34" s="1216"/>
      <c r="X34" s="1216"/>
      <c r="Y34" s="1216">
        <f t="shared" si="24"/>
        <v>0</v>
      </c>
      <c r="Z34" s="1216">
        <f t="shared" si="25"/>
        <v>0.77142999999999995</v>
      </c>
      <c r="AA34" s="1216">
        <f t="shared" si="25"/>
        <v>0</v>
      </c>
      <c r="AB34" s="1216">
        <f t="shared" si="26"/>
        <v>0.22857</v>
      </c>
      <c r="AC34" s="1216">
        <f t="shared" si="26"/>
        <v>0</v>
      </c>
      <c r="AD34" s="1218"/>
      <c r="AE34" s="1219">
        <f t="shared" si="27"/>
        <v>0</v>
      </c>
      <c r="AF34" s="1219">
        <f t="shared" si="28"/>
        <v>898.06123586447995</v>
      </c>
      <c r="AG34" s="1219">
        <f t="shared" si="29"/>
        <v>0</v>
      </c>
      <c r="AH34" s="1219">
        <f t="shared" si="30"/>
        <v>266.09006219818281</v>
      </c>
      <c r="AI34" s="1219">
        <f t="shared" si="31"/>
        <v>0</v>
      </c>
      <c r="AN34" s="1181" t="s">
        <v>970</v>
      </c>
      <c r="AO34" s="1130">
        <v>0.3306</v>
      </c>
    </row>
    <row r="35" spans="1:56">
      <c r="A35" s="1187">
        <v>319722</v>
      </c>
      <c r="B35" s="1187">
        <v>319723</v>
      </c>
      <c r="C35" s="1187">
        <v>319724</v>
      </c>
      <c r="D35" s="1187">
        <v>11509</v>
      </c>
      <c r="J35" s="880" t="s">
        <v>958</v>
      </c>
      <c r="K35" s="1213">
        <v>-125311.9</v>
      </c>
      <c r="L35" s="1214">
        <v>17944.663889764925</v>
      </c>
      <c r="M35" s="1215">
        <v>-107367.23611023507</v>
      </c>
      <c r="N35" s="1189"/>
      <c r="O35" s="1217">
        <v>0.77142999999999995</v>
      </c>
      <c r="P35" s="1217">
        <v>0.22857</v>
      </c>
      <c r="Q35" s="1216"/>
      <c r="R35" s="1216"/>
      <c r="S35" s="1216">
        <v>1</v>
      </c>
      <c r="T35" s="1216"/>
      <c r="U35" s="1216">
        <v>1</v>
      </c>
      <c r="V35" s="1216"/>
      <c r="W35" s="1216"/>
      <c r="X35" s="1216"/>
      <c r="Y35" s="1216">
        <f t="shared" si="24"/>
        <v>0.77142999999999995</v>
      </c>
      <c r="Z35" s="1216">
        <f t="shared" si="25"/>
        <v>0</v>
      </c>
      <c r="AA35" s="1216">
        <f t="shared" si="25"/>
        <v>0.22857</v>
      </c>
      <c r="AB35" s="1216">
        <f t="shared" si="26"/>
        <v>0</v>
      </c>
      <c r="AC35" s="1216">
        <f t="shared" si="26"/>
        <v>0</v>
      </c>
      <c r="AD35" s="1218"/>
      <c r="AE35" s="1219">
        <f t="shared" si="27"/>
        <v>-82826.306952518629</v>
      </c>
      <c r="AF35" s="1219">
        <f t="shared" si="28"/>
        <v>0</v>
      </c>
      <c r="AG35" s="1219">
        <f t="shared" si="29"/>
        <v>-24540.929157716429</v>
      </c>
      <c r="AH35" s="1219">
        <f t="shared" si="30"/>
        <v>0</v>
      </c>
      <c r="AI35" s="1219">
        <f t="shared" si="31"/>
        <v>0</v>
      </c>
      <c r="AN35" s="1181" t="s">
        <v>971</v>
      </c>
      <c r="AO35" s="1130">
        <v>0.71750000000000003</v>
      </c>
    </row>
    <row r="36" spans="1:56">
      <c r="A36" s="1187">
        <v>319714</v>
      </c>
      <c r="B36" s="1187">
        <v>319715</v>
      </c>
      <c r="C36" s="1187">
        <v>319716</v>
      </c>
      <c r="E36" s="1187">
        <v>11553</v>
      </c>
      <c r="J36" s="880" t="s">
        <v>946</v>
      </c>
      <c r="K36" s="1213">
        <v>-13119616.48</v>
      </c>
      <c r="L36" s="1214">
        <v>1878729.0600192067</v>
      </c>
      <c r="M36" s="1215">
        <v>-11240887.419980794</v>
      </c>
      <c r="N36" s="1189"/>
      <c r="O36" s="1216">
        <v>1</v>
      </c>
      <c r="P36" s="1216"/>
      <c r="Q36" s="1216"/>
      <c r="R36" s="1216"/>
      <c r="S36" s="1217">
        <v>0.66942999999999997</v>
      </c>
      <c r="T36" s="1217">
        <v>0.33056999999999997</v>
      </c>
      <c r="U36" s="1216"/>
      <c r="V36" s="1216"/>
      <c r="W36" s="1216"/>
      <c r="X36" s="1216"/>
      <c r="Y36" s="1216">
        <f t="shared" si="24"/>
        <v>0.66942999999999997</v>
      </c>
      <c r="Z36" s="1216">
        <f t="shared" si="25"/>
        <v>0.33056999999999997</v>
      </c>
      <c r="AA36" s="1216">
        <f t="shared" si="25"/>
        <v>0</v>
      </c>
      <c r="AB36" s="1216">
        <f t="shared" si="26"/>
        <v>0</v>
      </c>
      <c r="AC36" s="1216">
        <f t="shared" si="26"/>
        <v>0</v>
      </c>
      <c r="AD36" s="1218"/>
      <c r="AE36" s="1219">
        <f t="shared" si="27"/>
        <v>-7524987.2655577427</v>
      </c>
      <c r="AF36" s="1219">
        <f t="shared" si="28"/>
        <v>-3715900.154423051</v>
      </c>
      <c r="AG36" s="1219">
        <f t="shared" si="29"/>
        <v>0</v>
      </c>
      <c r="AH36" s="1219">
        <f t="shared" si="30"/>
        <v>0</v>
      </c>
      <c r="AI36" s="1219">
        <f t="shared" si="31"/>
        <v>0</v>
      </c>
      <c r="AN36" s="1181" t="s">
        <v>972</v>
      </c>
      <c r="AO36" s="1130">
        <v>0.28249999999999997</v>
      </c>
    </row>
    <row r="37" spans="1:56">
      <c r="A37" s="1187">
        <v>319706</v>
      </c>
      <c r="B37" s="1187">
        <v>319707</v>
      </c>
      <c r="C37" s="1187">
        <v>319708</v>
      </c>
      <c r="J37" s="880" t="s">
        <v>947</v>
      </c>
      <c r="K37" s="1213">
        <v>2732194.01</v>
      </c>
      <c r="L37" s="1214">
        <v>-391250.17808427627</v>
      </c>
      <c r="M37" s="1215">
        <v>2340943.8319157236</v>
      </c>
      <c r="N37" s="1189"/>
      <c r="O37" s="1216">
        <v>1</v>
      </c>
      <c r="P37" s="1216"/>
      <c r="Q37" s="1216"/>
      <c r="R37" s="1216"/>
      <c r="S37" s="1216"/>
      <c r="T37" s="1216">
        <v>1</v>
      </c>
      <c r="U37" s="1216"/>
      <c r="V37" s="1216"/>
      <c r="W37" s="1216"/>
      <c r="X37" s="1216"/>
      <c r="Y37" s="1216">
        <f t="shared" si="24"/>
        <v>0</v>
      </c>
      <c r="Z37" s="1216">
        <f t="shared" si="25"/>
        <v>1</v>
      </c>
      <c r="AA37" s="1216">
        <f t="shared" si="25"/>
        <v>0</v>
      </c>
      <c r="AB37" s="1216">
        <f t="shared" si="26"/>
        <v>0</v>
      </c>
      <c r="AC37" s="1216">
        <f t="shared" si="26"/>
        <v>0</v>
      </c>
      <c r="AD37" s="1218"/>
      <c r="AE37" s="1219">
        <f t="shared" si="27"/>
        <v>0</v>
      </c>
      <c r="AF37" s="1219">
        <f t="shared" si="28"/>
        <v>2340943.8319157236</v>
      </c>
      <c r="AG37" s="1219">
        <f t="shared" si="29"/>
        <v>0</v>
      </c>
      <c r="AH37" s="1219">
        <f t="shared" si="30"/>
        <v>0</v>
      </c>
      <c r="AI37" s="1219">
        <f t="shared" si="31"/>
        <v>0</v>
      </c>
      <c r="AN37" s="1181" t="s">
        <v>973</v>
      </c>
      <c r="AO37" s="1130">
        <v>1</v>
      </c>
    </row>
    <row r="38" spans="1:56">
      <c r="A38" s="1187">
        <v>319698</v>
      </c>
      <c r="B38" s="1187">
        <v>319699</v>
      </c>
      <c r="C38" s="1187">
        <v>319700</v>
      </c>
      <c r="E38" s="1187">
        <v>11553</v>
      </c>
      <c r="J38" s="880" t="s">
        <v>974</v>
      </c>
      <c r="K38" s="1213">
        <v>4049.54</v>
      </c>
      <c r="L38" s="1214">
        <v>-579.89412185242304</v>
      </c>
      <c r="M38" s="1215">
        <v>3469.6458781475767</v>
      </c>
      <c r="N38" s="1189"/>
      <c r="O38" s="1216">
        <v>1</v>
      </c>
      <c r="P38" s="1216"/>
      <c r="Q38" s="1216"/>
      <c r="R38" s="1216"/>
      <c r="S38" s="1217">
        <v>0.66942999999999997</v>
      </c>
      <c r="T38" s="1217">
        <v>0.33056999999999997</v>
      </c>
      <c r="U38" s="1216"/>
      <c r="V38" s="1216"/>
      <c r="W38" s="1216"/>
      <c r="X38" s="1216"/>
      <c r="Y38" s="1216">
        <f t="shared" si="24"/>
        <v>0.66942999999999997</v>
      </c>
      <c r="Z38" s="1216">
        <f t="shared" si="25"/>
        <v>0.33056999999999997</v>
      </c>
      <c r="AA38" s="1216">
        <f t="shared" si="25"/>
        <v>0</v>
      </c>
      <c r="AB38" s="1216">
        <f t="shared" si="26"/>
        <v>0</v>
      </c>
      <c r="AC38" s="1216">
        <f t="shared" si="26"/>
        <v>0</v>
      </c>
      <c r="AD38" s="1218"/>
      <c r="AE38" s="1219">
        <f t="shared" si="27"/>
        <v>2322.6850402083323</v>
      </c>
      <c r="AF38" s="1219">
        <f t="shared" si="28"/>
        <v>1146.9608379392444</v>
      </c>
      <c r="AG38" s="1219">
        <f t="shared" si="29"/>
        <v>0</v>
      </c>
      <c r="AH38" s="1219">
        <f t="shared" si="30"/>
        <v>0</v>
      </c>
      <c r="AI38" s="1219">
        <f t="shared" si="31"/>
        <v>0</v>
      </c>
    </row>
    <row r="39" spans="1:56">
      <c r="A39" s="1187">
        <v>319690</v>
      </c>
      <c r="B39" s="1187">
        <v>319691</v>
      </c>
      <c r="C39" s="1187">
        <v>319692</v>
      </c>
      <c r="J39" s="880" t="s">
        <v>948</v>
      </c>
      <c r="K39" s="1213">
        <v>8568824.3499999996</v>
      </c>
      <c r="L39" s="1214">
        <v>-1227055.6339117307</v>
      </c>
      <c r="M39" s="1215">
        <v>7341768.7160882689</v>
      </c>
      <c r="N39" s="1189"/>
      <c r="O39" s="1216">
        <v>1</v>
      </c>
      <c r="P39" s="1216"/>
      <c r="Q39" s="1216"/>
      <c r="R39" s="1216"/>
      <c r="S39" s="1216">
        <v>1</v>
      </c>
      <c r="T39" s="1216"/>
      <c r="U39" s="1216"/>
      <c r="V39" s="1216"/>
      <c r="W39" s="1216"/>
      <c r="X39" s="1216"/>
      <c r="Y39" s="1216">
        <f t="shared" si="24"/>
        <v>1</v>
      </c>
      <c r="Z39" s="1216">
        <f t="shared" si="25"/>
        <v>0</v>
      </c>
      <c r="AA39" s="1216">
        <f t="shared" si="25"/>
        <v>0</v>
      </c>
      <c r="AB39" s="1216">
        <f t="shared" si="26"/>
        <v>0</v>
      </c>
      <c r="AC39" s="1216">
        <f t="shared" si="26"/>
        <v>0</v>
      </c>
      <c r="AD39" s="1218"/>
      <c r="AE39" s="1219">
        <f t="shared" si="27"/>
        <v>7341768.7160882689</v>
      </c>
      <c r="AF39" s="1219">
        <f t="shared" si="28"/>
        <v>0</v>
      </c>
      <c r="AG39" s="1219">
        <f t="shared" si="29"/>
        <v>0</v>
      </c>
      <c r="AH39" s="1219">
        <f t="shared" si="30"/>
        <v>0</v>
      </c>
      <c r="AI39" s="1219">
        <f t="shared" si="31"/>
        <v>0</v>
      </c>
    </row>
    <row r="40" spans="1:56">
      <c r="A40" s="1187">
        <v>319682</v>
      </c>
      <c r="B40" s="1187">
        <v>319683</v>
      </c>
      <c r="C40" s="1187">
        <v>319684</v>
      </c>
      <c r="D40" s="1187">
        <v>11486</v>
      </c>
      <c r="E40" s="1187">
        <v>11553</v>
      </c>
      <c r="J40" s="880" t="s">
        <v>961</v>
      </c>
      <c r="K40" s="1213">
        <v>-4000277.44</v>
      </c>
      <c r="L40" s="1214">
        <v>572839.72333520825</v>
      </c>
      <c r="M40" s="1215">
        <v>-3427437.7166647916</v>
      </c>
      <c r="N40" s="1189"/>
      <c r="O40" s="1216"/>
      <c r="P40" s="1217">
        <v>0.69035000000000002</v>
      </c>
      <c r="Q40" s="1217">
        <v>0.30964999999999998</v>
      </c>
      <c r="R40" s="1216"/>
      <c r="S40" s="1216"/>
      <c r="T40" s="1216"/>
      <c r="U40" s="1217">
        <v>0.71745999999999999</v>
      </c>
      <c r="V40" s="1217">
        <v>0.28254000000000001</v>
      </c>
      <c r="W40" s="1216">
        <v>1</v>
      </c>
      <c r="X40" s="1216"/>
      <c r="Y40" s="1216">
        <f t="shared" si="24"/>
        <v>0</v>
      </c>
      <c r="Z40" s="1216">
        <f t="shared" si="25"/>
        <v>0</v>
      </c>
      <c r="AA40" s="1216">
        <f t="shared" si="25"/>
        <v>0.495298511</v>
      </c>
      <c r="AB40" s="1216">
        <f t="shared" si="26"/>
        <v>0.19505148900000002</v>
      </c>
      <c r="AC40" s="1216">
        <f t="shared" si="26"/>
        <v>0.30964999999999998</v>
      </c>
      <c r="AD40" s="1218"/>
      <c r="AE40" s="1219">
        <f t="shared" si="27"/>
        <v>0</v>
      </c>
      <c r="AF40" s="1219">
        <f t="shared" si="28"/>
        <v>0</v>
      </c>
      <c r="AG40" s="1219">
        <f t="shared" si="29"/>
        <v>-1697604.7976093111</v>
      </c>
      <c r="AH40" s="1219">
        <f t="shared" si="30"/>
        <v>-668526.83009022777</v>
      </c>
      <c r="AI40" s="1219">
        <f t="shared" si="31"/>
        <v>-1061306.0889652527</v>
      </c>
    </row>
    <row r="41" spans="1:56">
      <c r="A41" s="1187">
        <v>319674</v>
      </c>
      <c r="B41" s="1187">
        <v>319675</v>
      </c>
      <c r="C41" s="1187">
        <v>319676</v>
      </c>
      <c r="E41" s="1187">
        <v>11553</v>
      </c>
      <c r="J41" s="880" t="s">
        <v>949</v>
      </c>
      <c r="K41" s="1213">
        <v>-4018149.27</v>
      </c>
      <c r="L41" s="1214">
        <v>575398.96936407709</v>
      </c>
      <c r="M41" s="1215">
        <v>-3442750.3006359227</v>
      </c>
      <c r="N41" s="1189"/>
      <c r="O41" s="1216"/>
      <c r="P41" s="1216">
        <v>1</v>
      </c>
      <c r="Q41" s="1216"/>
      <c r="R41" s="1216"/>
      <c r="S41" s="1216"/>
      <c r="T41" s="1216"/>
      <c r="U41" s="1217">
        <v>0.71745999999999999</v>
      </c>
      <c r="V41" s="1217">
        <v>0.28254000000000001</v>
      </c>
      <c r="W41" s="1216"/>
      <c r="X41" s="1216"/>
      <c r="Y41" s="1216">
        <f t="shared" si="24"/>
        <v>0</v>
      </c>
      <c r="Z41" s="1216">
        <f t="shared" si="25"/>
        <v>0</v>
      </c>
      <c r="AA41" s="1216">
        <f t="shared" si="25"/>
        <v>0.71745999999999999</v>
      </c>
      <c r="AB41" s="1216">
        <f t="shared" si="26"/>
        <v>0.28254000000000001</v>
      </c>
      <c r="AC41" s="1216">
        <f t="shared" si="26"/>
        <v>0</v>
      </c>
      <c r="AD41" s="1218"/>
      <c r="AE41" s="1219">
        <f t="shared" si="27"/>
        <v>0</v>
      </c>
      <c r="AF41" s="1219">
        <f t="shared" si="28"/>
        <v>0</v>
      </c>
      <c r="AG41" s="1219">
        <f t="shared" si="29"/>
        <v>-2470035.6306942492</v>
      </c>
      <c r="AH41" s="1219">
        <f t="shared" si="30"/>
        <v>-972714.66994167364</v>
      </c>
      <c r="AI41" s="1219">
        <f t="shared" si="31"/>
        <v>0</v>
      </c>
    </row>
    <row r="42" spans="1:56">
      <c r="A42" s="1187">
        <v>319774</v>
      </c>
      <c r="B42" s="1187">
        <v>319775</v>
      </c>
      <c r="C42" s="1187">
        <v>319776</v>
      </c>
      <c r="J42" s="880" t="s">
        <v>950</v>
      </c>
      <c r="K42" s="1213">
        <v>1485615.09</v>
      </c>
      <c r="L42" s="1214">
        <v>-212740.07863269866</v>
      </c>
      <c r="M42" s="1215">
        <v>1272875.0113673015</v>
      </c>
      <c r="N42" s="1189"/>
      <c r="O42" s="1216"/>
      <c r="P42" s="1216">
        <v>1</v>
      </c>
      <c r="Q42" s="1216"/>
      <c r="R42" s="1216"/>
      <c r="S42" s="1216"/>
      <c r="T42" s="1216"/>
      <c r="U42" s="1216"/>
      <c r="V42" s="1216">
        <v>1</v>
      </c>
      <c r="W42" s="1216"/>
      <c r="X42" s="1216"/>
      <c r="Y42" s="1216">
        <f t="shared" si="24"/>
        <v>0</v>
      </c>
      <c r="Z42" s="1216">
        <f t="shared" si="25"/>
        <v>0</v>
      </c>
      <c r="AA42" s="1216">
        <f t="shared" si="25"/>
        <v>0</v>
      </c>
      <c r="AB42" s="1216">
        <f t="shared" si="26"/>
        <v>1</v>
      </c>
      <c r="AC42" s="1216">
        <f t="shared" si="26"/>
        <v>0</v>
      </c>
      <c r="AD42" s="1218"/>
      <c r="AE42" s="1219">
        <f t="shared" si="27"/>
        <v>0</v>
      </c>
      <c r="AF42" s="1219">
        <f t="shared" si="28"/>
        <v>0</v>
      </c>
      <c r="AG42" s="1219">
        <f t="shared" si="29"/>
        <v>0</v>
      </c>
      <c r="AH42" s="1219">
        <f t="shared" si="30"/>
        <v>1272875.0113673015</v>
      </c>
      <c r="AI42" s="1219">
        <f t="shared" si="31"/>
        <v>0</v>
      </c>
    </row>
    <row r="43" spans="1:56">
      <c r="A43" s="1187">
        <v>319766</v>
      </c>
      <c r="B43" s="1187">
        <v>319767</v>
      </c>
      <c r="C43" s="1187">
        <v>319768</v>
      </c>
      <c r="J43" s="880" t="s">
        <v>952</v>
      </c>
      <c r="K43" s="1213">
        <v>-4008258.92</v>
      </c>
      <c r="L43" s="1214">
        <v>573982.67125909158</v>
      </c>
      <c r="M43" s="1215">
        <v>-3434276.2487409082</v>
      </c>
      <c r="N43" s="1189"/>
      <c r="O43" s="1216"/>
      <c r="P43" s="1216">
        <v>1</v>
      </c>
      <c r="Q43" s="1216"/>
      <c r="R43" s="1216"/>
      <c r="S43" s="1216"/>
      <c r="T43" s="1216"/>
      <c r="U43" s="1216">
        <v>1</v>
      </c>
      <c r="V43" s="1216"/>
      <c r="W43" s="1216"/>
      <c r="X43" s="1216"/>
      <c r="Y43" s="1216">
        <f t="shared" si="24"/>
        <v>0</v>
      </c>
      <c r="Z43" s="1216">
        <f t="shared" si="25"/>
        <v>0</v>
      </c>
      <c r="AA43" s="1216">
        <f t="shared" si="25"/>
        <v>1</v>
      </c>
      <c r="AB43" s="1216">
        <f t="shared" si="26"/>
        <v>0</v>
      </c>
      <c r="AC43" s="1216">
        <f t="shared" si="26"/>
        <v>0</v>
      </c>
      <c r="AD43" s="1218"/>
      <c r="AE43" s="1219">
        <f t="shared" si="27"/>
        <v>0</v>
      </c>
      <c r="AF43" s="1219">
        <f t="shared" si="28"/>
        <v>0</v>
      </c>
      <c r="AG43" s="1219">
        <f t="shared" si="29"/>
        <v>-3434276.2487409082</v>
      </c>
      <c r="AH43" s="1219">
        <f t="shared" si="30"/>
        <v>0</v>
      </c>
      <c r="AI43" s="1219">
        <f t="shared" si="31"/>
        <v>0</v>
      </c>
    </row>
    <row r="44" spans="1:56">
      <c r="I44" s="1203" t="s">
        <v>975</v>
      </c>
      <c r="K44" s="1223">
        <f>SUM(K32:K43)</f>
        <v>228692349.37</v>
      </c>
      <c r="L44" s="1223">
        <f>SUM(L32:L43)</f>
        <v>-32748744.082607828</v>
      </c>
      <c r="M44" s="1223">
        <f>SUM(M32:M43)</f>
        <v>195943605.28739214</v>
      </c>
      <c r="N44" s="1189"/>
      <c r="O44" s="1216"/>
      <c r="P44" s="1216"/>
      <c r="Q44" s="1216"/>
      <c r="R44" s="1216"/>
      <c r="S44" s="1216"/>
      <c r="T44" s="1216"/>
      <c r="U44" s="1216"/>
      <c r="V44" s="1216"/>
      <c r="W44" s="1216"/>
      <c r="X44" s="1216"/>
      <c r="Y44" s="1216"/>
      <c r="Z44" s="1216"/>
      <c r="AA44" s="1216"/>
      <c r="AB44" s="1216"/>
      <c r="AC44" s="1216"/>
      <c r="AD44" s="1218"/>
      <c r="AE44" s="1223">
        <f>SUM(AE32:AE43)</f>
        <v>96717977.074962229</v>
      </c>
      <c r="AF44" s="1223">
        <f>SUM(AF32:AF43)</f>
        <v>46517443.658059426</v>
      </c>
      <c r="AG44" s="1223">
        <f>SUM(AG32:AG43)</f>
        <v>23072782.539805848</v>
      </c>
      <c r="AH44" s="1223">
        <f>SUM(AH32:AH43)</f>
        <v>11721442.30880025</v>
      </c>
      <c r="AI44" s="1223">
        <f>SUM(AI32:AI43)</f>
        <v>17913959.705764432</v>
      </c>
    </row>
    <row r="45" spans="1:56">
      <c r="K45" s="1223"/>
      <c r="L45" s="1229"/>
      <c r="M45" s="1219"/>
      <c r="N45" s="1189"/>
      <c r="O45" s="1231" t="s">
        <v>946</v>
      </c>
      <c r="P45" s="1231" t="s">
        <v>947</v>
      </c>
      <c r="Q45" s="1231" t="s">
        <v>948</v>
      </c>
      <c r="R45" s="1216"/>
      <c r="S45" s="1216"/>
      <c r="T45" s="1216"/>
      <c r="U45" s="1216"/>
      <c r="V45" s="1216"/>
      <c r="W45" s="1216"/>
      <c r="X45" s="1216"/>
      <c r="Y45" s="1216"/>
      <c r="Z45" s="1216"/>
      <c r="AA45" s="1216"/>
      <c r="AB45" s="1216"/>
      <c r="AC45" s="1216"/>
      <c r="AD45" s="1218"/>
      <c r="AE45" s="1219"/>
      <c r="AF45" s="1219"/>
      <c r="AG45" s="1219"/>
      <c r="AH45" s="1219"/>
      <c r="AI45" s="1219"/>
    </row>
    <row r="46" spans="1:56">
      <c r="A46" s="1187">
        <v>319838</v>
      </c>
      <c r="B46" s="1187">
        <v>319839</v>
      </c>
      <c r="C46" s="1187">
        <v>319840</v>
      </c>
      <c r="E46" s="1187">
        <v>321070</v>
      </c>
      <c r="F46" s="1187">
        <v>321273</v>
      </c>
      <c r="G46" s="1187">
        <v>321266</v>
      </c>
      <c r="H46" s="1187">
        <v>321266</v>
      </c>
      <c r="I46" s="890">
        <v>20</v>
      </c>
      <c r="J46" s="880" t="s">
        <v>947</v>
      </c>
      <c r="K46" s="1213">
        <v>-4406890.4000000004</v>
      </c>
      <c r="L46" s="1214">
        <v>631066.69858993217</v>
      </c>
      <c r="M46" s="1215">
        <v>-3775823.7014100682</v>
      </c>
      <c r="N46" s="1189"/>
      <c r="O46" s="1217">
        <v>0</v>
      </c>
      <c r="P46" s="1217">
        <v>1</v>
      </c>
      <c r="Q46" s="1216"/>
      <c r="R46" s="1216"/>
      <c r="S46" s="1217">
        <v>0.64400000000000002</v>
      </c>
      <c r="T46" s="1217">
        <v>0.35599999999999998</v>
      </c>
      <c r="U46" s="1216"/>
      <c r="V46" s="1216"/>
      <c r="W46" s="1216"/>
      <c r="X46" s="1216"/>
      <c r="Y46" s="1216">
        <f>O46*S46</f>
        <v>0</v>
      </c>
      <c r="Z46" s="1216">
        <f>(O46*T46)+P46</f>
        <v>1</v>
      </c>
      <c r="AA46" s="1216">
        <f t="shared" ref="AA46:AA52" si="32">P46*U46</f>
        <v>0</v>
      </c>
      <c r="AB46" s="1216">
        <f t="shared" ref="AB46:AC52" si="33">P46*V46</f>
        <v>0</v>
      </c>
      <c r="AC46" s="1216">
        <f t="shared" si="33"/>
        <v>0</v>
      </c>
      <c r="AD46" s="1218"/>
      <c r="AE46" s="1219">
        <f t="shared" ref="AE46:AE52" si="34">M46*Y46</f>
        <v>0</v>
      </c>
      <c r="AF46" s="1219">
        <f t="shared" ref="AF46:AF52" si="35">M46*Z46</f>
        <v>-3775823.7014100682</v>
      </c>
      <c r="AG46" s="1219">
        <f t="shared" ref="AG46:AG52" si="36">M46*AA46</f>
        <v>0</v>
      </c>
      <c r="AH46" s="1219">
        <f t="shared" ref="AH46:AH52" si="37">M46*AB46</f>
        <v>0</v>
      </c>
      <c r="AI46" s="1219">
        <f t="shared" ref="AI46:AI52" si="38">M46*AC46</f>
        <v>0</v>
      </c>
    </row>
    <row r="47" spans="1:56">
      <c r="A47" s="1187">
        <v>319830</v>
      </c>
      <c r="B47" s="1187">
        <v>319831</v>
      </c>
      <c r="C47" s="1187">
        <v>319832</v>
      </c>
      <c r="G47" s="1187">
        <v>321266</v>
      </c>
      <c r="H47" s="1187">
        <v>321266</v>
      </c>
      <c r="J47" s="880" t="s">
        <v>974</v>
      </c>
      <c r="K47" s="1213">
        <v>-6235602.5999999996</v>
      </c>
      <c r="L47" s="1214">
        <v>892938.2828537774</v>
      </c>
      <c r="M47" s="1215">
        <v>-5342664.3171462221</v>
      </c>
      <c r="N47" s="1189"/>
      <c r="O47" s="1216">
        <v>1</v>
      </c>
      <c r="P47" s="1216"/>
      <c r="Q47" s="1216"/>
      <c r="R47" s="1216"/>
      <c r="S47" s="1217">
        <v>0.64400000000000002</v>
      </c>
      <c r="T47" s="1217">
        <v>0.35599999999999998</v>
      </c>
      <c r="U47" s="1216"/>
      <c r="V47" s="1216"/>
      <c r="W47" s="1216"/>
      <c r="X47" s="1216"/>
      <c r="Y47" s="1216">
        <f>O47*S47</f>
        <v>0.64400000000000002</v>
      </c>
      <c r="Z47" s="1216">
        <f t="shared" ref="Z47:Z52" si="39">O47*T47</f>
        <v>0.35599999999999998</v>
      </c>
      <c r="AA47" s="1216">
        <f t="shared" si="32"/>
        <v>0</v>
      </c>
      <c r="AB47" s="1216">
        <f t="shared" si="33"/>
        <v>0</v>
      </c>
      <c r="AC47" s="1216">
        <f t="shared" si="33"/>
        <v>0</v>
      </c>
      <c r="AD47" s="1218"/>
      <c r="AE47" s="1219">
        <f t="shared" si="34"/>
        <v>-3440675.820242167</v>
      </c>
      <c r="AF47" s="1219">
        <f t="shared" si="35"/>
        <v>-1901988.4969040549</v>
      </c>
      <c r="AG47" s="1219">
        <f t="shared" si="36"/>
        <v>0</v>
      </c>
      <c r="AH47" s="1219">
        <f t="shared" si="37"/>
        <v>0</v>
      </c>
      <c r="AI47" s="1219">
        <f t="shared" si="38"/>
        <v>0</v>
      </c>
    </row>
    <row r="48" spans="1:56">
      <c r="A48" s="1187">
        <v>319822</v>
      </c>
      <c r="B48" s="1187">
        <v>319823</v>
      </c>
      <c r="C48" s="1187">
        <v>319824</v>
      </c>
      <c r="G48" s="1187">
        <v>321266</v>
      </c>
      <c r="H48" s="1187">
        <v>321266</v>
      </c>
      <c r="J48" s="880" t="s">
        <v>976</v>
      </c>
      <c r="K48" s="1213">
        <v>377166.63</v>
      </c>
      <c r="L48" s="1214">
        <v>-54010.260843426106</v>
      </c>
      <c r="M48" s="1215">
        <v>323156.3691565739</v>
      </c>
      <c r="N48" s="1189"/>
      <c r="O48" s="1216">
        <v>1</v>
      </c>
      <c r="P48" s="1216"/>
      <c r="Q48" s="1216"/>
      <c r="R48" s="1216"/>
      <c r="S48" s="1217">
        <v>0.64400000000000002</v>
      </c>
      <c r="T48" s="1217">
        <v>0.35599999999999998</v>
      </c>
      <c r="U48" s="1216"/>
      <c r="V48" s="1216"/>
      <c r="W48" s="1216"/>
      <c r="X48" s="1216"/>
      <c r="Y48" s="1216">
        <f>O48*S48</f>
        <v>0.64400000000000002</v>
      </c>
      <c r="Z48" s="1216">
        <f t="shared" si="39"/>
        <v>0.35599999999999998</v>
      </c>
      <c r="AA48" s="1216">
        <f t="shared" si="32"/>
        <v>0</v>
      </c>
      <c r="AB48" s="1216">
        <f t="shared" si="33"/>
        <v>0</v>
      </c>
      <c r="AC48" s="1216">
        <f t="shared" si="33"/>
        <v>0</v>
      </c>
      <c r="AD48" s="1218"/>
      <c r="AE48" s="1219">
        <f t="shared" si="34"/>
        <v>208112.70173683361</v>
      </c>
      <c r="AF48" s="1219">
        <f t="shared" si="35"/>
        <v>115043.6674197403</v>
      </c>
      <c r="AG48" s="1219">
        <f t="shared" si="36"/>
        <v>0</v>
      </c>
      <c r="AH48" s="1219">
        <f t="shared" si="37"/>
        <v>0</v>
      </c>
      <c r="AI48" s="1219">
        <f t="shared" si="38"/>
        <v>0</v>
      </c>
    </row>
    <row r="49" spans="1:35">
      <c r="A49" s="1187">
        <v>319814</v>
      </c>
      <c r="B49" s="1187">
        <v>319815</v>
      </c>
      <c r="C49" s="1187">
        <v>319816</v>
      </c>
      <c r="E49" s="1187">
        <v>321068</v>
      </c>
      <c r="F49" s="1187">
        <v>321272</v>
      </c>
      <c r="G49" s="1187">
        <v>321266</v>
      </c>
      <c r="H49" s="1187">
        <v>321266</v>
      </c>
      <c r="J49" s="880" t="s">
        <v>948</v>
      </c>
      <c r="K49" s="1213">
        <v>-16774204.609999999</v>
      </c>
      <c r="L49" s="1214">
        <v>2402066.0746872029</v>
      </c>
      <c r="M49" s="1215">
        <v>-14372138.535312796</v>
      </c>
      <c r="N49" s="1189"/>
      <c r="O49" s="1217">
        <v>0</v>
      </c>
      <c r="P49" s="1216"/>
      <c r="Q49" s="1217">
        <v>1</v>
      </c>
      <c r="R49" s="1216"/>
      <c r="S49" s="1217">
        <v>0.64400000000000002</v>
      </c>
      <c r="T49" s="1217">
        <v>0.35599999999999998</v>
      </c>
      <c r="U49" s="1216"/>
      <c r="V49" s="1216"/>
      <c r="W49" s="1216"/>
      <c r="X49" s="1216"/>
      <c r="Y49" s="1216">
        <f>(O49*S49)+Q49</f>
        <v>1</v>
      </c>
      <c r="Z49" s="1216">
        <f t="shared" si="39"/>
        <v>0</v>
      </c>
      <c r="AA49" s="1216">
        <f t="shared" si="32"/>
        <v>0</v>
      </c>
      <c r="AB49" s="1216">
        <f t="shared" si="33"/>
        <v>0</v>
      </c>
      <c r="AC49" s="1216">
        <f t="shared" si="33"/>
        <v>0</v>
      </c>
      <c r="AD49" s="1218"/>
      <c r="AE49" s="1219">
        <f t="shared" si="34"/>
        <v>-14372138.535312796</v>
      </c>
      <c r="AF49" s="1219">
        <f t="shared" si="35"/>
        <v>0</v>
      </c>
      <c r="AG49" s="1219">
        <f t="shared" si="36"/>
        <v>0</v>
      </c>
      <c r="AH49" s="1219">
        <f t="shared" si="37"/>
        <v>0</v>
      </c>
      <c r="AI49" s="1219">
        <f t="shared" si="38"/>
        <v>0</v>
      </c>
    </row>
    <row r="50" spans="1:35">
      <c r="A50" s="1187">
        <v>319806</v>
      </c>
      <c r="B50" s="1187">
        <v>319807</v>
      </c>
      <c r="C50" s="1187">
        <v>319808</v>
      </c>
      <c r="J50" s="880" t="s">
        <v>950</v>
      </c>
      <c r="K50" s="1213">
        <v>-1457355.84</v>
      </c>
      <c r="L50" s="1214">
        <v>208693.35407559879</v>
      </c>
      <c r="M50" s="1215">
        <v>-1248662.4859244013</v>
      </c>
      <c r="N50" s="1189"/>
      <c r="O50" s="1216"/>
      <c r="P50" s="1216">
        <v>1</v>
      </c>
      <c r="Q50" s="1216"/>
      <c r="R50" s="1216"/>
      <c r="S50" s="1216"/>
      <c r="T50" s="1216"/>
      <c r="U50" s="1216"/>
      <c r="V50" s="1216">
        <v>1</v>
      </c>
      <c r="W50" s="1216"/>
      <c r="X50" s="1216"/>
      <c r="Y50" s="1216">
        <f>O50*S50</f>
        <v>0</v>
      </c>
      <c r="Z50" s="1216">
        <f t="shared" si="39"/>
        <v>0</v>
      </c>
      <c r="AA50" s="1216">
        <f t="shared" si="32"/>
        <v>0</v>
      </c>
      <c r="AB50" s="1216">
        <f t="shared" si="33"/>
        <v>1</v>
      </c>
      <c r="AC50" s="1216">
        <f t="shared" si="33"/>
        <v>0</v>
      </c>
      <c r="AD50" s="1218"/>
      <c r="AE50" s="1219">
        <f t="shared" si="34"/>
        <v>0</v>
      </c>
      <c r="AF50" s="1219">
        <f t="shared" si="35"/>
        <v>0</v>
      </c>
      <c r="AG50" s="1219">
        <f t="shared" si="36"/>
        <v>0</v>
      </c>
      <c r="AH50" s="1219">
        <f t="shared" si="37"/>
        <v>-1248662.4859244013</v>
      </c>
      <c r="AI50" s="1219">
        <f t="shared" si="38"/>
        <v>0</v>
      </c>
    </row>
    <row r="51" spans="1:35">
      <c r="A51" s="1187">
        <v>319798</v>
      </c>
      <c r="B51" s="1187">
        <v>319799</v>
      </c>
      <c r="C51" s="1187">
        <v>319800</v>
      </c>
      <c r="J51" s="880" t="s">
        <v>951</v>
      </c>
      <c r="K51" s="1213">
        <v>-320920.14</v>
      </c>
      <c r="L51" s="1214">
        <v>45955.763560813495</v>
      </c>
      <c r="M51" s="1215">
        <v>-274964.37643918651</v>
      </c>
      <c r="N51" s="1189"/>
      <c r="O51" s="1216"/>
      <c r="P51" s="1216"/>
      <c r="Q51" s="1216">
        <v>1</v>
      </c>
      <c r="R51" s="1216"/>
      <c r="S51" s="1216"/>
      <c r="T51" s="1216"/>
      <c r="U51" s="1216"/>
      <c r="V51" s="1216"/>
      <c r="W51" s="1216">
        <v>1</v>
      </c>
      <c r="X51" s="1216"/>
      <c r="Y51" s="1216">
        <f>O51*S51</f>
        <v>0</v>
      </c>
      <c r="Z51" s="1216">
        <f t="shared" si="39"/>
        <v>0</v>
      </c>
      <c r="AA51" s="1216">
        <f t="shared" si="32"/>
        <v>0</v>
      </c>
      <c r="AB51" s="1216">
        <f t="shared" si="33"/>
        <v>0</v>
      </c>
      <c r="AC51" s="1216">
        <f t="shared" si="33"/>
        <v>1</v>
      </c>
      <c r="AD51" s="1218"/>
      <c r="AE51" s="1219">
        <f t="shared" si="34"/>
        <v>0</v>
      </c>
      <c r="AF51" s="1219">
        <f t="shared" si="35"/>
        <v>0</v>
      </c>
      <c r="AG51" s="1219">
        <f t="shared" si="36"/>
        <v>0</v>
      </c>
      <c r="AH51" s="1219">
        <f t="shared" si="37"/>
        <v>0</v>
      </c>
      <c r="AI51" s="1219">
        <f t="shared" si="38"/>
        <v>-274964.37643918651</v>
      </c>
    </row>
    <row r="52" spans="1:35">
      <c r="A52" s="1187">
        <v>319790</v>
      </c>
      <c r="B52" s="1187">
        <v>319791</v>
      </c>
      <c r="C52" s="1187">
        <v>319792</v>
      </c>
      <c r="J52" s="880" t="s">
        <v>952</v>
      </c>
      <c r="K52" s="1213">
        <v>-5032316.5599999996</v>
      </c>
      <c r="L52" s="1214">
        <v>720627.72375247709</v>
      </c>
      <c r="M52" s="1232">
        <v>-4311688.8362475224</v>
      </c>
      <c r="O52" s="1216"/>
      <c r="P52" s="1216">
        <v>1</v>
      </c>
      <c r="Q52" s="1216"/>
      <c r="R52" s="1216"/>
      <c r="S52" s="1216"/>
      <c r="T52" s="1216"/>
      <c r="U52" s="1216">
        <v>1</v>
      </c>
      <c r="V52" s="1216"/>
      <c r="W52" s="1216"/>
      <c r="X52" s="1216"/>
      <c r="Y52" s="1216">
        <f>O52*S52</f>
        <v>0</v>
      </c>
      <c r="Z52" s="1216">
        <f t="shared" si="39"/>
        <v>0</v>
      </c>
      <c r="AA52" s="1216">
        <f t="shared" si="32"/>
        <v>1</v>
      </c>
      <c r="AB52" s="1216">
        <f t="shared" si="33"/>
        <v>0</v>
      </c>
      <c r="AC52" s="1216">
        <f t="shared" si="33"/>
        <v>0</v>
      </c>
      <c r="AD52" s="1218"/>
      <c r="AE52" s="1233">
        <f t="shared" si="34"/>
        <v>0</v>
      </c>
      <c r="AF52" s="1233">
        <f t="shared" si="35"/>
        <v>0</v>
      </c>
      <c r="AG52" s="1233">
        <f t="shared" si="36"/>
        <v>-4311688.8362475224</v>
      </c>
      <c r="AH52" s="1233">
        <f t="shared" si="37"/>
        <v>0</v>
      </c>
      <c r="AI52" s="1233">
        <f t="shared" si="38"/>
        <v>0</v>
      </c>
    </row>
    <row r="53" spans="1:35">
      <c r="I53" s="1203" t="s">
        <v>977</v>
      </c>
      <c r="K53" s="1223">
        <f>SUM(K46:K52)</f>
        <v>-33850123.519999996</v>
      </c>
      <c r="L53" s="1223">
        <f>SUM(L46:L52)</f>
        <v>4847337.6366763758</v>
      </c>
      <c r="M53" s="1223">
        <f>SUM(M46:M52)</f>
        <v>-29002785.883323625</v>
      </c>
      <c r="O53" s="1216"/>
      <c r="P53" s="1216"/>
      <c r="Q53" s="1216"/>
      <c r="R53" s="1216"/>
      <c r="S53" s="1216"/>
      <c r="T53" s="1216"/>
      <c r="U53" s="1216"/>
      <c r="V53" s="1216"/>
      <c r="W53" s="1216"/>
      <c r="X53" s="1216"/>
      <c r="Y53" s="1216"/>
      <c r="Z53" s="1216"/>
      <c r="AA53" s="1216"/>
      <c r="AB53" s="1216"/>
      <c r="AC53" s="1216"/>
      <c r="AD53" s="1189"/>
      <c r="AE53" s="1223">
        <f>SUM(AE46:AE52)</f>
        <v>-17604701.65381813</v>
      </c>
      <c r="AF53" s="1223">
        <f>SUM(AF46:AF52)</f>
        <v>-5562768.5308943829</v>
      </c>
      <c r="AG53" s="1223">
        <f>SUM(AG46:AG52)</f>
        <v>-4311688.8362475224</v>
      </c>
      <c r="AH53" s="1223">
        <f>SUM(AH46:AH52)</f>
        <v>-1248662.4859244013</v>
      </c>
      <c r="AI53" s="1223">
        <f>SUM(AI46:AI52)</f>
        <v>-274964.37643918651</v>
      </c>
    </row>
    <row r="54" spans="1:35">
      <c r="K54" s="1223"/>
      <c r="L54" s="1229"/>
      <c r="M54" s="1219"/>
      <c r="O54" s="1216"/>
      <c r="P54" s="1216"/>
      <c r="Q54" s="1216"/>
      <c r="R54" s="1216"/>
      <c r="S54" s="1216"/>
      <c r="T54" s="1216"/>
      <c r="U54" s="1216"/>
      <c r="V54" s="1216"/>
      <c r="W54" s="1216"/>
      <c r="X54" s="1216"/>
      <c r="Y54" s="1216"/>
      <c r="Z54" s="1216"/>
      <c r="AA54" s="1216"/>
      <c r="AB54" s="1216"/>
      <c r="AC54" s="1216"/>
      <c r="AD54" s="1189"/>
      <c r="AE54" s="1219"/>
      <c r="AF54" s="1219"/>
      <c r="AG54" s="1219"/>
      <c r="AH54" s="1219"/>
      <c r="AI54" s="1219"/>
    </row>
    <row r="55" spans="1:35" ht="13.5" thickBot="1">
      <c r="I55" s="1203" t="s">
        <v>978</v>
      </c>
      <c r="K55" s="1234">
        <f>SUM(K18,K30,K44,K53)</f>
        <v>222384318.27000004</v>
      </c>
      <c r="L55" s="1234">
        <f>SUM(L18,L30,L44,L53)</f>
        <v>-31845434.038664009</v>
      </c>
      <c r="M55" s="1234">
        <f>SUM(M18,M30,M44,M53)</f>
        <v>190538884.231336</v>
      </c>
      <c r="O55" s="1216"/>
      <c r="P55" s="1216"/>
      <c r="Q55" s="1216"/>
      <c r="R55" s="1216"/>
      <c r="S55" s="1216"/>
      <c r="T55" s="1216"/>
      <c r="U55" s="1216"/>
      <c r="V55" s="1216"/>
      <c r="W55" s="1216"/>
      <c r="X55" s="1216"/>
      <c r="Y55" s="1216"/>
      <c r="Z55" s="1216"/>
      <c r="AA55" s="1216"/>
      <c r="AB55" s="1216"/>
      <c r="AC55" s="1216"/>
      <c r="AD55" s="1189"/>
      <c r="AE55" s="1234">
        <f>SUM(AE18,AE30,AE44,AE53)</f>
        <v>103572290.24258681</v>
      </c>
      <c r="AF55" s="1234">
        <f>SUM(AF18,AF30,AF44,AF53)</f>
        <v>48005568.52788239</v>
      </c>
      <c r="AG55" s="1234">
        <f>SUM(AG18,AG30,AG44,AG53)</f>
        <v>15301805.070003524</v>
      </c>
      <c r="AH55" s="1234">
        <f>SUM(AH18,AH30,AH44,AH53)</f>
        <v>7278911.6154282121</v>
      </c>
      <c r="AI55" s="1234">
        <f>SUM(AI18,AI30,AI44,AI53)</f>
        <v>16380308.775435083</v>
      </c>
    </row>
    <row r="56" spans="1:35" ht="13.5" thickTop="1">
      <c r="K56" s="1235"/>
      <c r="O56" s="1236"/>
      <c r="P56" s="1236"/>
      <c r="Q56" s="1236"/>
      <c r="R56" s="1236"/>
      <c r="S56" s="1236"/>
      <c r="T56" s="1236"/>
      <c r="U56" s="1236"/>
      <c r="V56" s="1236"/>
      <c r="W56" s="1236"/>
      <c r="X56" s="1236"/>
      <c r="Y56" s="1236"/>
      <c r="Z56" s="1236"/>
      <c r="AA56" s="1236"/>
      <c r="AB56" s="1236"/>
      <c r="AC56" s="1236"/>
    </row>
    <row r="57" spans="1:35">
      <c r="Y57" s="477" t="s">
        <v>979</v>
      </c>
      <c r="AE57" s="1199">
        <f>-AO24</f>
        <v>-2850787.8530412717</v>
      </c>
      <c r="AG57" s="1199">
        <f>-AO26</f>
        <v>-902499.34929774317</v>
      </c>
    </row>
    <row r="59" spans="1:35">
      <c r="Y59" s="477" t="s">
        <v>980</v>
      </c>
      <c r="AE59" s="1199">
        <f>SUM(AE55:AE57)</f>
        <v>100721502.38954553</v>
      </c>
      <c r="AG59" s="1199">
        <f>SUM(AG55:AG57)</f>
        <v>14399305.720705781</v>
      </c>
    </row>
    <row r="61" spans="1:35">
      <c r="Y61" s="477" t="s">
        <v>981</v>
      </c>
      <c r="AE61" s="1199">
        <v>103960573</v>
      </c>
      <c r="AG61" s="1199">
        <v>15046912</v>
      </c>
    </row>
    <row r="62" spans="1:35" ht="13.5" thickBot="1"/>
    <row r="63" spans="1:35" ht="14.25" thickTop="1" thickBot="1">
      <c r="Y63" s="477" t="s">
        <v>982</v>
      </c>
      <c r="AE63" s="1237">
        <f>AE59-AE61</f>
        <v>-3239070.6104544699</v>
      </c>
      <c r="AG63" s="1237">
        <f>AG59-AG61</f>
        <v>-647606.27929421887</v>
      </c>
    </row>
    <row r="64" spans="1:35" ht="13.5" thickTop="1"/>
  </sheetData>
  <mergeCells count="6">
    <mergeCell ref="AU19:AZ20"/>
    <mergeCell ref="AN1:AS1"/>
    <mergeCell ref="AU1:AZ1"/>
    <mergeCell ref="BD4:BJ4"/>
    <mergeCell ref="BD5:BJ5"/>
    <mergeCell ref="BG7:BJ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E9EF-CD61-4D85-B07E-A63A82643B8F}">
  <sheetPr codeName="Sheet14"/>
  <dimension ref="A1:CE73"/>
  <sheetViews>
    <sheetView workbookViewId="0">
      <selection sqref="A1:E1"/>
    </sheetView>
  </sheetViews>
  <sheetFormatPr defaultRowHeight="12.75"/>
  <cols>
    <col min="1" max="1" width="22.7109375" style="478" customWidth="1"/>
    <col min="2" max="2" width="9.28515625" style="478" customWidth="1"/>
    <col min="3" max="3" width="15.7109375" style="478" customWidth="1"/>
    <col min="4" max="4" width="8.42578125" style="1239" customWidth="1"/>
    <col min="5" max="5" width="16.42578125" style="1238" bestFit="1" customWidth="1"/>
    <col min="6" max="6" width="13" style="478" bestFit="1" customWidth="1"/>
    <col min="7" max="7" width="1.42578125" style="478" hidden="1" customWidth="1"/>
    <col min="8" max="8" width="0.85546875" style="478" customWidth="1"/>
    <col min="9" max="21" width="9.85546875" style="478" customWidth="1"/>
    <col min="24" max="24" width="35.140625" style="224" customWidth="1"/>
    <col min="25" max="25" width="6.28515625" style="224" customWidth="1"/>
    <col min="26" max="26" width="6.5703125" style="1272" customWidth="1"/>
    <col min="27" max="27" width="11" style="224" customWidth="1"/>
    <col min="28" max="28" width="6.5703125" style="1272" customWidth="1"/>
    <col min="29" max="29" width="13.28515625" style="78" customWidth="1"/>
    <col min="30" max="30" width="12" style="224" customWidth="1"/>
    <col min="32" max="32" width="1.7109375" style="1008" customWidth="1"/>
    <col min="34" max="35" width="8.85546875" style="1009"/>
    <col min="36" max="36" width="13" style="1009" customWidth="1"/>
    <col min="37" max="37" width="15" style="1009" customWidth="1"/>
    <col min="38" max="45" width="13.28515625" style="1009" bestFit="1" customWidth="1"/>
    <col min="46" max="46" width="13.42578125" style="1009" bestFit="1" customWidth="1"/>
    <col min="47" max="49" width="13.7109375" style="1009" bestFit="1" customWidth="1"/>
    <col min="50" max="50" width="15.140625" style="1009" bestFit="1" customWidth="1"/>
    <col min="51" max="51" width="8.85546875" style="1009"/>
    <col min="52" max="52" width="1.7109375" style="1008" customWidth="1"/>
    <col min="54" max="57" width="8.85546875" style="1009"/>
    <col min="58" max="62" width="8.140625" style="1009" bestFit="1" customWidth="1"/>
    <col min="63" max="68" width="9.7109375" style="1009" bestFit="1" customWidth="1"/>
    <col min="69" max="69" width="8.140625" style="1009" bestFit="1" customWidth="1"/>
    <col min="70" max="70" width="15.42578125" style="1197" bestFit="1" customWidth="1"/>
    <col min="71" max="71" width="8.85546875" style="1009"/>
    <col min="72" max="72" width="1.7109375" style="1008" customWidth="1"/>
    <col min="74" max="74" width="9.85546875" style="1009" customWidth="1"/>
    <col min="75" max="75" width="9.28515625" style="1009" customWidth="1"/>
    <col min="76" max="76" width="15.7109375" style="1009" customWidth="1"/>
    <col min="77" max="77" width="20" style="1321" customWidth="1"/>
    <col min="78" max="78" width="7.7109375" style="1322" customWidth="1"/>
    <col min="79" max="79" width="15.7109375" style="1321" customWidth="1"/>
    <col min="80" max="80" width="15.28515625" style="1321" customWidth="1"/>
    <col min="81" max="81" width="13.28515625" style="1321" customWidth="1"/>
    <col min="82" max="83" width="8.85546875" style="1009"/>
  </cols>
  <sheetData>
    <row r="1" spans="1:83">
      <c r="A1" s="3753" t="s">
        <v>111</v>
      </c>
      <c r="B1" s="3753"/>
      <c r="C1" s="3753"/>
      <c r="D1" s="3753"/>
      <c r="E1" s="3753"/>
      <c r="X1" s="3785" t="s">
        <v>111</v>
      </c>
      <c r="Y1" s="3785"/>
      <c r="Z1" s="3785"/>
      <c r="AA1" s="3785"/>
      <c r="AB1" s="3785"/>
      <c r="AC1" s="3785"/>
      <c r="AD1" s="3785"/>
      <c r="AH1" s="1197" t="s">
        <v>1048</v>
      </c>
      <c r="AI1" s="1197"/>
      <c r="AJ1" s="1197"/>
      <c r="AK1" s="1197"/>
      <c r="AL1" s="1197"/>
      <c r="AM1" s="1197"/>
      <c r="AN1" s="1197"/>
      <c r="AO1" s="1197"/>
      <c r="AP1" s="1197"/>
      <c r="AQ1" s="1197"/>
      <c r="AR1" s="1197"/>
      <c r="AS1" s="1197"/>
      <c r="AT1" s="1197"/>
      <c r="AU1" s="1197"/>
      <c r="AV1" s="1197"/>
      <c r="AW1" s="1197"/>
      <c r="AX1" s="1197"/>
      <c r="AY1" s="1197"/>
      <c r="BB1" s="1197" t="s">
        <v>1048</v>
      </c>
      <c r="BC1" s="1197"/>
      <c r="BD1" s="1197"/>
      <c r="BE1" s="1197"/>
      <c r="BF1" s="1197"/>
      <c r="BG1" s="1197"/>
      <c r="BH1" s="1197"/>
      <c r="BI1" s="1197"/>
      <c r="BJ1" s="1197"/>
      <c r="BK1" s="1197"/>
      <c r="BL1" s="1197"/>
      <c r="BM1" s="1197"/>
      <c r="BN1" s="1197"/>
      <c r="BO1" s="1197"/>
      <c r="BP1" s="1197"/>
      <c r="BQ1" s="1197"/>
      <c r="BS1" s="1197"/>
      <c r="BV1" s="1197"/>
      <c r="BW1" s="1197"/>
      <c r="BX1" s="1197"/>
      <c r="BY1" s="1337"/>
      <c r="BZ1" s="1338"/>
      <c r="CA1" s="1337"/>
      <c r="CB1" s="1337"/>
      <c r="CC1" s="1337"/>
      <c r="CD1" s="1197"/>
      <c r="CE1" s="1197"/>
    </row>
    <row r="2" spans="1:83">
      <c r="A2" s="3753" t="s">
        <v>1001</v>
      </c>
      <c r="B2" s="3753"/>
      <c r="C2" s="3753"/>
      <c r="D2" s="3753"/>
      <c r="E2" s="3753"/>
      <c r="X2" s="3785" t="s">
        <v>1026</v>
      </c>
      <c r="Y2" s="3785"/>
      <c r="Z2" s="3785"/>
      <c r="AA2" s="3785"/>
      <c r="AB2" s="3785"/>
      <c r="AC2" s="3785"/>
      <c r="AD2" s="3785"/>
      <c r="AH2" s="1197"/>
      <c r="AI2" s="1197"/>
      <c r="AJ2" s="1197"/>
      <c r="AK2" s="1197"/>
      <c r="AL2" s="1197"/>
      <c r="AM2" s="1197"/>
      <c r="AN2" s="1197"/>
      <c r="AO2" s="1197"/>
      <c r="AP2" s="1197"/>
      <c r="AQ2" s="1197"/>
      <c r="AR2" s="1197"/>
      <c r="AS2" s="1197"/>
      <c r="AT2" s="1197"/>
      <c r="AU2" s="1197"/>
      <c r="AV2" s="1197"/>
      <c r="AW2" s="1197"/>
      <c r="AX2" s="1197"/>
      <c r="AY2" s="1197"/>
      <c r="BB2" s="1197"/>
      <c r="BC2" s="1197"/>
      <c r="BD2" s="1197"/>
      <c r="BE2" s="1197"/>
      <c r="BF2" s="1197"/>
      <c r="BG2" s="1197"/>
      <c r="BH2" s="1197"/>
      <c r="BI2" s="1197"/>
      <c r="BJ2" s="1197"/>
      <c r="BK2" s="1197"/>
      <c r="BL2" s="1197"/>
      <c r="BM2" s="1197"/>
      <c r="BN2" s="1197"/>
      <c r="BO2" s="1197"/>
      <c r="BP2" s="1197"/>
      <c r="BQ2" s="1197"/>
      <c r="BS2" s="1197"/>
      <c r="BV2" s="1197"/>
      <c r="BW2" s="1197"/>
      <c r="BX2" s="1197"/>
      <c r="BY2" s="1337"/>
      <c r="BZ2" s="1338"/>
      <c r="CA2" s="1337"/>
      <c r="CB2" s="1337"/>
      <c r="CC2" s="1337"/>
      <c r="CD2" s="1197"/>
      <c r="CE2" s="1197"/>
    </row>
    <row r="3" spans="1:83">
      <c r="A3" s="3786" t="s">
        <v>1060</v>
      </c>
      <c r="B3" s="3753"/>
      <c r="C3" s="3753"/>
      <c r="D3" s="3753"/>
      <c r="E3" s="3753"/>
      <c r="X3" s="3785" t="s">
        <v>1060</v>
      </c>
      <c r="Y3" s="3785"/>
      <c r="Z3" s="3785"/>
      <c r="AA3" s="3785"/>
      <c r="AB3" s="3785"/>
      <c r="AC3" s="3785"/>
      <c r="AD3" s="3785"/>
      <c r="AH3" s="1197" t="s">
        <v>1047</v>
      </c>
      <c r="AI3" s="1197"/>
      <c r="AJ3" s="1197"/>
      <c r="AK3" s="1197"/>
      <c r="AL3" s="1197"/>
      <c r="AM3" s="1197"/>
      <c r="AN3" s="1197"/>
      <c r="AO3" s="1197"/>
      <c r="AP3" s="1197"/>
      <c r="AQ3" s="1197"/>
      <c r="AR3" s="1197"/>
      <c r="AS3" s="1197"/>
      <c r="AT3" s="1197"/>
      <c r="AU3" s="1197"/>
      <c r="AV3" s="1197"/>
      <c r="AW3" s="1197"/>
      <c r="AX3" s="1197"/>
      <c r="AY3" s="1197"/>
      <c r="BB3" s="1197" t="s">
        <v>1049</v>
      </c>
      <c r="BC3" s="1197"/>
      <c r="BD3" s="1197"/>
      <c r="BE3" s="1197"/>
      <c r="BF3" s="1197"/>
      <c r="BG3" s="1197"/>
      <c r="BH3" s="1197"/>
      <c r="BI3" s="1197"/>
      <c r="BJ3" s="1197"/>
      <c r="BK3" s="1197"/>
      <c r="BL3" s="1197"/>
      <c r="BM3" s="1197"/>
      <c r="BN3" s="1197"/>
      <c r="BO3" s="1197"/>
      <c r="BP3" s="1197"/>
      <c r="BQ3" s="1197"/>
      <c r="BS3" s="1197"/>
      <c r="BV3" s="1197"/>
      <c r="BW3" s="1197"/>
      <c r="BX3" s="1197"/>
      <c r="BY3" s="1325" t="s">
        <v>1059</v>
      </c>
      <c r="BZ3" s="1325"/>
      <c r="CA3" s="1325" t="s">
        <v>729</v>
      </c>
      <c r="CB3" s="1325" t="s">
        <v>786</v>
      </c>
      <c r="CC3" s="1325" t="s">
        <v>965</v>
      </c>
      <c r="CD3" s="1197"/>
      <c r="CE3" s="1197"/>
    </row>
    <row r="4" spans="1:83">
      <c r="A4" s="3753" t="s">
        <v>1000</v>
      </c>
      <c r="B4" s="3753"/>
      <c r="C4" s="3753"/>
      <c r="D4" s="3753"/>
      <c r="E4" s="3753"/>
      <c r="X4" s="3785" t="s">
        <v>1000</v>
      </c>
      <c r="Y4" s="3785"/>
      <c r="Z4" s="3785"/>
      <c r="AA4" s="3785"/>
      <c r="AB4" s="3785"/>
      <c r="AC4" s="3785"/>
      <c r="AD4" s="3785"/>
      <c r="AH4" s="1197"/>
      <c r="AI4" s="1197"/>
      <c r="AJ4" s="1197"/>
      <c r="AK4" s="1197"/>
      <c r="AL4" s="1197"/>
      <c r="AM4" s="1197"/>
      <c r="AN4" s="1197"/>
      <c r="AO4" s="1197"/>
      <c r="AP4" s="1197"/>
      <c r="AQ4" s="1197"/>
      <c r="AR4" s="1197"/>
      <c r="AS4" s="1197"/>
      <c r="AT4" s="1197"/>
      <c r="AU4" s="1197"/>
      <c r="AV4" s="1197"/>
      <c r="AW4" s="1197"/>
      <c r="AX4" s="1197"/>
      <c r="AY4" s="1197"/>
      <c r="BB4" s="1197"/>
      <c r="BC4" s="1197"/>
      <c r="BD4" s="1197"/>
      <c r="BE4" s="1197"/>
      <c r="BF4" s="1197"/>
      <c r="BG4" s="1197"/>
      <c r="BH4" s="1197"/>
      <c r="BI4" s="1197"/>
      <c r="BJ4" s="1197"/>
      <c r="BK4" s="1197"/>
      <c r="BL4" s="1197"/>
      <c r="BM4" s="1197"/>
      <c r="BN4" s="1197"/>
      <c r="BO4" s="1197"/>
      <c r="BP4" s="1197"/>
      <c r="BQ4" s="1197"/>
      <c r="BS4" s="1197"/>
      <c r="BV4" s="1197" t="s">
        <v>1043</v>
      </c>
      <c r="BW4" s="1197" t="s">
        <v>1058</v>
      </c>
      <c r="BX4" s="1197" t="s">
        <v>1057</v>
      </c>
      <c r="BY4" s="1337"/>
      <c r="BZ4" s="1338"/>
      <c r="CA4" s="1337"/>
      <c r="CB4" s="1337"/>
      <c r="CC4" s="1337"/>
      <c r="CD4" s="1197"/>
      <c r="CE4" s="1197"/>
    </row>
    <row r="5" spans="1:83">
      <c r="I5" s="1044" t="s">
        <v>999</v>
      </c>
      <c r="AC5" s="224"/>
      <c r="AD5" s="78"/>
      <c r="AH5" s="1197"/>
      <c r="AI5" s="1197"/>
      <c r="AJ5" s="1197"/>
      <c r="AK5" s="1197"/>
      <c r="AL5" s="1197"/>
      <c r="AM5" s="1197"/>
      <c r="AN5" s="1197"/>
      <c r="AO5" s="1197"/>
      <c r="AP5" s="1197"/>
      <c r="AQ5" s="1197"/>
      <c r="AR5" s="1197"/>
      <c r="AS5" s="1197"/>
      <c r="AT5" s="1197"/>
      <c r="AU5" s="1197"/>
      <c r="AV5" s="1197"/>
      <c r="AW5" s="1197"/>
      <c r="AX5" s="1197"/>
      <c r="AY5" s="1197"/>
      <c r="BB5" s="1197"/>
      <c r="BC5" s="1197"/>
      <c r="BD5" s="1197"/>
      <c r="BE5" s="1197" t="s">
        <v>1050</v>
      </c>
      <c r="BF5" s="1197"/>
      <c r="BG5" s="1197"/>
      <c r="BH5" s="1197"/>
      <c r="BI5" s="1197"/>
      <c r="BJ5" s="1197"/>
      <c r="BK5" s="1197"/>
      <c r="BL5" s="1197"/>
      <c r="BM5" s="1197"/>
      <c r="BN5" s="1197"/>
      <c r="BO5" s="1197"/>
      <c r="BP5" s="1197"/>
      <c r="BQ5" s="1197"/>
      <c r="BS5" s="1197"/>
      <c r="BV5" s="1009" t="s">
        <v>1056</v>
      </c>
      <c r="BW5" s="1009" t="s">
        <v>681</v>
      </c>
      <c r="BX5" s="1009" t="s">
        <v>683</v>
      </c>
      <c r="BY5" s="1333">
        <f>CA5</f>
        <v>3720326.1900000004</v>
      </c>
      <c r="CA5" s="1333">
        <f>CA32</f>
        <v>3720326.1900000004</v>
      </c>
      <c r="CB5" s="1333">
        <v>0</v>
      </c>
      <c r="CC5" s="1333">
        <v>0</v>
      </c>
    </row>
    <row r="6" spans="1:83">
      <c r="X6" s="1302" t="s">
        <v>16</v>
      </c>
      <c r="Y6" s="1302" t="s">
        <v>1025</v>
      </c>
      <c r="Z6" s="1303"/>
      <c r="AA6" s="1302" t="s">
        <v>1024</v>
      </c>
      <c r="AB6" s="1301"/>
      <c r="AC6" s="1300" t="s">
        <v>1023</v>
      </c>
      <c r="AD6" s="1299" t="s">
        <v>24</v>
      </c>
      <c r="AH6" s="1316"/>
      <c r="AI6" s="1316"/>
      <c r="AJ6" s="1316"/>
      <c r="AK6" s="1316" t="s">
        <v>1046</v>
      </c>
      <c r="AL6" s="1316">
        <v>202207</v>
      </c>
      <c r="AM6" s="1316">
        <v>202208</v>
      </c>
      <c r="AN6" s="1316">
        <v>202209</v>
      </c>
      <c r="AO6" s="1316">
        <v>202210</v>
      </c>
      <c r="AP6" s="1316">
        <v>202211</v>
      </c>
      <c r="AQ6" s="1316">
        <v>202212</v>
      </c>
      <c r="AR6" s="1316">
        <v>202301</v>
      </c>
      <c r="AS6" s="1316">
        <v>202302</v>
      </c>
      <c r="AT6" s="1316">
        <v>202303</v>
      </c>
      <c r="AU6" s="1316">
        <v>202304</v>
      </c>
      <c r="AV6" s="1316">
        <v>202305</v>
      </c>
      <c r="AW6" s="1316">
        <v>202306</v>
      </c>
      <c r="AX6" s="1316" t="s">
        <v>1045</v>
      </c>
      <c r="AY6" s="1316"/>
      <c r="BB6" s="1316"/>
      <c r="BC6" s="1316"/>
      <c r="BD6" s="1316"/>
      <c r="BE6" s="1316" t="s">
        <v>1046</v>
      </c>
      <c r="BF6" s="580">
        <v>202207</v>
      </c>
      <c r="BG6" s="580">
        <v>202208</v>
      </c>
      <c r="BH6" s="580">
        <v>202209</v>
      </c>
      <c r="BI6" s="580">
        <v>202210</v>
      </c>
      <c r="BJ6" s="580">
        <v>202211</v>
      </c>
      <c r="BK6" s="580">
        <v>202212</v>
      </c>
      <c r="BL6" s="580">
        <v>202301</v>
      </c>
      <c r="BM6" s="580">
        <v>202302</v>
      </c>
      <c r="BN6" s="580">
        <v>202303</v>
      </c>
      <c r="BO6" s="580">
        <v>202304</v>
      </c>
      <c r="BP6" s="580">
        <v>202305</v>
      </c>
      <c r="BQ6" s="580">
        <v>202306</v>
      </c>
      <c r="BR6" s="1316" t="s">
        <v>1045</v>
      </c>
      <c r="BS6" s="1316"/>
      <c r="BX6" s="1009" t="s">
        <v>763</v>
      </c>
      <c r="BY6" s="1333">
        <f>CA6</f>
        <v>20839250.420000002</v>
      </c>
      <c r="BZ6" s="1336"/>
      <c r="CA6" s="1333">
        <f>CA64</f>
        <v>20839250.420000002</v>
      </c>
      <c r="CB6" s="1333">
        <v>0</v>
      </c>
      <c r="CC6" s="1333">
        <v>0</v>
      </c>
    </row>
    <row r="7" spans="1:83">
      <c r="E7" s="1271" t="s">
        <v>80</v>
      </c>
      <c r="G7" s="1271" t="s">
        <v>81</v>
      </c>
      <c r="I7" s="580">
        <v>202207</v>
      </c>
      <c r="J7" s="580">
        <v>202208</v>
      </c>
      <c r="K7" s="580">
        <v>202209</v>
      </c>
      <c r="L7" s="580">
        <v>202210</v>
      </c>
      <c r="M7" s="580">
        <v>202211</v>
      </c>
      <c r="N7" s="580">
        <v>202212</v>
      </c>
      <c r="O7" s="580">
        <v>202301</v>
      </c>
      <c r="P7" s="580">
        <v>202302</v>
      </c>
      <c r="Q7" s="580">
        <v>202303</v>
      </c>
      <c r="R7" s="580">
        <v>202304</v>
      </c>
      <c r="S7" s="580">
        <v>202305</v>
      </c>
      <c r="T7" s="580">
        <v>202306</v>
      </c>
      <c r="U7" s="580" t="s">
        <v>24</v>
      </c>
      <c r="AC7" s="1298" t="s">
        <v>396</v>
      </c>
      <c r="AD7" s="78"/>
      <c r="AH7" s="1197" t="s">
        <v>1044</v>
      </c>
      <c r="AI7" s="1197" t="s">
        <v>1043</v>
      </c>
      <c r="AJ7" s="1197" t="s">
        <v>1042</v>
      </c>
      <c r="AK7" s="1197"/>
      <c r="AL7" s="1197"/>
      <c r="AM7" s="1197"/>
      <c r="AN7" s="1197"/>
      <c r="AO7" s="1197"/>
      <c r="AP7" s="1197"/>
      <c r="AQ7" s="1197"/>
      <c r="AR7" s="1197"/>
      <c r="AS7" s="1197"/>
      <c r="AT7" s="1197"/>
      <c r="AU7" s="1197"/>
      <c r="AV7" s="1197"/>
      <c r="AW7" s="1197"/>
      <c r="AX7" s="1197"/>
      <c r="AY7" s="1197"/>
      <c r="BB7" s="1009" t="s">
        <v>1044</v>
      </c>
      <c r="BC7" s="1009" t="s">
        <v>1043</v>
      </c>
      <c r="BD7" s="1009" t="s">
        <v>1042</v>
      </c>
      <c r="BY7" s="1331">
        <f>SUM(BY5:BY6)</f>
        <v>24559576.610000003</v>
      </c>
      <c r="BZ7" s="1332"/>
      <c r="CA7" s="1331">
        <f>SUM(CA5:CA6)</f>
        <v>24559576.610000003</v>
      </c>
      <c r="CB7" s="1331">
        <f>SUM(CB5:CB6)</f>
        <v>0</v>
      </c>
      <c r="CC7" s="1331">
        <f>SUM(CC5:CC6)</f>
        <v>0</v>
      </c>
    </row>
    <row r="8" spans="1:83">
      <c r="A8" s="1044" t="s">
        <v>998</v>
      </c>
      <c r="X8" s="1296" t="s">
        <v>891</v>
      </c>
      <c r="AC8" s="224"/>
      <c r="AD8" s="78"/>
      <c r="AL8" s="1315"/>
      <c r="AM8" s="1315"/>
      <c r="AN8" s="1315"/>
      <c r="AO8" s="1315"/>
      <c r="AP8" s="1315"/>
      <c r="AQ8" s="1315"/>
      <c r="AR8" s="1315"/>
      <c r="AS8" s="1315"/>
      <c r="AT8" s="1315"/>
      <c r="AU8" s="1315"/>
      <c r="AV8" s="1315"/>
      <c r="AW8" s="1315"/>
      <c r="AX8" s="1315"/>
      <c r="BB8" s="1009" t="s">
        <v>763</v>
      </c>
      <c r="BC8" s="634" t="s">
        <v>1038</v>
      </c>
      <c r="BD8" s="634" t="s">
        <v>1051</v>
      </c>
      <c r="BF8" s="1317">
        <v>-388.1</v>
      </c>
      <c r="BG8" s="1317">
        <v>-182.19</v>
      </c>
      <c r="BH8" s="1317">
        <v>-195.31</v>
      </c>
      <c r="BI8" s="1317">
        <v>-297.05</v>
      </c>
      <c r="BJ8" s="1317">
        <v>-352.79</v>
      </c>
      <c r="BK8" s="1317">
        <v>-1931.05</v>
      </c>
      <c r="BL8" s="1317">
        <v>-1905.1</v>
      </c>
      <c r="BM8" s="1317">
        <v>-1626.89</v>
      </c>
      <c r="BN8" s="1317">
        <v>-1493.42</v>
      </c>
      <c r="BO8" s="1317">
        <v>-1261.26</v>
      </c>
      <c r="BP8" s="1317">
        <v>-937.25</v>
      </c>
      <c r="BQ8" s="1317">
        <v>-474.81</v>
      </c>
      <c r="BR8" s="1318">
        <f>SUM(BF8:BQ8)</f>
        <v>-11045.220000000001</v>
      </c>
      <c r="BS8" s="1312" t="s">
        <v>987</v>
      </c>
      <c r="BY8" s="1335"/>
      <c r="CA8" s="1335"/>
      <c r="CB8" s="1335"/>
      <c r="CC8" s="1335"/>
    </row>
    <row r="9" spans="1:83">
      <c r="A9" s="157" t="s">
        <v>996</v>
      </c>
      <c r="E9" s="1241">
        <f>'G-2.01 Elim B&amp;O'!AA17</f>
        <v>8540172.6600000001</v>
      </c>
      <c r="F9" s="1241"/>
      <c r="I9" s="1249">
        <f>SUM('G-2.01 Elim B&amp;O'!AL9:AL14)</f>
        <v>211852.98</v>
      </c>
      <c r="J9" s="1249">
        <f>SUM('G-2.01 Elim B&amp;O'!AM9:AM14)</f>
        <v>189388.49</v>
      </c>
      <c r="K9" s="1249">
        <f>SUM('G-2.01 Elim B&amp;O'!AN9:AN14)</f>
        <v>197567.84000000003</v>
      </c>
      <c r="L9" s="1249">
        <f>SUM('G-2.01 Elim B&amp;O'!AO9:AO14)</f>
        <v>244705.4</v>
      </c>
      <c r="M9" s="1249">
        <f>SUM('G-2.01 Elim B&amp;O'!AP9:AP14)</f>
        <v>707865.83</v>
      </c>
      <c r="N9" s="1249">
        <f>SUM('G-2.01 Elim B&amp;O'!AQ9:AQ14)</f>
        <v>1449843.34</v>
      </c>
      <c r="O9" s="1249">
        <f>SUM('G-2.01 Elim B&amp;O'!AR9:AR14)</f>
        <v>1504132.65</v>
      </c>
      <c r="P9" s="1249">
        <f>SUM('G-2.01 Elim B&amp;O'!AS9:AS14)</f>
        <v>1149484.5900000001</v>
      </c>
      <c r="Q9" s="1249">
        <f>SUM('G-2.01 Elim B&amp;O'!AT9:AT14)</f>
        <v>1284760.23</v>
      </c>
      <c r="R9" s="1249">
        <f>SUM('G-2.01 Elim B&amp;O'!AU9:AU14)</f>
        <v>820991.59</v>
      </c>
      <c r="S9" s="1249">
        <f>SUM('G-2.01 Elim B&amp;O'!AV9:AV14)</f>
        <v>506037.65000000008</v>
      </c>
      <c r="T9" s="1249">
        <f>SUM('G-2.01 Elim B&amp;O'!AW9:AW14)</f>
        <v>273542.07</v>
      </c>
      <c r="U9" s="1249">
        <f>SUM(I9:T9)</f>
        <v>8540172.6600000001</v>
      </c>
      <c r="X9" s="1273" t="s">
        <v>1017</v>
      </c>
      <c r="AC9" s="224"/>
      <c r="AD9" s="78"/>
      <c r="AH9" s="1009" t="s">
        <v>763</v>
      </c>
      <c r="AI9" s="634" t="s">
        <v>1041</v>
      </c>
      <c r="AJ9" s="634" t="s">
        <v>1040</v>
      </c>
      <c r="AK9" s="634"/>
      <c r="AL9" s="1314">
        <v>133817.97</v>
      </c>
      <c r="AM9" s="1314">
        <v>117068.52</v>
      </c>
      <c r="AN9" s="1314">
        <v>122952</v>
      </c>
      <c r="AO9" s="1314">
        <v>148872.82</v>
      </c>
      <c r="AP9" s="1314">
        <v>438117.48</v>
      </c>
      <c r="AQ9" s="1314">
        <v>931473.67</v>
      </c>
      <c r="AR9" s="1314">
        <v>949715.95</v>
      </c>
      <c r="AS9" s="1314">
        <v>752769.37</v>
      </c>
      <c r="AT9" s="1314">
        <v>797827.76</v>
      </c>
      <c r="AU9" s="1314">
        <v>520746.87</v>
      </c>
      <c r="AV9" s="1314">
        <v>321971.28000000003</v>
      </c>
      <c r="AW9" s="1314">
        <v>169991.18</v>
      </c>
      <c r="AX9" s="1313">
        <f t="shared" ref="AX9:AX17" si="0">SUM(AL9:AW9)</f>
        <v>5405324.8700000001</v>
      </c>
      <c r="AY9" s="1312" t="s">
        <v>987</v>
      </c>
      <c r="BC9" s="634" t="s">
        <v>1028</v>
      </c>
      <c r="BD9" s="634" t="s">
        <v>1052</v>
      </c>
      <c r="BF9" s="1317">
        <v>-180.36</v>
      </c>
      <c r="BG9" s="1317">
        <v>-165.61</v>
      </c>
      <c r="BH9" s="1317">
        <v>-168.8</v>
      </c>
      <c r="BI9" s="1317">
        <v>-171.05</v>
      </c>
      <c r="BJ9" s="1317">
        <v>-216.69</v>
      </c>
      <c r="BK9" s="1317">
        <v>-401.7</v>
      </c>
      <c r="BL9" s="1317">
        <v>-454.23</v>
      </c>
      <c r="BM9" s="1317">
        <v>-403.72</v>
      </c>
      <c r="BN9" s="1317">
        <v>-365.22</v>
      </c>
      <c r="BO9" s="1317">
        <v>-350.77</v>
      </c>
      <c r="BP9" s="1317">
        <v>-285.52</v>
      </c>
      <c r="BQ9" s="1317">
        <v>-201.94</v>
      </c>
      <c r="BR9" s="1318">
        <f>SUM(BF9:BQ9)</f>
        <v>-3365.61</v>
      </c>
      <c r="BS9" s="1312" t="s">
        <v>987</v>
      </c>
      <c r="BV9" s="385"/>
      <c r="BW9" s="1009" t="s">
        <v>680</v>
      </c>
      <c r="BX9" s="1009" t="s">
        <v>683</v>
      </c>
      <c r="BY9" s="1333">
        <f>CB9</f>
        <v>1804744.0999999996</v>
      </c>
      <c r="CA9" s="1333">
        <v>0</v>
      </c>
      <c r="CB9" s="1333">
        <f>CB32</f>
        <v>1804744.0999999996</v>
      </c>
      <c r="CC9" s="1333">
        <v>0</v>
      </c>
    </row>
    <row r="10" spans="1:83" ht="13.5" thickBot="1">
      <c r="A10" s="157" t="s">
        <v>995</v>
      </c>
      <c r="E10" s="1253">
        <f>'G-2.01 Elim B&amp;O'!AC17</f>
        <v>-14410.830000000002</v>
      </c>
      <c r="F10" s="1241"/>
      <c r="I10" s="1249">
        <v>-568.46</v>
      </c>
      <c r="J10" s="1249">
        <v>-347.8</v>
      </c>
      <c r="K10" s="1249">
        <v>-364.11</v>
      </c>
      <c r="L10" s="1249">
        <v>-468.1</v>
      </c>
      <c r="M10" s="1249">
        <v>-569.48</v>
      </c>
      <c r="N10" s="1249">
        <v>-2332.75</v>
      </c>
      <c r="O10" s="1249">
        <v>-2359.33</v>
      </c>
      <c r="P10" s="1249">
        <v>-2030.6100000000001</v>
      </c>
      <c r="Q10" s="1249">
        <v>-1858.64</v>
      </c>
      <c r="R10" s="1249">
        <v>-1612.03</v>
      </c>
      <c r="S10" s="1249">
        <v>-1222.77</v>
      </c>
      <c r="T10" s="1249">
        <v>-676.75</v>
      </c>
      <c r="U10" s="1249">
        <f>SUM(I10:T10)</f>
        <v>-14410.83</v>
      </c>
      <c r="X10" s="224" t="s">
        <v>206</v>
      </c>
      <c r="Y10" s="582">
        <v>1</v>
      </c>
      <c r="Z10" s="1281" t="s">
        <v>1005</v>
      </c>
      <c r="AA10" s="1291">
        <f>'G-2.01 Elim B&amp;O'!AX9</f>
        <v>5405324.8700000001</v>
      </c>
      <c r="AB10" s="1295" t="s">
        <v>1014</v>
      </c>
      <c r="AC10" s="1291">
        <v>-11045.220000000001</v>
      </c>
      <c r="AD10" s="9">
        <f t="shared" ref="AD10:AD16" si="1">AA10+AC10</f>
        <v>5394279.6500000004</v>
      </c>
      <c r="AI10" s="634" t="s">
        <v>1038</v>
      </c>
      <c r="AJ10" s="1009" t="s">
        <v>1039</v>
      </c>
      <c r="AK10" s="634"/>
      <c r="AL10" s="1314"/>
      <c r="AM10" s="1314"/>
      <c r="AN10" s="1314"/>
      <c r="AO10" s="1314"/>
      <c r="AP10" s="1314"/>
      <c r="AQ10" s="1314"/>
      <c r="AR10" s="1314"/>
      <c r="AS10" s="1314"/>
      <c r="AT10" s="1314"/>
      <c r="AU10" s="1314"/>
      <c r="AV10" s="1314"/>
      <c r="AW10" s="1314"/>
      <c r="AX10" s="1313">
        <f t="shared" si="0"/>
        <v>0</v>
      </c>
      <c r="AY10" s="1312" t="s">
        <v>987</v>
      </c>
      <c r="BB10" s="1009" t="s">
        <v>24</v>
      </c>
      <c r="BF10" s="1319">
        <f t="shared" ref="BF10:BR10" si="2">SUM(BF8:BF9)</f>
        <v>-568.46</v>
      </c>
      <c r="BG10" s="1319">
        <f t="shared" si="2"/>
        <v>-347.8</v>
      </c>
      <c r="BH10" s="1319">
        <f t="shared" si="2"/>
        <v>-364.11</v>
      </c>
      <c r="BI10" s="1319">
        <f t="shared" si="2"/>
        <v>-468.1</v>
      </c>
      <c r="BJ10" s="1319">
        <f t="shared" si="2"/>
        <v>-569.48</v>
      </c>
      <c r="BK10" s="1319">
        <f t="shared" si="2"/>
        <v>-2332.75</v>
      </c>
      <c r="BL10" s="1319">
        <f t="shared" si="2"/>
        <v>-2359.33</v>
      </c>
      <c r="BM10" s="1319">
        <f t="shared" si="2"/>
        <v>-2030.6100000000001</v>
      </c>
      <c r="BN10" s="1319">
        <f t="shared" si="2"/>
        <v>-1858.64</v>
      </c>
      <c r="BO10" s="1319">
        <f>SUM(BO8:BO9)</f>
        <v>-1612.03</v>
      </c>
      <c r="BP10" s="1319">
        <f>SUM(BP8:BP9)</f>
        <v>-1222.77</v>
      </c>
      <c r="BQ10" s="1319">
        <f>SUM(BQ8:BQ9)</f>
        <v>-676.75</v>
      </c>
      <c r="BR10" s="1319">
        <f t="shared" si="2"/>
        <v>-14410.830000000002</v>
      </c>
      <c r="BX10" s="1009" t="s">
        <v>676</v>
      </c>
      <c r="BY10" s="1333">
        <f>CC10</f>
        <v>5942062.9100000001</v>
      </c>
      <c r="CA10" s="1333">
        <v>0</v>
      </c>
      <c r="CB10" s="1333">
        <v>0</v>
      </c>
      <c r="CC10" s="1333">
        <f>CC48</f>
        <v>5942062.9100000001</v>
      </c>
    </row>
    <row r="11" spans="1:83" ht="13.5" thickTop="1">
      <c r="A11" s="157" t="s">
        <v>994</v>
      </c>
      <c r="B11" s="1044"/>
      <c r="D11" s="1239" t="s">
        <v>987</v>
      </c>
      <c r="E11" s="1270">
        <f>SUM(E9:E10)</f>
        <v>8525761.8300000001</v>
      </c>
      <c r="F11" s="1241"/>
      <c r="I11" s="1268">
        <f t="shared" ref="I11:U11" si="3">SUM(I9:I10)</f>
        <v>211284.52000000002</v>
      </c>
      <c r="J11" s="1268">
        <f t="shared" si="3"/>
        <v>189040.69</v>
      </c>
      <c r="K11" s="1268">
        <f t="shared" si="3"/>
        <v>197203.73000000004</v>
      </c>
      <c r="L11" s="1268">
        <f t="shared" si="3"/>
        <v>244237.3</v>
      </c>
      <c r="M11" s="1268">
        <f t="shared" si="3"/>
        <v>707296.35</v>
      </c>
      <c r="N11" s="1268">
        <f t="shared" si="3"/>
        <v>1447510.59</v>
      </c>
      <c r="O11" s="1268">
        <f t="shared" si="3"/>
        <v>1501773.3199999998</v>
      </c>
      <c r="P11" s="1268">
        <f t="shared" si="3"/>
        <v>1147453.98</v>
      </c>
      <c r="Q11" s="1268">
        <f t="shared" si="3"/>
        <v>1282901.5900000001</v>
      </c>
      <c r="R11" s="1268">
        <f t="shared" si="3"/>
        <v>819379.55999999994</v>
      </c>
      <c r="S11" s="1268">
        <f t="shared" si="3"/>
        <v>504814.88000000006</v>
      </c>
      <c r="T11" s="1268">
        <f t="shared" si="3"/>
        <v>272865.32</v>
      </c>
      <c r="U11" s="1268">
        <f t="shared" si="3"/>
        <v>8525761.8300000001</v>
      </c>
      <c r="X11" s="224" t="s">
        <v>1016</v>
      </c>
      <c r="Y11" s="582">
        <v>16</v>
      </c>
      <c r="Z11" s="1281" t="s">
        <v>1005</v>
      </c>
      <c r="AA11" s="1291">
        <f>'G-2.01 Elim B&amp;O'!AX10</f>
        <v>0</v>
      </c>
      <c r="AB11" s="1295"/>
      <c r="AC11" s="1291"/>
      <c r="AD11" s="9">
        <f t="shared" si="1"/>
        <v>0</v>
      </c>
      <c r="AI11" s="634" t="s">
        <v>1038</v>
      </c>
      <c r="AJ11" s="634" t="s">
        <v>1037</v>
      </c>
      <c r="AK11" s="634"/>
      <c r="AL11" s="1314">
        <v>75433.73</v>
      </c>
      <c r="AM11" s="1314">
        <v>69668.850000000006</v>
      </c>
      <c r="AN11" s="1314">
        <v>71873.52</v>
      </c>
      <c r="AO11" s="1314">
        <v>92439.93</v>
      </c>
      <c r="AP11" s="1314">
        <v>257730.74</v>
      </c>
      <c r="AQ11" s="1314">
        <v>501815.91</v>
      </c>
      <c r="AR11" s="1314">
        <v>528091.78</v>
      </c>
      <c r="AS11" s="1314">
        <v>383394.37</v>
      </c>
      <c r="AT11" s="1314">
        <v>466002.99</v>
      </c>
      <c r="AU11" s="1314">
        <v>286912.32</v>
      </c>
      <c r="AV11" s="1314">
        <v>174783.06</v>
      </c>
      <c r="AW11" s="1314">
        <v>96933.19</v>
      </c>
      <c r="AX11" s="1313">
        <f t="shared" si="0"/>
        <v>3005080.39</v>
      </c>
      <c r="AY11" s="1312" t="s">
        <v>987</v>
      </c>
      <c r="BX11" s="1009" t="s">
        <v>763</v>
      </c>
      <c r="BY11" s="1333">
        <f>CB11</f>
        <v>8702810.4400000013</v>
      </c>
      <c r="BZ11" s="1334" t="s">
        <v>1055</v>
      </c>
      <c r="CA11" s="1333">
        <v>0</v>
      </c>
      <c r="CB11" s="1333">
        <f>CB64</f>
        <v>8702810.4400000013</v>
      </c>
      <c r="CC11" s="1333">
        <v>0</v>
      </c>
    </row>
    <row r="12" spans="1:83">
      <c r="E12" s="1241"/>
      <c r="F12" s="1241"/>
      <c r="I12" s="1249"/>
      <c r="J12" s="1249"/>
      <c r="K12" s="1249"/>
      <c r="L12" s="1249"/>
      <c r="M12" s="1249"/>
      <c r="N12" s="1249"/>
      <c r="O12" s="1249"/>
      <c r="P12" s="1249"/>
      <c r="Q12" s="1249"/>
      <c r="R12" s="1249"/>
      <c r="S12" s="1249"/>
      <c r="T12" s="1249"/>
      <c r="U12" s="1249"/>
      <c r="X12" s="224" t="s">
        <v>1015</v>
      </c>
      <c r="Y12" s="582">
        <v>21</v>
      </c>
      <c r="Z12" s="1281" t="s">
        <v>1005</v>
      </c>
      <c r="AA12" s="1291">
        <f>'G-2.01 Elim B&amp;O'!AX11</f>
        <v>3005080.39</v>
      </c>
      <c r="AB12" s="1295" t="s">
        <v>1014</v>
      </c>
      <c r="AC12" s="1291">
        <v>-3365.61</v>
      </c>
      <c r="AD12" s="9">
        <f t="shared" si="1"/>
        <v>3001714.7800000003</v>
      </c>
      <c r="AI12" s="634" t="s">
        <v>1036</v>
      </c>
      <c r="AJ12" s="634" t="s">
        <v>1035</v>
      </c>
      <c r="AK12" s="634"/>
      <c r="AL12" s="1314">
        <v>1718.23</v>
      </c>
      <c r="AM12" s="1314">
        <v>1725.97</v>
      </c>
      <c r="AN12" s="1314">
        <v>1787.06</v>
      </c>
      <c r="AO12" s="1314">
        <v>2159.2800000000002</v>
      </c>
      <c r="AP12" s="1314">
        <v>6985.27</v>
      </c>
      <c r="AQ12" s="1314">
        <v>9080.35</v>
      </c>
      <c r="AR12" s="1314">
        <v>18438.98</v>
      </c>
      <c r="AS12" s="1314">
        <v>8228.85</v>
      </c>
      <c r="AT12" s="1314">
        <v>13575.8</v>
      </c>
      <c r="AU12" s="1314">
        <v>9156.1299999999992</v>
      </c>
      <c r="AV12" s="1314">
        <v>6848.03</v>
      </c>
      <c r="AW12" s="1314">
        <v>5291.81</v>
      </c>
      <c r="AX12" s="1313">
        <f t="shared" si="0"/>
        <v>84995.76</v>
      </c>
      <c r="AY12" s="1312" t="s">
        <v>987</v>
      </c>
      <c r="BY12" s="1331">
        <f>SUM(BY9:BY11)</f>
        <v>16449617.450000001</v>
      </c>
      <c r="BZ12" s="1332"/>
      <c r="CA12" s="1331">
        <f>SUM(CA9:CA11)</f>
        <v>0</v>
      </c>
      <c r="CB12" s="1331">
        <f>SUM(CB9:CB11)</f>
        <v>10507554.540000001</v>
      </c>
      <c r="CC12" s="1331">
        <f>SUM(CC9:CC11)</f>
        <v>5942062.9100000001</v>
      </c>
    </row>
    <row r="13" spans="1:83">
      <c r="A13" s="1044" t="s">
        <v>997</v>
      </c>
      <c r="E13" s="1241"/>
      <c r="F13" s="1241"/>
      <c r="I13" s="1249"/>
      <c r="J13" s="1249"/>
      <c r="K13" s="1249"/>
      <c r="L13" s="1249"/>
      <c r="M13" s="1249"/>
      <c r="N13" s="1249"/>
      <c r="O13" s="1249"/>
      <c r="P13" s="1249"/>
      <c r="Q13" s="1249"/>
      <c r="R13" s="1249"/>
      <c r="S13" s="1249"/>
      <c r="T13" s="1249"/>
      <c r="U13" s="1249"/>
      <c r="X13" s="224" t="s">
        <v>1013</v>
      </c>
      <c r="Y13" s="582">
        <v>22</v>
      </c>
      <c r="Z13" s="1281" t="s">
        <v>1005</v>
      </c>
      <c r="AA13" s="1291">
        <f>'G-2.01 Elim B&amp;O'!AX12</f>
        <v>84995.76</v>
      </c>
      <c r="AB13" s="1295"/>
      <c r="AC13" s="1289"/>
      <c r="AD13" s="9">
        <f t="shared" si="1"/>
        <v>84995.76</v>
      </c>
      <c r="AI13" s="634" t="s">
        <v>1033</v>
      </c>
      <c r="AJ13" s="1009" t="s">
        <v>1034</v>
      </c>
      <c r="AL13" s="1314"/>
      <c r="AM13" s="1314"/>
      <c r="AN13" s="1314"/>
      <c r="AO13" s="1314"/>
      <c r="AP13" s="1314"/>
      <c r="AQ13" s="1314"/>
      <c r="AR13" s="1314"/>
      <c r="AS13" s="1314"/>
      <c r="AT13" s="1314"/>
      <c r="AU13" s="1314"/>
      <c r="AV13" s="1314"/>
      <c r="AW13" s="1314"/>
      <c r="AX13" s="1313">
        <f t="shared" si="0"/>
        <v>0</v>
      </c>
      <c r="AY13" s="1312" t="s">
        <v>987</v>
      </c>
      <c r="BY13" s="1329"/>
      <c r="BZ13" s="1330"/>
      <c r="CA13" s="1329"/>
      <c r="CB13" s="1329"/>
      <c r="CC13" s="1329"/>
    </row>
    <row r="14" spans="1:83" ht="13.5" thickBot="1">
      <c r="A14" s="157" t="s">
        <v>996</v>
      </c>
      <c r="E14" s="1241">
        <f>'G-2.01 Elim B&amp;O'!AA22</f>
        <v>119930.32999999999</v>
      </c>
      <c r="F14" s="1241"/>
      <c r="I14" s="1249">
        <f>SUM('G-2.01 Elim B&amp;O'!AL16:AL17)</f>
        <v>7795.99</v>
      </c>
      <c r="J14" s="1249">
        <f>SUM('G-2.01 Elim B&amp;O'!AM16:AM17)</f>
        <v>6752.2</v>
      </c>
      <c r="K14" s="1249">
        <f>SUM('G-2.01 Elim B&amp;O'!AN16:AN17)</f>
        <v>8144.68</v>
      </c>
      <c r="L14" s="1249">
        <f>SUM('G-2.01 Elim B&amp;O'!AO16:AO17)</f>
        <v>7038.36</v>
      </c>
      <c r="M14" s="1249">
        <f>SUM('G-2.01 Elim B&amp;O'!AP16:AP17)</f>
        <v>8556.630000000001</v>
      </c>
      <c r="N14" s="1249">
        <f>SUM('G-2.01 Elim B&amp;O'!AQ16:AQ17)</f>
        <v>13441.689999999999</v>
      </c>
      <c r="O14" s="1249">
        <f>SUM('G-2.01 Elim B&amp;O'!AR16:AR17)</f>
        <v>15054.23</v>
      </c>
      <c r="P14" s="1249">
        <f>SUM('G-2.01 Elim B&amp;O'!AS16:AS17)</f>
        <v>12507.3</v>
      </c>
      <c r="Q14" s="1249">
        <f>SUM('G-2.01 Elim B&amp;O'!AT16:AT17)</f>
        <v>12469.07</v>
      </c>
      <c r="R14" s="1249">
        <f>SUM('G-2.01 Elim B&amp;O'!AU16:AU17)</f>
        <v>10753.1</v>
      </c>
      <c r="S14" s="1249">
        <f>SUM('G-2.01 Elim B&amp;O'!AV16:AV17)</f>
        <v>10029.74</v>
      </c>
      <c r="T14" s="1249">
        <f>SUM('G-2.01 Elim B&amp;O'!AW16:AW17)</f>
        <v>7387.34</v>
      </c>
      <c r="U14" s="1249">
        <f>SUM(I14:T14)</f>
        <v>119930.33</v>
      </c>
      <c r="X14" s="224" t="s">
        <v>1012</v>
      </c>
      <c r="Y14" s="582">
        <v>17</v>
      </c>
      <c r="Z14" s="1281" t="s">
        <v>1005</v>
      </c>
      <c r="AA14" s="1291">
        <f>'G-2.01 Elim B&amp;O'!AX13</f>
        <v>0</v>
      </c>
      <c r="AB14" s="1295"/>
      <c r="AC14" s="1289"/>
      <c r="AD14" s="9">
        <f t="shared" si="1"/>
        <v>0</v>
      </c>
      <c r="AI14" s="634" t="s">
        <v>1033</v>
      </c>
      <c r="AJ14" s="634" t="s">
        <v>1032</v>
      </c>
      <c r="AK14" s="634"/>
      <c r="AL14" s="1314">
        <v>883.05</v>
      </c>
      <c r="AM14" s="1314">
        <v>925.15</v>
      </c>
      <c r="AN14" s="1314">
        <v>955.26</v>
      </c>
      <c r="AO14" s="1314">
        <v>1233.3699999999999</v>
      </c>
      <c r="AP14" s="1314">
        <v>5032.34</v>
      </c>
      <c r="AQ14" s="1314">
        <v>7473.41</v>
      </c>
      <c r="AR14" s="1314">
        <v>7885.94</v>
      </c>
      <c r="AS14" s="1314">
        <v>5092</v>
      </c>
      <c r="AT14" s="1314">
        <v>7353.68</v>
      </c>
      <c r="AU14" s="1314">
        <v>4176.2700000000004</v>
      </c>
      <c r="AV14" s="1314">
        <v>2435.2800000000002</v>
      </c>
      <c r="AW14" s="1314">
        <v>1325.89</v>
      </c>
      <c r="AX14" s="1313">
        <f t="shared" si="0"/>
        <v>44771.64</v>
      </c>
      <c r="AY14" s="1312" t="s">
        <v>987</v>
      </c>
      <c r="BV14" s="1009" t="s">
        <v>24</v>
      </c>
      <c r="BY14" s="1327">
        <f>SUM(BY12,BY7)</f>
        <v>41009194.060000002</v>
      </c>
      <c r="BZ14" s="1328"/>
      <c r="CA14" s="1327">
        <f>SUM(CA12,CA7)</f>
        <v>24559576.610000003</v>
      </c>
      <c r="CB14" s="1327">
        <f>SUM(CB12,CB7)</f>
        <v>10507554.540000001</v>
      </c>
      <c r="CC14" s="1327">
        <f>SUM(CC12,CC7)</f>
        <v>5942062.9100000001</v>
      </c>
    </row>
    <row r="15" spans="1:83" ht="13.5" thickTop="1">
      <c r="A15" s="157" t="s">
        <v>995</v>
      </c>
      <c r="E15" s="1241">
        <f>'G-2.01 Elim B&amp;O'!AC22</f>
        <v>0</v>
      </c>
      <c r="F15" s="1241"/>
      <c r="I15" s="1249"/>
      <c r="J15" s="1249"/>
      <c r="K15" s="1249"/>
      <c r="L15" s="1249"/>
      <c r="M15" s="1249"/>
      <c r="N15" s="1249"/>
      <c r="O15" s="1249"/>
      <c r="P15" s="1249"/>
      <c r="Q15" s="1249"/>
      <c r="R15" s="1249"/>
      <c r="S15" s="1249"/>
      <c r="T15" s="1249"/>
      <c r="U15" s="1249"/>
      <c r="X15" s="224" t="s">
        <v>1011</v>
      </c>
      <c r="Y15" s="582">
        <v>31</v>
      </c>
      <c r="Z15" s="1281" t="s">
        <v>1005</v>
      </c>
      <c r="AA15" s="1291">
        <f>'G-2.01 Elim B&amp;O'!AX14</f>
        <v>44771.64</v>
      </c>
      <c r="AB15" s="1295"/>
      <c r="AC15" s="1289"/>
      <c r="AD15" s="9">
        <f t="shared" si="1"/>
        <v>44771.64</v>
      </c>
      <c r="AI15" s="634" t="s">
        <v>1031</v>
      </c>
      <c r="AJ15" s="634" t="s">
        <v>1030</v>
      </c>
      <c r="AK15" s="634"/>
      <c r="AL15" s="1314">
        <v>3.06</v>
      </c>
      <c r="AM15" s="1314">
        <v>1.4</v>
      </c>
      <c r="AN15" s="1314">
        <v>1.4</v>
      </c>
      <c r="AO15" s="1314">
        <v>1.4</v>
      </c>
      <c r="AP15" s="1314">
        <v>5.69</v>
      </c>
      <c r="AQ15" s="1314">
        <v>18.43</v>
      </c>
      <c r="AR15" s="1314">
        <v>16.920000000000002</v>
      </c>
      <c r="AS15" s="1314">
        <v>13.73</v>
      </c>
      <c r="AT15" s="1314">
        <v>13.19</v>
      </c>
      <c r="AU15" s="1314">
        <v>6.7</v>
      </c>
      <c r="AV15" s="1314">
        <v>6.82</v>
      </c>
      <c r="AW15" s="1314">
        <v>0</v>
      </c>
      <c r="AX15" s="1313">
        <f t="shared" si="0"/>
        <v>88.740000000000009</v>
      </c>
      <c r="AY15" s="1312" t="s">
        <v>987</v>
      </c>
    </row>
    <row r="16" spans="1:83" ht="13.5" thickBot="1">
      <c r="A16" s="157" t="s">
        <v>994</v>
      </c>
      <c r="E16" s="1269">
        <f>SUM(E14:E15)</f>
        <v>119930.32999999999</v>
      </c>
      <c r="F16" s="1241"/>
      <c r="I16" s="1268">
        <f t="shared" ref="I16:U16" si="4">SUM(I14:I15)</f>
        <v>7795.99</v>
      </c>
      <c r="J16" s="1268">
        <f t="shared" si="4"/>
        <v>6752.2</v>
      </c>
      <c r="K16" s="1268">
        <f t="shared" si="4"/>
        <v>8144.68</v>
      </c>
      <c r="L16" s="1268">
        <f t="shared" si="4"/>
        <v>7038.36</v>
      </c>
      <c r="M16" s="1268">
        <f t="shared" si="4"/>
        <v>8556.630000000001</v>
      </c>
      <c r="N16" s="1268">
        <f t="shared" si="4"/>
        <v>13441.689999999999</v>
      </c>
      <c r="O16" s="1268">
        <f t="shared" si="4"/>
        <v>15054.23</v>
      </c>
      <c r="P16" s="1268">
        <f t="shared" si="4"/>
        <v>12507.3</v>
      </c>
      <c r="Q16" s="1268">
        <f t="shared" si="4"/>
        <v>12469.07</v>
      </c>
      <c r="R16" s="1268">
        <f t="shared" si="4"/>
        <v>10753.1</v>
      </c>
      <c r="S16" s="1268">
        <f t="shared" si="4"/>
        <v>10029.74</v>
      </c>
      <c r="T16" s="1268">
        <f t="shared" si="4"/>
        <v>7387.34</v>
      </c>
      <c r="U16" s="1268">
        <f t="shared" si="4"/>
        <v>119930.33</v>
      </c>
      <c r="X16" s="224" t="s">
        <v>1010</v>
      </c>
      <c r="Y16" s="582">
        <v>41</v>
      </c>
      <c r="Z16" s="1281"/>
      <c r="AA16" s="1294">
        <v>0</v>
      </c>
      <c r="AB16" s="1290"/>
      <c r="AC16" s="1289"/>
      <c r="AD16" s="9">
        <f t="shared" si="1"/>
        <v>0</v>
      </c>
      <c r="AI16" s="634" t="s">
        <v>1028</v>
      </c>
      <c r="AJ16" s="634" t="s">
        <v>1029</v>
      </c>
      <c r="AK16" s="634"/>
      <c r="AL16" s="1314">
        <v>5096.9799999999996</v>
      </c>
      <c r="AM16" s="1314">
        <v>4179.7</v>
      </c>
      <c r="AN16" s="1314">
        <v>4179.45</v>
      </c>
      <c r="AO16" s="1314">
        <v>4685.8599999999997</v>
      </c>
      <c r="AP16" s="1314">
        <v>5944.81</v>
      </c>
      <c r="AQ16" s="1314">
        <v>10467.56</v>
      </c>
      <c r="AR16" s="1314">
        <v>11763.34</v>
      </c>
      <c r="AS16" s="1314">
        <v>9012.09</v>
      </c>
      <c r="AT16" s="1314">
        <v>9116.4599999999991</v>
      </c>
      <c r="AU16" s="1314">
        <v>8640.94</v>
      </c>
      <c r="AV16" s="1314">
        <v>6863.9</v>
      </c>
      <c r="AW16" s="1314">
        <v>4647.71</v>
      </c>
      <c r="AX16" s="1313">
        <f t="shared" si="0"/>
        <v>84598.799999999988</v>
      </c>
      <c r="AY16" s="1312" t="s">
        <v>987</v>
      </c>
      <c r="BV16" s="385" t="s">
        <v>1054</v>
      </c>
    </row>
    <row r="17" spans="1:80" ht="14.25" thickTop="1" thickBot="1">
      <c r="A17" s="157"/>
      <c r="E17" s="1267"/>
      <c r="F17" s="1241"/>
      <c r="I17" s="1249"/>
      <c r="J17" s="1249"/>
      <c r="K17" s="1249"/>
      <c r="L17" s="1249"/>
      <c r="M17" s="1249"/>
      <c r="N17" s="1249"/>
      <c r="O17" s="1249"/>
      <c r="P17" s="1249"/>
      <c r="Q17" s="1249"/>
      <c r="R17" s="1249"/>
      <c r="S17" s="1249"/>
      <c r="T17" s="1249"/>
      <c r="U17" s="1249"/>
      <c r="X17" s="224" t="s">
        <v>1009</v>
      </c>
      <c r="Y17" s="582"/>
      <c r="Z17" s="1281"/>
      <c r="AA17" s="1292">
        <f>SUM(AA10:AA16)</f>
        <v>8540172.6600000001</v>
      </c>
      <c r="AB17" s="1293"/>
      <c r="AC17" s="1292">
        <f>SUM(AC10:AC16)</f>
        <v>-14410.830000000002</v>
      </c>
      <c r="AD17" s="1286">
        <f>SUM(AD10:AD16)</f>
        <v>8525761.8300000001</v>
      </c>
      <c r="AI17" s="634" t="s">
        <v>1028</v>
      </c>
      <c r="AJ17" s="634" t="s">
        <v>1027</v>
      </c>
      <c r="AK17" s="634"/>
      <c r="AL17" s="1314">
        <v>2699.01</v>
      </c>
      <c r="AM17" s="1314">
        <v>2572.5</v>
      </c>
      <c r="AN17" s="1314">
        <v>3965.23</v>
      </c>
      <c r="AO17" s="1314">
        <v>2352.5</v>
      </c>
      <c r="AP17" s="1314">
        <v>2611.8200000000002</v>
      </c>
      <c r="AQ17" s="1314">
        <v>2974.13</v>
      </c>
      <c r="AR17" s="1314">
        <v>3290.89</v>
      </c>
      <c r="AS17" s="1314">
        <v>3495.21</v>
      </c>
      <c r="AT17" s="1314">
        <v>3352.61</v>
      </c>
      <c r="AU17" s="1314">
        <v>2112.16</v>
      </c>
      <c r="AV17" s="1314">
        <v>3165.84</v>
      </c>
      <c r="AW17" s="1314">
        <v>2739.63</v>
      </c>
      <c r="AX17" s="1313">
        <f t="shared" si="0"/>
        <v>35331.53</v>
      </c>
      <c r="AY17" s="1312" t="s">
        <v>987</v>
      </c>
    </row>
    <row r="18" spans="1:80" ht="14.25" thickTop="1" thickBot="1">
      <c r="A18" s="1265" t="s">
        <v>993</v>
      </c>
      <c r="E18" s="1241"/>
      <c r="F18" s="1241">
        <f>SUM(E11,E16)</f>
        <v>8645692.1600000001</v>
      </c>
      <c r="I18" s="1266">
        <f t="shared" ref="I18:U18" si="5">SUM(I11,I16)</f>
        <v>219080.51</v>
      </c>
      <c r="J18" s="1266">
        <f t="shared" si="5"/>
        <v>195792.89</v>
      </c>
      <c r="K18" s="1266">
        <f t="shared" si="5"/>
        <v>205348.41000000003</v>
      </c>
      <c r="L18" s="1266">
        <f t="shared" si="5"/>
        <v>251275.65999999997</v>
      </c>
      <c r="M18" s="1266">
        <f t="shared" si="5"/>
        <v>715852.98</v>
      </c>
      <c r="N18" s="1266">
        <f t="shared" si="5"/>
        <v>1460952.28</v>
      </c>
      <c r="O18" s="1266">
        <f t="shared" si="5"/>
        <v>1516827.5499999998</v>
      </c>
      <c r="P18" s="1266">
        <f t="shared" si="5"/>
        <v>1159961.28</v>
      </c>
      <c r="Q18" s="1266">
        <f t="shared" si="5"/>
        <v>1295370.6600000001</v>
      </c>
      <c r="R18" s="1266">
        <f t="shared" si="5"/>
        <v>830132.65999999992</v>
      </c>
      <c r="S18" s="1266">
        <f t="shared" si="5"/>
        <v>514844.62000000005</v>
      </c>
      <c r="T18" s="1266">
        <f t="shared" si="5"/>
        <v>280252.66000000003</v>
      </c>
      <c r="U18" s="1266">
        <f t="shared" si="5"/>
        <v>8645692.1600000001</v>
      </c>
      <c r="AA18" s="1291"/>
      <c r="AB18" s="1290"/>
      <c r="AC18" s="1291"/>
      <c r="AD18" s="9"/>
      <c r="AL18" s="1310">
        <f t="shared" ref="AL18:AX18" si="6">SUM(AL9:AL17)</f>
        <v>219652.03000000003</v>
      </c>
      <c r="AM18" s="1310">
        <f t="shared" si="6"/>
        <v>196142.09</v>
      </c>
      <c r="AN18" s="1310">
        <f t="shared" si="6"/>
        <v>205713.92000000004</v>
      </c>
      <c r="AO18" s="1310">
        <f t="shared" si="6"/>
        <v>251745.15999999997</v>
      </c>
      <c r="AP18" s="1310">
        <f t="shared" si="6"/>
        <v>716428.14999999991</v>
      </c>
      <c r="AQ18" s="1310">
        <f t="shared" si="6"/>
        <v>1463303.46</v>
      </c>
      <c r="AR18" s="1310">
        <f t="shared" si="6"/>
        <v>1519203.7999999998</v>
      </c>
      <c r="AS18" s="1310">
        <f t="shared" si="6"/>
        <v>1162005.6200000001</v>
      </c>
      <c r="AT18" s="1310">
        <f t="shared" si="6"/>
        <v>1297242.49</v>
      </c>
      <c r="AU18" s="1310">
        <f t="shared" si="6"/>
        <v>831751.3899999999</v>
      </c>
      <c r="AV18" s="1310">
        <f t="shared" si="6"/>
        <v>516074.21000000014</v>
      </c>
      <c r="AW18" s="1310">
        <f t="shared" si="6"/>
        <v>280929.41000000003</v>
      </c>
      <c r="AX18" s="1310">
        <f t="shared" si="6"/>
        <v>8660191.7300000004</v>
      </c>
      <c r="CA18" s="1325" t="s">
        <v>681</v>
      </c>
      <c r="CB18" s="1325" t="s">
        <v>680</v>
      </c>
    </row>
    <row r="19" spans="1:80">
      <c r="A19" s="1265"/>
      <c r="E19" s="1241"/>
      <c r="F19" s="1241"/>
      <c r="I19" s="1249"/>
      <c r="J19" s="1249"/>
      <c r="K19" s="1249"/>
      <c r="L19" s="1249"/>
      <c r="M19" s="1249"/>
      <c r="N19" s="1249"/>
      <c r="O19" s="1249"/>
      <c r="P19" s="1249"/>
      <c r="Q19" s="1249"/>
      <c r="R19" s="1249"/>
      <c r="S19" s="1249"/>
      <c r="T19" s="1249"/>
      <c r="U19" s="1249"/>
      <c r="X19" s="224" t="s">
        <v>1008</v>
      </c>
      <c r="AA19" s="1291"/>
      <c r="AB19" s="1290"/>
      <c r="AC19" s="1291"/>
      <c r="AD19" s="9"/>
      <c r="AL19" s="1311"/>
      <c r="AM19" s="1311"/>
      <c r="AN19" s="1311"/>
      <c r="AO19" s="1311"/>
      <c r="AP19" s="1311"/>
      <c r="AQ19" s="1311"/>
      <c r="AR19" s="1311"/>
      <c r="AS19" s="1311"/>
      <c r="AT19" s="1311"/>
      <c r="AU19" s="1311"/>
      <c r="AV19" s="1311"/>
      <c r="AW19" s="1311"/>
      <c r="AX19" s="1311"/>
      <c r="BL19" s="1320"/>
      <c r="CA19" s="1325" t="s">
        <v>683</v>
      </c>
      <c r="CB19" s="1325" t="s">
        <v>683</v>
      </c>
    </row>
    <row r="20" spans="1:80" ht="13.5" thickBot="1">
      <c r="A20" s="1044" t="s">
        <v>990</v>
      </c>
      <c r="D20" s="1239" t="s">
        <v>992</v>
      </c>
      <c r="E20" s="1264">
        <f>'G-2.01 Elim B&amp;O'!CB11</f>
        <v>8702810.4400000013</v>
      </c>
      <c r="F20" s="1241"/>
      <c r="G20" s="1263">
        <v>3720326.1900000004</v>
      </c>
      <c r="I20" s="1249">
        <f>'G-2.01 Elim B&amp;O'!CB52</f>
        <v>219260.36</v>
      </c>
      <c r="J20" s="1249">
        <f>'G-2.01 Elim B&amp;O'!CB53</f>
        <v>195478.83</v>
      </c>
      <c r="K20" s="1249">
        <f>'G-2.01 Elim B&amp;O'!CB54</f>
        <v>329402.90999999997</v>
      </c>
      <c r="L20" s="1249">
        <f>'G-2.01 Elim B&amp;O'!CB55</f>
        <v>133676.69</v>
      </c>
      <c r="M20" s="1249">
        <f>'G-2.01 Elim B&amp;O'!CB56</f>
        <v>273047.13</v>
      </c>
      <c r="N20" s="1249">
        <f>'G-2.01 Elim B&amp;O'!CB57</f>
        <v>1895544.21</v>
      </c>
      <c r="O20" s="1249">
        <f>'G-2.01 Elim B&amp;O'!CB58</f>
        <v>1523666.05</v>
      </c>
      <c r="P20" s="1249">
        <f>'G-2.01 Elim B&amp;O'!CB59</f>
        <v>1164171.8999999999</v>
      </c>
      <c r="Q20" s="1249">
        <f>'G-2.01 Elim B&amp;O'!CB60</f>
        <v>1299483.56</v>
      </c>
      <c r="R20" s="1249">
        <f>'G-2.01 Elim B&amp;O'!CB61</f>
        <v>834791.73</v>
      </c>
      <c r="S20" s="1249">
        <f>'G-2.01 Elim B&amp;O'!CB62</f>
        <v>551297.34</v>
      </c>
      <c r="T20" s="1249">
        <f>'G-2.01 Elim B&amp;O'!CB63</f>
        <v>282989.73</v>
      </c>
      <c r="U20" s="1249">
        <f>SUM(I20:T20)</f>
        <v>8702810.4400000013</v>
      </c>
      <c r="X20" s="224" t="s">
        <v>1007</v>
      </c>
      <c r="Y20" s="582">
        <v>91</v>
      </c>
      <c r="Z20" s="1281" t="s">
        <v>1005</v>
      </c>
      <c r="AA20" s="1291">
        <f>'G-2.01 Elim B&amp;O'!AX16</f>
        <v>84598.799999999988</v>
      </c>
      <c r="AB20" s="1290"/>
      <c r="AC20" s="1289"/>
      <c r="AD20" s="9">
        <f>AA20+AC20</f>
        <v>84598.799999999988</v>
      </c>
      <c r="AH20" s="1009" t="s">
        <v>24</v>
      </c>
      <c r="AL20" s="1310">
        <f t="shared" ref="AL20:AX20" si="7">SUM(AL18)</f>
        <v>219652.03000000003</v>
      </c>
      <c r="AM20" s="1310">
        <f t="shared" si="7"/>
        <v>196142.09</v>
      </c>
      <c r="AN20" s="1310">
        <f t="shared" si="7"/>
        <v>205713.92000000004</v>
      </c>
      <c r="AO20" s="1310">
        <f t="shared" si="7"/>
        <v>251745.15999999997</v>
      </c>
      <c r="AP20" s="1310">
        <f t="shared" si="7"/>
        <v>716428.14999999991</v>
      </c>
      <c r="AQ20" s="1310">
        <f t="shared" si="7"/>
        <v>1463303.46</v>
      </c>
      <c r="AR20" s="1310">
        <f t="shared" si="7"/>
        <v>1519203.7999999998</v>
      </c>
      <c r="AS20" s="1310">
        <f t="shared" si="7"/>
        <v>1162005.6200000001</v>
      </c>
      <c r="AT20" s="1310">
        <f t="shared" si="7"/>
        <v>1297242.49</v>
      </c>
      <c r="AU20" s="1310">
        <f t="shared" si="7"/>
        <v>831751.3899999999</v>
      </c>
      <c r="AV20" s="1310">
        <f t="shared" si="7"/>
        <v>516074.21000000014</v>
      </c>
      <c r="AW20" s="1310">
        <f t="shared" si="7"/>
        <v>280929.41000000003</v>
      </c>
      <c r="AX20" s="1310">
        <f t="shared" si="7"/>
        <v>8660191.7300000004</v>
      </c>
      <c r="BZ20" s="1324">
        <v>202207</v>
      </c>
      <c r="CA20" s="1321">
        <v>289244.11</v>
      </c>
      <c r="CB20" s="1321">
        <v>47548.15</v>
      </c>
    </row>
    <row r="21" spans="1:80" ht="14.25" thickTop="1" thickBot="1">
      <c r="A21" s="478" t="s">
        <v>991</v>
      </c>
      <c r="E21" s="1262">
        <v>0</v>
      </c>
      <c r="F21" s="1241"/>
      <c r="G21" s="1261">
        <v>0</v>
      </c>
      <c r="I21" s="1249"/>
      <c r="J21" s="1249"/>
      <c r="K21" s="1249"/>
      <c r="L21" s="1249"/>
      <c r="M21" s="1249"/>
      <c r="N21" s="1249"/>
      <c r="O21" s="1249"/>
      <c r="P21" s="1249"/>
      <c r="Q21" s="1249"/>
      <c r="R21" s="1249"/>
      <c r="S21" s="1249"/>
      <c r="T21" s="1249"/>
      <c r="U21" s="1249"/>
      <c r="X21" s="224" t="s">
        <v>1022</v>
      </c>
      <c r="Y21" s="582">
        <v>92</v>
      </c>
      <c r="Z21" s="1281" t="s">
        <v>1005</v>
      </c>
      <c r="AA21" s="1291">
        <f>'G-2.01 Elim B&amp;O'!AX17</f>
        <v>35331.53</v>
      </c>
      <c r="AB21" s="1290"/>
      <c r="AC21" s="1289"/>
      <c r="AD21" s="9">
        <f>AA21+AC21</f>
        <v>35331.53</v>
      </c>
      <c r="BZ21" s="1324">
        <v>202208</v>
      </c>
      <c r="CA21" s="1321">
        <v>347140.15</v>
      </c>
      <c r="CB21" s="1321">
        <v>39517.839999999997</v>
      </c>
    </row>
    <row r="22" spans="1:80" ht="14.25" thickTop="1" thickBot="1">
      <c r="A22" s="478" t="s">
        <v>990</v>
      </c>
      <c r="E22" s="1260">
        <f>SUM(E20:E21)</f>
        <v>8702810.4400000013</v>
      </c>
      <c r="F22" s="1241"/>
      <c r="G22" s="1259">
        <v>3212542.52</v>
      </c>
      <c r="I22" s="1258">
        <f t="shared" ref="I22:U22" si="8">SUM(I20:I21)</f>
        <v>219260.36</v>
      </c>
      <c r="J22" s="1258">
        <f t="shared" si="8"/>
        <v>195478.83</v>
      </c>
      <c r="K22" s="1258">
        <f t="shared" si="8"/>
        <v>329402.90999999997</v>
      </c>
      <c r="L22" s="1258">
        <f t="shared" si="8"/>
        <v>133676.69</v>
      </c>
      <c r="M22" s="1258">
        <f t="shared" si="8"/>
        <v>273047.13</v>
      </c>
      <c r="N22" s="1258">
        <f t="shared" si="8"/>
        <v>1895544.21</v>
      </c>
      <c r="O22" s="1258">
        <f t="shared" si="8"/>
        <v>1523666.05</v>
      </c>
      <c r="P22" s="1258">
        <f t="shared" si="8"/>
        <v>1164171.8999999999</v>
      </c>
      <c r="Q22" s="1258">
        <f t="shared" si="8"/>
        <v>1299483.56</v>
      </c>
      <c r="R22" s="1258">
        <f t="shared" si="8"/>
        <v>834791.73</v>
      </c>
      <c r="S22" s="1258">
        <f t="shared" si="8"/>
        <v>551297.34</v>
      </c>
      <c r="T22" s="1258">
        <f t="shared" si="8"/>
        <v>282989.73</v>
      </c>
      <c r="U22" s="1258">
        <f t="shared" si="8"/>
        <v>8702810.4400000013</v>
      </c>
      <c r="X22" s="224" t="s">
        <v>1006</v>
      </c>
      <c r="AA22" s="1287">
        <f>SUM(AA20:AA21)</f>
        <v>119930.32999999999</v>
      </c>
      <c r="AB22" s="1288"/>
      <c r="AC22" s="1287">
        <f>SUM(AC20:AC21)</f>
        <v>0</v>
      </c>
      <c r="AD22" s="1286">
        <f>SUM(AD20:AD21)</f>
        <v>119930.32999999999</v>
      </c>
      <c r="BZ22" s="1324">
        <v>202209</v>
      </c>
      <c r="CA22" s="1321">
        <v>205674.56</v>
      </c>
      <c r="CB22" s="1321">
        <v>41688.559999999998</v>
      </c>
    </row>
    <row r="23" spans="1:80" ht="13.5" thickTop="1">
      <c r="A23" s="1257" t="s">
        <v>110</v>
      </c>
      <c r="E23" s="1241"/>
      <c r="F23" s="1241"/>
      <c r="G23" s="477"/>
      <c r="I23" s="1249"/>
      <c r="J23" s="1249"/>
      <c r="K23" s="1249"/>
      <c r="L23" s="1249"/>
      <c r="M23" s="1249"/>
      <c r="N23" s="1249"/>
      <c r="O23" s="1249"/>
      <c r="P23" s="1249"/>
      <c r="Q23" s="1249"/>
      <c r="R23" s="1249"/>
      <c r="S23" s="1249"/>
      <c r="T23" s="1249"/>
      <c r="U23" s="1249"/>
      <c r="X23" s="582" t="s">
        <v>198</v>
      </c>
      <c r="AA23" s="1284">
        <f>AA17+AA22</f>
        <v>8660102.9900000002</v>
      </c>
      <c r="AB23" s="1285"/>
      <c r="AC23" s="1284">
        <f>AC17+AC22</f>
        <v>-14410.830000000002</v>
      </c>
      <c r="AD23" s="9">
        <f>AD17+AD22</f>
        <v>8645692.1600000001</v>
      </c>
      <c r="BZ23" s="1324">
        <v>202210</v>
      </c>
      <c r="CA23" s="1321">
        <v>379230.33</v>
      </c>
      <c r="CB23" s="1321">
        <v>53832.47</v>
      </c>
    </row>
    <row r="24" spans="1:80">
      <c r="A24" s="478" t="s">
        <v>989</v>
      </c>
      <c r="B24" s="1044"/>
      <c r="C24" s="1044"/>
      <c r="E24" s="1256"/>
      <c r="F24" s="1241"/>
      <c r="G24" s="1255"/>
      <c r="I24" s="1249"/>
      <c r="J24" s="1249"/>
      <c r="K24" s="1249"/>
      <c r="L24" s="1249"/>
      <c r="M24" s="1249"/>
      <c r="N24" s="1249"/>
      <c r="O24" s="1249"/>
      <c r="P24" s="1249"/>
      <c r="Q24" s="1249"/>
      <c r="R24" s="1249"/>
      <c r="S24" s="1249"/>
      <c r="T24" s="1249"/>
      <c r="U24" s="1249"/>
      <c r="X24" s="1278" t="s">
        <v>1021</v>
      </c>
      <c r="Y24" s="1280">
        <v>80</v>
      </c>
      <c r="Z24" s="1281" t="s">
        <v>1005</v>
      </c>
      <c r="AA24" s="1282">
        <f>'G-2.01 Elim B&amp;O'!AX15</f>
        <v>88.740000000000009</v>
      </c>
      <c r="AB24" s="1283"/>
      <c r="AC24" s="1282">
        <v>0</v>
      </c>
      <c r="AD24" s="1297">
        <f>AA24+AC24</f>
        <v>88.740000000000009</v>
      </c>
      <c r="AH24" s="1009" t="s">
        <v>683</v>
      </c>
      <c r="AI24" s="634" t="s">
        <v>1041</v>
      </c>
      <c r="AJ24" s="634" t="s">
        <v>1040</v>
      </c>
      <c r="AK24" s="634"/>
      <c r="AL24" s="1314">
        <v>30215.41</v>
      </c>
      <c r="AM24" s="1314">
        <v>24754.14</v>
      </c>
      <c r="AN24" s="1314">
        <v>26748.39</v>
      </c>
      <c r="AO24" s="1314">
        <v>34584.54</v>
      </c>
      <c r="AP24" s="1314">
        <v>94314.75</v>
      </c>
      <c r="AQ24" s="1314">
        <v>197109.41</v>
      </c>
      <c r="AR24" s="1314">
        <v>202004.22</v>
      </c>
      <c r="AS24" s="1314">
        <v>170918.36</v>
      </c>
      <c r="AT24" s="1314">
        <v>175181.65</v>
      </c>
      <c r="AU24" s="1314">
        <v>119929.32</v>
      </c>
      <c r="AV24" s="1314">
        <v>71672.94</v>
      </c>
      <c r="AW24" s="1314">
        <v>35825.99</v>
      </c>
      <c r="AX24" s="1313">
        <f t="shared" ref="AX24:AX32" si="9">SUM(AL24:AW24)</f>
        <v>1183259.1199999999</v>
      </c>
      <c r="AY24" s="1312" t="s">
        <v>987</v>
      </c>
      <c r="BZ24" s="1324">
        <v>202211</v>
      </c>
      <c r="CA24" s="1321">
        <v>716311.3</v>
      </c>
      <c r="CB24" s="1321">
        <v>141889.82</v>
      </c>
    </row>
    <row r="25" spans="1:80">
      <c r="A25" s="478" t="s">
        <v>988</v>
      </c>
      <c r="C25" s="1254"/>
      <c r="D25" s="1239" t="s">
        <v>987</v>
      </c>
      <c r="E25" s="1253">
        <f>'G-2.01 Elim B&amp;O'!AC17</f>
        <v>-14410.830000000002</v>
      </c>
      <c r="F25" s="1241"/>
      <c r="G25" s="477"/>
      <c r="I25" s="1249">
        <v>-568.46</v>
      </c>
      <c r="J25" s="1249">
        <v>-347.8</v>
      </c>
      <c r="K25" s="1249">
        <v>-364.11</v>
      </c>
      <c r="L25" s="1249">
        <v>-468.1</v>
      </c>
      <c r="M25" s="1249">
        <v>-569.48</v>
      </c>
      <c r="N25" s="1249">
        <v>-2332.75</v>
      </c>
      <c r="O25" s="1249">
        <v>-2359.33</v>
      </c>
      <c r="P25" s="1249">
        <v>-2030.6100000000001</v>
      </c>
      <c r="Q25" s="1249">
        <v>-1858.64</v>
      </c>
      <c r="R25" s="1249">
        <v>-1612.03</v>
      </c>
      <c r="S25" s="1249">
        <v>-1222.77</v>
      </c>
      <c r="T25" s="1249">
        <v>-676.75</v>
      </c>
      <c r="U25" s="1249">
        <f>SUM(I25:T25)</f>
        <v>-14410.83</v>
      </c>
      <c r="X25" s="1278"/>
      <c r="Y25" s="1280"/>
      <c r="Z25" s="1279"/>
      <c r="AA25" s="1278"/>
      <c r="AB25" s="1277"/>
      <c r="AC25" s="1278"/>
      <c r="AD25" s="1276"/>
      <c r="AI25" s="634" t="s">
        <v>1038</v>
      </c>
      <c r="AJ25" s="1009" t="s">
        <v>1039</v>
      </c>
      <c r="AK25" s="634"/>
      <c r="AL25" s="1314"/>
      <c r="AM25" s="1314"/>
      <c r="AN25" s="1314"/>
      <c r="AO25" s="1314"/>
      <c r="AP25" s="1314"/>
      <c r="AQ25" s="1314"/>
      <c r="AR25" s="1314"/>
      <c r="AS25" s="1314"/>
      <c r="AT25" s="1314"/>
      <c r="AU25" s="1314"/>
      <c r="AV25" s="1314"/>
      <c r="AW25" s="1314"/>
      <c r="AX25" s="1313">
        <f t="shared" si="9"/>
        <v>0</v>
      </c>
      <c r="AY25" s="1312" t="s">
        <v>987</v>
      </c>
      <c r="BZ25" s="1324">
        <v>202212</v>
      </c>
      <c r="CA25" s="1321">
        <v>-73173.25</v>
      </c>
      <c r="CB25" s="1321">
        <v>304957.07</v>
      </c>
    </row>
    <row r="26" spans="1:80" ht="13.5" thickBot="1">
      <c r="A26" s="1044" t="s">
        <v>986</v>
      </c>
      <c r="B26" s="1044"/>
      <c r="C26" s="1044"/>
      <c r="E26" s="1251"/>
      <c r="F26" s="1253">
        <f>SUM(E22:E25)</f>
        <v>8688399.6100000013</v>
      </c>
      <c r="G26" s="477"/>
      <c r="I26" s="1252">
        <f t="shared" ref="I26:U26" si="10">SUM(I22:I25)</f>
        <v>218691.9</v>
      </c>
      <c r="J26" s="1252">
        <f t="shared" si="10"/>
        <v>195131.03</v>
      </c>
      <c r="K26" s="1252">
        <f t="shared" si="10"/>
        <v>329038.8</v>
      </c>
      <c r="L26" s="1252">
        <f t="shared" si="10"/>
        <v>133208.59</v>
      </c>
      <c r="M26" s="1252">
        <f t="shared" si="10"/>
        <v>272477.65000000002</v>
      </c>
      <c r="N26" s="1252">
        <f t="shared" si="10"/>
        <v>1893211.46</v>
      </c>
      <c r="O26" s="1252">
        <f t="shared" si="10"/>
        <v>1521306.72</v>
      </c>
      <c r="P26" s="1252">
        <f t="shared" si="10"/>
        <v>1162141.2899999998</v>
      </c>
      <c r="Q26" s="1252">
        <f t="shared" si="10"/>
        <v>1297624.9200000002</v>
      </c>
      <c r="R26" s="1252">
        <f t="shared" si="10"/>
        <v>833179.7</v>
      </c>
      <c r="S26" s="1252">
        <f t="shared" si="10"/>
        <v>550074.56999999995</v>
      </c>
      <c r="T26" s="1252">
        <f t="shared" si="10"/>
        <v>282312.98</v>
      </c>
      <c r="U26" s="1252">
        <f t="shared" si="10"/>
        <v>8688399.6100000013</v>
      </c>
      <c r="X26" s="1278"/>
      <c r="Y26" s="1280"/>
      <c r="Z26" s="1279"/>
      <c r="AA26" s="1278"/>
      <c r="AB26" s="1277"/>
      <c r="AC26" s="1278"/>
      <c r="AD26" s="1276"/>
      <c r="AI26" s="634" t="s">
        <v>1038</v>
      </c>
      <c r="AJ26" s="634" t="s">
        <v>1037</v>
      </c>
      <c r="AK26" s="634"/>
      <c r="AL26" s="1314">
        <v>16207.9</v>
      </c>
      <c r="AM26" s="1314">
        <v>13944.47</v>
      </c>
      <c r="AN26" s="1314">
        <v>14400.42</v>
      </c>
      <c r="AO26" s="1314">
        <v>18199.71</v>
      </c>
      <c r="AP26" s="1314">
        <v>46368.160000000003</v>
      </c>
      <c r="AQ26" s="1314">
        <v>105951.61</v>
      </c>
      <c r="AR26" s="1314">
        <v>108907.67</v>
      </c>
      <c r="AS26" s="1314">
        <v>88753.78</v>
      </c>
      <c r="AT26" s="1314">
        <v>98548.82</v>
      </c>
      <c r="AU26" s="1314">
        <v>62787.73</v>
      </c>
      <c r="AV26" s="1314">
        <v>41457.06</v>
      </c>
      <c r="AW26" s="1314">
        <v>20902.669999999998</v>
      </c>
      <c r="AX26" s="1313">
        <f t="shared" si="9"/>
        <v>636430.00000000012</v>
      </c>
      <c r="AY26" s="1312" t="s">
        <v>987</v>
      </c>
      <c r="BZ26" s="1324" t="s">
        <v>1053</v>
      </c>
      <c r="CA26" s="1321">
        <v>388407.88</v>
      </c>
      <c r="CB26" s="1321">
        <v>312825.5</v>
      </c>
    </row>
    <row r="27" spans="1:80" ht="13.5" thickBot="1">
      <c r="E27" s="1251"/>
      <c r="F27" s="1241"/>
      <c r="G27" s="1250"/>
      <c r="I27" s="1249"/>
      <c r="J27" s="1249"/>
      <c r="K27" s="1249"/>
      <c r="L27" s="1249"/>
      <c r="M27" s="1249"/>
      <c r="N27" s="1249"/>
      <c r="O27" s="1249"/>
      <c r="P27" s="1249"/>
      <c r="Q27" s="1249"/>
      <c r="R27" s="1249"/>
      <c r="S27" s="1249"/>
      <c r="T27" s="1249"/>
      <c r="U27" s="1249"/>
      <c r="X27" s="1273" t="s">
        <v>1020</v>
      </c>
      <c r="AC27" s="1274"/>
      <c r="AI27" s="634" t="s">
        <v>1036</v>
      </c>
      <c r="AJ27" s="634" t="s">
        <v>1035</v>
      </c>
      <c r="AK27" s="634"/>
      <c r="AL27" s="1314"/>
      <c r="AM27" s="1314"/>
      <c r="AN27" s="1314"/>
      <c r="AO27" s="1314"/>
      <c r="AP27" s="1314"/>
      <c r="AQ27" s="1314"/>
      <c r="AR27" s="1314"/>
      <c r="AS27" s="1314"/>
      <c r="AT27" s="1314"/>
      <c r="AU27" s="1314"/>
      <c r="AV27" s="1314"/>
      <c r="AW27" s="1314"/>
      <c r="AX27" s="1313">
        <f t="shared" si="9"/>
        <v>0</v>
      </c>
      <c r="AY27" s="1312" t="s">
        <v>987</v>
      </c>
      <c r="BZ27" s="1324">
        <v>202302</v>
      </c>
      <c r="CA27" s="1321">
        <v>301516.84000000003</v>
      </c>
      <c r="CB27" s="1321">
        <v>261094.71</v>
      </c>
    </row>
    <row r="28" spans="1:80" ht="14.25" thickTop="1" thickBot="1">
      <c r="A28" s="1044"/>
      <c r="B28" s="1044"/>
      <c r="C28" s="1248" t="s">
        <v>985</v>
      </c>
      <c r="E28" s="1245"/>
      <c r="F28" s="1244">
        <f>F26-F18</f>
        <v>42707.450000001118</v>
      </c>
      <c r="G28" s="1247">
        <v>-7027.3099999995902</v>
      </c>
      <c r="I28" s="1246">
        <f t="shared" ref="I28:U28" si="11">I26-I18</f>
        <v>-388.61000000001513</v>
      </c>
      <c r="J28" s="1246">
        <f t="shared" si="11"/>
        <v>-661.86000000001513</v>
      </c>
      <c r="K28" s="1246">
        <f t="shared" si="11"/>
        <v>123690.38999999996</v>
      </c>
      <c r="L28" s="1246">
        <f t="shared" si="11"/>
        <v>-118067.06999999998</v>
      </c>
      <c r="M28" s="1246">
        <f t="shared" si="11"/>
        <v>-443375.32999999996</v>
      </c>
      <c r="N28" s="1246">
        <f t="shared" si="11"/>
        <v>432259.17999999993</v>
      </c>
      <c r="O28" s="1246">
        <f t="shared" si="11"/>
        <v>4479.1700000001583</v>
      </c>
      <c r="P28" s="1246">
        <f t="shared" si="11"/>
        <v>2180.0099999997765</v>
      </c>
      <c r="Q28" s="1246">
        <f t="shared" si="11"/>
        <v>2254.2600000000093</v>
      </c>
      <c r="R28" s="1246">
        <f t="shared" si="11"/>
        <v>3047.0400000000373</v>
      </c>
      <c r="S28" s="1246">
        <f t="shared" si="11"/>
        <v>35229.949999999895</v>
      </c>
      <c r="T28" s="1246">
        <f t="shared" si="11"/>
        <v>2060.3199999999488</v>
      </c>
      <c r="U28" s="1246">
        <f t="shared" si="11"/>
        <v>42707.450000001118</v>
      </c>
      <c r="X28" s="1273" t="s">
        <v>1019</v>
      </c>
      <c r="AC28" s="1274"/>
      <c r="AI28" s="634" t="s">
        <v>1033</v>
      </c>
      <c r="AJ28" s="1009" t="s">
        <v>1034</v>
      </c>
      <c r="AL28" s="1314"/>
      <c r="AM28" s="1314"/>
      <c r="AN28" s="1314"/>
      <c r="AO28" s="1314"/>
      <c r="AP28" s="1314"/>
      <c r="AQ28" s="1314"/>
      <c r="AR28" s="1314"/>
      <c r="AS28" s="1314"/>
      <c r="AT28" s="1314"/>
      <c r="AU28" s="1314"/>
      <c r="AV28" s="1314"/>
      <c r="AW28" s="1314"/>
      <c r="AX28" s="1313">
        <f t="shared" si="9"/>
        <v>0</v>
      </c>
      <c r="AY28" s="1312" t="s">
        <v>987</v>
      </c>
      <c r="BZ28" s="1324">
        <v>202303</v>
      </c>
      <c r="CA28" s="1321">
        <v>348239.12</v>
      </c>
      <c r="CB28" s="1321">
        <v>275262.68</v>
      </c>
    </row>
    <row r="29" spans="1:80" ht="13.5" thickTop="1">
      <c r="A29" s="1044"/>
      <c r="B29" s="1044"/>
      <c r="C29" s="1243" t="s">
        <v>984</v>
      </c>
      <c r="D29" s="1242"/>
      <c r="E29" s="1245"/>
      <c r="F29" s="1241"/>
      <c r="AI29" s="634" t="s">
        <v>1033</v>
      </c>
      <c r="AJ29" s="634" t="s">
        <v>1032</v>
      </c>
      <c r="AK29" s="634"/>
      <c r="AL29" s="1314">
        <v>108.77</v>
      </c>
      <c r="AM29" s="1314">
        <v>292.94</v>
      </c>
      <c r="AN29" s="1314">
        <v>160.03</v>
      </c>
      <c r="AO29" s="1314">
        <v>177.46</v>
      </c>
      <c r="AP29" s="1314">
        <v>520.41999999999996</v>
      </c>
      <c r="AQ29" s="1314">
        <v>914.85</v>
      </c>
      <c r="AR29" s="1314">
        <v>826.22</v>
      </c>
      <c r="AS29" s="1314">
        <v>594.82000000000005</v>
      </c>
      <c r="AT29" s="1314">
        <v>854.74</v>
      </c>
      <c r="AU29" s="1314">
        <v>451.52</v>
      </c>
      <c r="AV29" s="1314">
        <v>372.23</v>
      </c>
      <c r="AW29" s="1314">
        <v>194.4</v>
      </c>
      <c r="AX29" s="1313">
        <f t="shared" si="9"/>
        <v>5468.4</v>
      </c>
      <c r="AY29" s="1312" t="s">
        <v>987</v>
      </c>
      <c r="BZ29" s="1324">
        <v>202304</v>
      </c>
      <c r="CA29" s="1321">
        <v>272743.08</v>
      </c>
      <c r="CB29" s="1321">
        <v>184167.88</v>
      </c>
    </row>
    <row r="30" spans="1:80" ht="13.5" thickBot="1">
      <c r="C30" s="1243"/>
      <c r="D30" s="1242"/>
      <c r="E30" s="1241"/>
      <c r="F30" s="1241"/>
      <c r="X30" s="224" t="s">
        <v>1018</v>
      </c>
      <c r="AI30" s="634" t="s">
        <v>1031</v>
      </c>
      <c r="AJ30" s="634" t="s">
        <v>1030</v>
      </c>
      <c r="AK30" s="634"/>
      <c r="AL30" s="1314"/>
      <c r="AM30" s="1314"/>
      <c r="AN30" s="1314"/>
      <c r="AO30" s="1314"/>
      <c r="AP30" s="1314"/>
      <c r="AQ30" s="1314"/>
      <c r="AR30" s="1314"/>
      <c r="AS30" s="1314"/>
      <c r="AT30" s="1314"/>
      <c r="AU30" s="1314"/>
      <c r="AV30" s="1314"/>
      <c r="AW30" s="1314"/>
      <c r="AX30" s="1313">
        <f t="shared" si="9"/>
        <v>0</v>
      </c>
      <c r="AY30" s="1312" t="s">
        <v>987</v>
      </c>
      <c r="BZ30" s="1324">
        <v>202305</v>
      </c>
      <c r="CA30" s="1321">
        <v>271526.84999999998</v>
      </c>
      <c r="CB30" s="1321">
        <v>83690.23</v>
      </c>
    </row>
    <row r="31" spans="1:80" ht="14.25" thickTop="1" thickBot="1">
      <c r="C31" s="1243"/>
      <c r="D31" s="1242"/>
      <c r="E31" s="1245"/>
      <c r="F31" s="1241"/>
      <c r="G31" s="1244">
        <v>-3212542.52</v>
      </c>
      <c r="X31" s="224" t="s">
        <v>1004</v>
      </c>
      <c r="AI31" s="634" t="s">
        <v>1028</v>
      </c>
      <c r="AJ31" s="634" t="s">
        <v>1029</v>
      </c>
      <c r="AK31" s="634"/>
      <c r="AL31" s="1314">
        <v>651.25</v>
      </c>
      <c r="AM31" s="1314">
        <v>486.18</v>
      </c>
      <c r="AN31" s="1314">
        <v>410.59</v>
      </c>
      <c r="AO31" s="1314">
        <v>698.32</v>
      </c>
      <c r="AP31" s="1314">
        <v>699.89</v>
      </c>
      <c r="AQ31" s="1314">
        <v>982.95</v>
      </c>
      <c r="AR31" s="1314">
        <v>1106.01</v>
      </c>
      <c r="AS31" s="1314">
        <v>1004.07</v>
      </c>
      <c r="AT31" s="1314">
        <v>792.38</v>
      </c>
      <c r="AU31" s="1314">
        <v>741.45</v>
      </c>
      <c r="AV31" s="1314">
        <v>770.28</v>
      </c>
      <c r="AW31" s="1314">
        <v>1189.5899999999999</v>
      </c>
      <c r="AX31" s="1313">
        <f t="shared" si="9"/>
        <v>9532.9600000000009</v>
      </c>
      <c r="AY31" s="1312" t="s">
        <v>1005</v>
      </c>
      <c r="BZ31" s="1324">
        <v>202306</v>
      </c>
      <c r="CA31" s="1321">
        <v>273465.21999999997</v>
      </c>
      <c r="CB31" s="1321">
        <v>58269.19</v>
      </c>
    </row>
    <row r="32" spans="1:80" ht="14.25" thickTop="1" thickBot="1">
      <c r="C32" s="1243"/>
      <c r="D32" s="1242"/>
      <c r="E32" s="1241"/>
      <c r="F32" s="249"/>
      <c r="X32" s="1273" t="s">
        <v>1003</v>
      </c>
      <c r="AI32" s="634" t="s">
        <v>1028</v>
      </c>
      <c r="AJ32" s="634" t="s">
        <v>1027</v>
      </c>
      <c r="AK32" s="634"/>
      <c r="AL32" s="1314"/>
      <c r="AM32" s="1314"/>
      <c r="AN32" s="1314"/>
      <c r="AO32" s="1314">
        <v>0</v>
      </c>
      <c r="AP32" s="1314">
        <v>0</v>
      </c>
      <c r="AQ32" s="1314">
        <v>0</v>
      </c>
      <c r="AR32" s="1314">
        <v>0</v>
      </c>
      <c r="AS32" s="1314">
        <v>0</v>
      </c>
      <c r="AT32" s="1314">
        <v>0</v>
      </c>
      <c r="AU32" s="1314">
        <v>0</v>
      </c>
      <c r="AV32" s="1314">
        <v>0</v>
      </c>
      <c r="AW32" s="1314">
        <v>0</v>
      </c>
      <c r="AX32" s="1313">
        <f t="shared" si="9"/>
        <v>0</v>
      </c>
      <c r="AY32" s="1312" t="s">
        <v>987</v>
      </c>
      <c r="BZ32" s="1324"/>
      <c r="CA32" s="1323">
        <f>SUM(CA20:CA31)</f>
        <v>3720326.1900000004</v>
      </c>
      <c r="CB32" s="1323">
        <f>SUM(CB20:CB31)</f>
        <v>1804744.0999999996</v>
      </c>
    </row>
    <row r="33" spans="1:82" ht="13.5" thickBot="1">
      <c r="A33" s="3784" t="s">
        <v>983</v>
      </c>
      <c r="B33" s="3784"/>
      <c r="C33" s="3784"/>
      <c r="D33" s="3784"/>
      <c r="E33" s="3784"/>
      <c r="AL33" s="1310">
        <f t="shared" ref="AL33:AX33" si="12">SUM(AL24:AL32)</f>
        <v>47183.329999999994</v>
      </c>
      <c r="AM33" s="1310">
        <f t="shared" si="12"/>
        <v>39477.730000000003</v>
      </c>
      <c r="AN33" s="1310">
        <f t="shared" si="12"/>
        <v>41719.429999999993</v>
      </c>
      <c r="AO33" s="1310">
        <f t="shared" si="12"/>
        <v>53660.03</v>
      </c>
      <c r="AP33" s="1310">
        <f t="shared" si="12"/>
        <v>141903.22000000003</v>
      </c>
      <c r="AQ33" s="1310">
        <f t="shared" si="12"/>
        <v>304958.82</v>
      </c>
      <c r="AR33" s="1310">
        <f t="shared" si="12"/>
        <v>312844.12</v>
      </c>
      <c r="AS33" s="1310">
        <f t="shared" si="12"/>
        <v>261271.03</v>
      </c>
      <c r="AT33" s="1310">
        <f t="shared" si="12"/>
        <v>275377.58999999997</v>
      </c>
      <c r="AU33" s="1310">
        <f t="shared" si="12"/>
        <v>183910.02000000002</v>
      </c>
      <c r="AV33" s="1310">
        <f t="shared" si="12"/>
        <v>114272.51</v>
      </c>
      <c r="AW33" s="1310">
        <f t="shared" si="12"/>
        <v>58112.649999999994</v>
      </c>
      <c r="AX33" s="1310">
        <f t="shared" si="12"/>
        <v>1834690.48</v>
      </c>
      <c r="BZ33" s="1324"/>
      <c r="CA33" s="1326"/>
      <c r="CB33" s="1326"/>
    </row>
    <row r="34" spans="1:82" ht="13.5" thickTop="1">
      <c r="E34" s="1240"/>
      <c r="AL34" s="1311"/>
      <c r="AM34" s="1311"/>
      <c r="AN34" s="1311"/>
      <c r="AO34" s="1311"/>
      <c r="AP34" s="1311"/>
      <c r="AQ34" s="1311"/>
      <c r="AR34" s="1311"/>
      <c r="AS34" s="1311"/>
      <c r="AT34" s="1311"/>
      <c r="AU34" s="1311"/>
      <c r="AV34" s="1311"/>
      <c r="AW34" s="1311"/>
      <c r="AX34" s="1311"/>
      <c r="BZ34" s="1324"/>
      <c r="CC34" s="1325" t="s">
        <v>680</v>
      </c>
      <c r="CD34" s="1321"/>
    </row>
    <row r="35" spans="1:82" ht="13.5" thickBot="1">
      <c r="X35" s="224" t="s">
        <v>1002</v>
      </c>
      <c r="AH35" s="1009" t="s">
        <v>24</v>
      </c>
      <c r="AL35" s="1310">
        <f t="shared" ref="AL35:AX35" si="13">SUM(AL33)</f>
        <v>47183.329999999994</v>
      </c>
      <c r="AM35" s="1310">
        <f t="shared" si="13"/>
        <v>39477.730000000003</v>
      </c>
      <c r="AN35" s="1310">
        <f t="shared" si="13"/>
        <v>41719.429999999993</v>
      </c>
      <c r="AO35" s="1310">
        <f t="shared" si="13"/>
        <v>53660.03</v>
      </c>
      <c r="AP35" s="1310">
        <f t="shared" si="13"/>
        <v>141903.22000000003</v>
      </c>
      <c r="AQ35" s="1310">
        <f t="shared" si="13"/>
        <v>304958.82</v>
      </c>
      <c r="AR35" s="1310">
        <f t="shared" si="13"/>
        <v>312844.12</v>
      </c>
      <c r="AS35" s="1310">
        <f t="shared" si="13"/>
        <v>261271.03</v>
      </c>
      <c r="AT35" s="1310">
        <f t="shared" si="13"/>
        <v>275377.58999999997</v>
      </c>
      <c r="AU35" s="1310">
        <f t="shared" si="13"/>
        <v>183910.02000000002</v>
      </c>
      <c r="AV35" s="1310">
        <f t="shared" si="13"/>
        <v>114272.51</v>
      </c>
      <c r="AW35" s="1310">
        <f t="shared" si="13"/>
        <v>58112.649999999994</v>
      </c>
      <c r="AX35" s="1310">
        <f t="shared" si="13"/>
        <v>1834690.48</v>
      </c>
      <c r="CC35" s="1325" t="s">
        <v>676</v>
      </c>
      <c r="CD35" s="1321"/>
    </row>
    <row r="36" spans="1:82" ht="13.5" thickTop="1">
      <c r="BZ36" s="1324">
        <v>202207</v>
      </c>
      <c r="CC36" s="1321">
        <v>180140.3</v>
      </c>
      <c r="CD36" s="1321"/>
    </row>
    <row r="37" spans="1:82">
      <c r="X37"/>
      <c r="Y37"/>
      <c r="Z37"/>
      <c r="AA37"/>
      <c r="AB37"/>
      <c r="AC37"/>
      <c r="AD37"/>
      <c r="BZ37" s="1324">
        <v>202208</v>
      </c>
      <c r="CC37" s="1321">
        <v>152607.31</v>
      </c>
      <c r="CD37" s="1321"/>
    </row>
    <row r="38" spans="1:82">
      <c r="X38"/>
      <c r="Y38"/>
      <c r="Z38"/>
      <c r="AA38"/>
      <c r="AB38"/>
      <c r="AC38"/>
      <c r="AD38"/>
      <c r="BZ38" s="1324">
        <v>202209</v>
      </c>
      <c r="CC38" s="1321">
        <v>156281.82</v>
      </c>
      <c r="CD38" s="1321"/>
    </row>
    <row r="39" spans="1:82">
      <c r="X39"/>
      <c r="Y39"/>
      <c r="Z39"/>
      <c r="AA39"/>
      <c r="AB39"/>
      <c r="AC39"/>
      <c r="AD39"/>
      <c r="BZ39" s="1324">
        <v>202210</v>
      </c>
      <c r="CC39" s="1321">
        <v>181297.39</v>
      </c>
      <c r="CD39" s="1321"/>
    </row>
    <row r="40" spans="1:82">
      <c r="X40"/>
      <c r="Y40"/>
      <c r="Z40"/>
      <c r="AA40"/>
      <c r="AB40"/>
      <c r="AC40"/>
      <c r="AD40"/>
      <c r="BZ40" s="1324">
        <v>202211</v>
      </c>
      <c r="CC40" s="1321">
        <v>456996.89</v>
      </c>
      <c r="CD40" s="1321"/>
    </row>
    <row r="41" spans="1:82">
      <c r="X41"/>
      <c r="Y41"/>
      <c r="Z41"/>
      <c r="AA41"/>
      <c r="AB41"/>
      <c r="AC41"/>
      <c r="AD41"/>
      <c r="BZ41" s="1324">
        <v>202212</v>
      </c>
      <c r="CC41" s="1321">
        <v>897999.3</v>
      </c>
      <c r="CD41" s="1321"/>
    </row>
    <row r="42" spans="1:82">
      <c r="X42"/>
      <c r="Y42"/>
      <c r="Z42"/>
      <c r="AA42"/>
      <c r="AB42"/>
      <c r="AC42"/>
      <c r="AD42"/>
      <c r="AX42" s="1010"/>
      <c r="BZ42" s="1324" t="s">
        <v>1053</v>
      </c>
      <c r="CC42" s="1321">
        <v>935778.42</v>
      </c>
      <c r="CD42" s="1321"/>
    </row>
    <row r="43" spans="1:82" ht="13.5" thickBot="1">
      <c r="X43"/>
      <c r="Y43"/>
      <c r="Z43"/>
      <c r="AA43"/>
      <c r="AB43"/>
      <c r="AC43"/>
      <c r="AD43"/>
      <c r="AX43" s="1010"/>
      <c r="BZ43" s="1324">
        <v>202302</v>
      </c>
      <c r="CC43" s="1321">
        <v>747978.62</v>
      </c>
      <c r="CD43" s="1321"/>
    </row>
    <row r="44" spans="1:82">
      <c r="X44"/>
      <c r="Y44"/>
      <c r="Z44"/>
      <c r="AA44"/>
      <c r="AB44"/>
      <c r="AC44"/>
      <c r="AD44"/>
      <c r="AW44" s="1309"/>
      <c r="AX44" s="1308">
        <v>34893996.869999997</v>
      </c>
      <c r="BZ44" s="1324">
        <v>202303</v>
      </c>
      <c r="CC44" s="1321">
        <v>937698.09</v>
      </c>
      <c r="CD44" s="1321"/>
    </row>
    <row r="45" spans="1:82">
      <c r="X45"/>
      <c r="Y45"/>
      <c r="Z45"/>
      <c r="AA45"/>
      <c r="AB45"/>
      <c r="AC45"/>
      <c r="AD45"/>
      <c r="AW45" s="1307"/>
      <c r="AX45" s="1306">
        <v>34893996.870000005</v>
      </c>
      <c r="BZ45" s="1324">
        <v>202304</v>
      </c>
      <c r="CC45" s="1321">
        <v>642576.76</v>
      </c>
      <c r="CD45" s="1321"/>
    </row>
    <row r="46" spans="1:82" ht="13.5" thickBot="1">
      <c r="X46"/>
      <c r="Y46"/>
      <c r="Z46"/>
      <c r="AA46"/>
      <c r="AB46"/>
      <c r="AC46"/>
      <c r="AD46"/>
      <c r="AW46" s="1305" t="s">
        <v>82</v>
      </c>
      <c r="AX46" s="1304">
        <f>AX44-AX45</f>
        <v>0</v>
      </c>
      <c r="BZ46" s="1324">
        <v>202305</v>
      </c>
      <c r="CC46" s="1321">
        <v>430671.75</v>
      </c>
      <c r="CD46" s="1321"/>
    </row>
    <row r="47" spans="1:82">
      <c r="X47"/>
      <c r="Y47"/>
      <c r="Z47"/>
      <c r="AA47"/>
      <c r="AB47"/>
      <c r="AC47"/>
      <c r="AD47"/>
      <c r="BZ47" s="1324">
        <v>202306</v>
      </c>
      <c r="CC47" s="1321">
        <v>222036.26</v>
      </c>
      <c r="CD47" s="1321"/>
    </row>
    <row r="48" spans="1:82" ht="13.5" thickBot="1">
      <c r="X48"/>
      <c r="Y48"/>
      <c r="Z48"/>
      <c r="AA48"/>
      <c r="AB48"/>
      <c r="AC48"/>
      <c r="AD48"/>
      <c r="BZ48" s="1324"/>
      <c r="CC48" s="1323">
        <f>SUM(CC36:CC47)</f>
        <v>5942062.9100000001</v>
      </c>
      <c r="CD48" s="1321"/>
    </row>
    <row r="49" spans="24:80">
      <c r="X49"/>
      <c r="Y49"/>
      <c r="Z49"/>
      <c r="AA49"/>
      <c r="AB49"/>
      <c r="AC49"/>
      <c r="AD49"/>
      <c r="BZ49" s="1324"/>
    </row>
    <row r="50" spans="24:80">
      <c r="X50"/>
      <c r="Y50"/>
      <c r="Z50"/>
      <c r="AA50"/>
      <c r="AB50"/>
      <c r="AC50"/>
      <c r="AD50"/>
      <c r="BZ50" s="1324"/>
      <c r="CA50" s="1325" t="s">
        <v>681</v>
      </c>
      <c r="CB50" s="1325" t="s">
        <v>680</v>
      </c>
    </row>
    <row r="51" spans="24:80">
      <c r="X51"/>
      <c r="Y51"/>
      <c r="Z51"/>
      <c r="AA51"/>
      <c r="AB51"/>
      <c r="AC51"/>
      <c r="AD51"/>
      <c r="BZ51" s="1324"/>
      <c r="CA51" s="1325" t="s">
        <v>763</v>
      </c>
      <c r="CB51" s="1325" t="s">
        <v>763</v>
      </c>
    </row>
    <row r="52" spans="24:80">
      <c r="X52"/>
      <c r="Y52"/>
      <c r="Z52"/>
      <c r="AA52"/>
      <c r="AB52"/>
      <c r="AC52"/>
      <c r="AD52"/>
      <c r="BZ52" s="1324">
        <v>202207</v>
      </c>
      <c r="CA52" s="1321">
        <v>1562313.9</v>
      </c>
      <c r="CB52" s="1321">
        <v>219260.36</v>
      </c>
    </row>
    <row r="53" spans="24:80">
      <c r="X53"/>
      <c r="Y53"/>
      <c r="Z53"/>
      <c r="AA53"/>
      <c r="AB53"/>
      <c r="AC53"/>
      <c r="AD53"/>
      <c r="BZ53" s="1324">
        <v>202208</v>
      </c>
      <c r="CA53" s="1321">
        <v>1876961.25</v>
      </c>
      <c r="CB53" s="1321">
        <v>195478.83</v>
      </c>
    </row>
    <row r="54" spans="24:80">
      <c r="X54"/>
      <c r="Y54"/>
      <c r="Z54"/>
      <c r="AA54"/>
      <c r="AB54"/>
      <c r="AC54"/>
      <c r="AD54"/>
      <c r="BZ54" s="1324">
        <v>202209</v>
      </c>
      <c r="CA54" s="1321">
        <v>1770849.66</v>
      </c>
      <c r="CB54" s="1321">
        <v>329402.90999999997</v>
      </c>
    </row>
    <row r="55" spans="24:80">
      <c r="X55"/>
      <c r="Y55"/>
      <c r="Z55"/>
      <c r="AA55"/>
      <c r="AB55"/>
      <c r="AC55"/>
      <c r="AD55"/>
      <c r="BZ55" s="1324">
        <v>202210</v>
      </c>
      <c r="CA55" s="1321">
        <v>1447342.04</v>
      </c>
      <c r="CB55" s="1321">
        <v>133676.69</v>
      </c>
    </row>
    <row r="56" spans="24:80">
      <c r="X56"/>
      <c r="Y56"/>
      <c r="Z56"/>
      <c r="AA56"/>
      <c r="AB56"/>
      <c r="AC56"/>
      <c r="AD56"/>
      <c r="BZ56" s="1324">
        <v>202211</v>
      </c>
      <c r="CA56" s="1321">
        <v>1504423.52</v>
      </c>
      <c r="CB56" s="1321">
        <v>273047.13</v>
      </c>
    </row>
    <row r="57" spans="24:80">
      <c r="X57"/>
      <c r="Y57"/>
      <c r="Z57"/>
      <c r="AA57"/>
      <c r="AB57"/>
      <c r="AC57"/>
      <c r="AD57"/>
      <c r="BZ57" s="1324">
        <v>202212</v>
      </c>
      <c r="CA57" s="1321">
        <v>1996734.64</v>
      </c>
      <c r="CB57" s="1321">
        <v>1895544.21</v>
      </c>
    </row>
    <row r="58" spans="24:80">
      <c r="X58"/>
      <c r="Y58"/>
      <c r="Z58"/>
      <c r="AA58"/>
      <c r="AB58"/>
      <c r="AC58"/>
      <c r="AD58"/>
      <c r="BZ58" s="1324" t="s">
        <v>1053</v>
      </c>
      <c r="CA58" s="1321">
        <v>2294797.52</v>
      </c>
      <c r="CB58" s="1321">
        <v>1523666.05</v>
      </c>
    </row>
    <row r="59" spans="24:80">
      <c r="X59"/>
      <c r="Y59"/>
      <c r="Z59"/>
      <c r="AA59"/>
      <c r="AB59"/>
      <c r="AC59"/>
      <c r="AD59"/>
      <c r="BZ59" s="1324">
        <v>202302</v>
      </c>
      <c r="CA59" s="1321">
        <v>1551113.58</v>
      </c>
      <c r="CB59" s="1321">
        <v>1164171.8999999999</v>
      </c>
    </row>
    <row r="60" spans="24:80">
      <c r="X60"/>
      <c r="Y60"/>
      <c r="Z60"/>
      <c r="AA60"/>
      <c r="AB60"/>
      <c r="AC60"/>
      <c r="AD60"/>
      <c r="BZ60" s="1324">
        <v>202303</v>
      </c>
      <c r="CA60" s="1321">
        <v>2092329.92</v>
      </c>
      <c r="CB60" s="1321">
        <v>1299483.56</v>
      </c>
    </row>
    <row r="61" spans="24:80">
      <c r="X61" s="1278"/>
      <c r="Y61" s="1280"/>
      <c r="Z61" s="1279"/>
      <c r="AA61" s="1278"/>
      <c r="AB61" s="1277"/>
      <c r="AC61" s="1276"/>
      <c r="BZ61" s="1324">
        <v>202304</v>
      </c>
      <c r="CA61" s="1321">
        <v>1539664.01</v>
      </c>
      <c r="CB61" s="1321">
        <v>834791.73</v>
      </c>
    </row>
    <row r="62" spans="24:80">
      <c r="AC62" s="1274"/>
      <c r="BZ62" s="1324">
        <v>202305</v>
      </c>
      <c r="CA62" s="1321">
        <v>1632391.67</v>
      </c>
      <c r="CB62" s="1321">
        <v>551297.34</v>
      </c>
    </row>
    <row r="63" spans="24:80">
      <c r="X63" s="1275"/>
      <c r="AC63" s="1274"/>
      <c r="BZ63" s="1324">
        <v>202306</v>
      </c>
      <c r="CA63" s="1321">
        <v>1570328.71</v>
      </c>
      <c r="CB63" s="1321">
        <v>282989.73</v>
      </c>
    </row>
    <row r="64" spans="24:80" ht="13.5" thickBot="1">
      <c r="CA64" s="1323">
        <f>SUM(CA52:CA63)</f>
        <v>20839250.420000002</v>
      </c>
      <c r="CB64" s="1323">
        <f>SUM(CB52:CB63)</f>
        <v>8702810.4400000013</v>
      </c>
    </row>
    <row r="70" spans="24:24">
      <c r="X70" s="1273"/>
    </row>
    <row r="72" spans="24:24">
      <c r="X72" s="1273"/>
    </row>
    <row r="73" spans="24:24">
      <c r="X73" s="1273"/>
    </row>
  </sheetData>
  <mergeCells count="9">
    <mergeCell ref="A33:E33"/>
    <mergeCell ref="X1:AD1"/>
    <mergeCell ref="X2:AD2"/>
    <mergeCell ref="X3:AD3"/>
    <mergeCell ref="X4:AD4"/>
    <mergeCell ref="A1:E1"/>
    <mergeCell ref="A2:E2"/>
    <mergeCell ref="A3:E3"/>
    <mergeCell ref="A4:E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7FD4-8F11-45BC-AFD6-3A3FAEB21829}">
  <sheetPr codeName="Sheet15"/>
  <dimension ref="A1:AC81"/>
  <sheetViews>
    <sheetView workbookViewId="0"/>
  </sheetViews>
  <sheetFormatPr defaultColWidth="8.85546875" defaultRowHeight="15"/>
  <cols>
    <col min="1" max="1" width="17.140625" style="1361" customWidth="1"/>
    <col min="2" max="2" width="13.28515625" style="1362" bestFit="1" customWidth="1"/>
    <col min="3" max="3" width="10.5703125" style="1362" bestFit="1" customWidth="1"/>
    <col min="4" max="4" width="8.7109375" style="1362" bestFit="1" customWidth="1"/>
    <col min="5" max="5" width="10.5703125" style="1362" bestFit="1" customWidth="1"/>
    <col min="6" max="6" width="12.28515625" style="1362" customWidth="1"/>
    <col min="7" max="7" width="1.7109375" style="1362" customWidth="1"/>
    <col min="8" max="8" width="13.7109375" style="1362" customWidth="1"/>
    <col min="9" max="9" width="10.5703125" style="1362" bestFit="1" customWidth="1"/>
    <col min="10" max="10" width="12.7109375" style="1362" bestFit="1" customWidth="1"/>
    <col min="11" max="11" width="11.5703125" style="1362" bestFit="1" customWidth="1"/>
    <col min="12" max="12" width="9.140625" style="1362"/>
    <col min="13" max="13" width="1.7109375" style="1008" customWidth="1"/>
    <col min="14" max="14" width="8.85546875" style="477"/>
    <col min="15" max="15" width="16.85546875" style="477" customWidth="1"/>
    <col min="16" max="16" width="34.28515625" style="477" bestFit="1" customWidth="1"/>
    <col min="17" max="17" width="7.28515625" style="477" bestFit="1" customWidth="1"/>
    <col min="18" max="21" width="12.85546875" style="477" bestFit="1" customWidth="1"/>
    <col min="22" max="22" width="11.42578125" style="477" customWidth="1"/>
    <col min="23" max="23" width="2.28515625" style="477" customWidth="1"/>
    <col min="24" max="24" width="11.28515625" style="477" bestFit="1" customWidth="1"/>
    <col min="25" max="26" width="14" style="477" bestFit="1" customWidth="1"/>
    <col min="27" max="27" width="10.42578125" style="477" customWidth="1"/>
    <col min="28" max="28" width="1.85546875" style="477" customWidth="1"/>
    <col min="29" max="29" width="11.42578125" style="477" bestFit="1" customWidth="1"/>
    <col min="30" max="16384" width="8.85546875" style="477"/>
  </cols>
  <sheetData>
    <row r="1" spans="1:29" ht="15.75" thickBot="1">
      <c r="O1" s="531" t="s">
        <v>1062</v>
      </c>
    </row>
    <row r="2" spans="1:29" ht="15.75" thickBot="1">
      <c r="B2" s="3790" t="s">
        <v>1097</v>
      </c>
      <c r="C2" s="3791"/>
      <c r="D2" s="3791"/>
      <c r="E2" s="3791"/>
      <c r="F2" s="3792"/>
      <c r="H2" s="3790" t="s">
        <v>1061</v>
      </c>
      <c r="I2" s="3791"/>
      <c r="J2" s="3791"/>
      <c r="K2" s="3792"/>
      <c r="Q2" s="3787" t="s">
        <v>681</v>
      </c>
      <c r="R2" s="3788"/>
      <c r="S2" s="3788"/>
      <c r="T2" s="3788"/>
      <c r="U2" s="3788"/>
      <c r="V2" s="3789"/>
      <c r="W2" s="1117"/>
      <c r="X2" s="3787" t="s">
        <v>680</v>
      </c>
      <c r="Y2" s="3788"/>
      <c r="Z2" s="3788"/>
      <c r="AA2" s="3789"/>
      <c r="AB2" s="1117"/>
      <c r="AC2" s="1117" t="s">
        <v>978</v>
      </c>
    </row>
    <row r="3" spans="1:29">
      <c r="B3" s="1339"/>
      <c r="C3" s="1339"/>
      <c r="D3" s="1339"/>
      <c r="E3" s="1339"/>
      <c r="F3" s="1339"/>
      <c r="H3" s="1395"/>
      <c r="I3" s="1395"/>
      <c r="J3" s="1395"/>
      <c r="O3" s="477" t="s">
        <v>1065</v>
      </c>
      <c r="P3" s="477" t="s">
        <v>1066</v>
      </c>
      <c r="Q3" s="1117" t="s">
        <v>677</v>
      </c>
      <c r="R3" s="1117" t="s">
        <v>683</v>
      </c>
      <c r="S3" s="1117" t="s">
        <v>1067</v>
      </c>
      <c r="T3" s="1117" t="s">
        <v>676</v>
      </c>
      <c r="U3" s="1117" t="s">
        <v>763</v>
      </c>
      <c r="V3" s="1117" t="s">
        <v>24</v>
      </c>
      <c r="W3" s="1117"/>
      <c r="X3" s="1117" t="s">
        <v>683</v>
      </c>
      <c r="Y3" s="1117" t="s">
        <v>676</v>
      </c>
      <c r="Z3" s="1117" t="s">
        <v>763</v>
      </c>
      <c r="AA3" s="1117" t="s">
        <v>24</v>
      </c>
      <c r="AB3" s="1117"/>
      <c r="AC3" s="1117"/>
    </row>
    <row r="4" spans="1:29" ht="30">
      <c r="A4" s="1340"/>
      <c r="B4" s="1340" t="s">
        <v>80</v>
      </c>
      <c r="C4" s="1340" t="s">
        <v>81</v>
      </c>
      <c r="D4" s="1340" t="s">
        <v>1063</v>
      </c>
      <c r="E4" s="1340" t="s">
        <v>1064</v>
      </c>
      <c r="F4" s="1340" t="s">
        <v>24</v>
      </c>
      <c r="G4" s="1340"/>
      <c r="H4" s="1340" t="s">
        <v>80</v>
      </c>
      <c r="I4" s="1340" t="s">
        <v>81</v>
      </c>
      <c r="J4" s="1340" t="s">
        <v>1064</v>
      </c>
      <c r="K4" s="1340" t="s">
        <v>24</v>
      </c>
      <c r="L4" s="1340"/>
      <c r="O4" s="477" t="s">
        <v>1069</v>
      </c>
      <c r="P4" s="477" t="s">
        <v>1070</v>
      </c>
      <c r="Q4" s="1199">
        <v>0</v>
      </c>
      <c r="R4" s="1199">
        <v>705842</v>
      </c>
      <c r="S4" s="1199">
        <v>7105511</v>
      </c>
      <c r="T4" s="1199">
        <v>3243396</v>
      </c>
      <c r="U4" s="1199">
        <v>2365307</v>
      </c>
      <c r="V4" s="1199">
        <f>SUM(Q4:U4)</f>
        <v>13420056</v>
      </c>
      <c r="W4" s="879"/>
      <c r="X4" s="1199">
        <v>0</v>
      </c>
      <c r="Y4" s="1199">
        <v>0</v>
      </c>
      <c r="Z4" s="1199">
        <v>0</v>
      </c>
      <c r="AA4" s="1199">
        <f>SUM(X4:Z4)</f>
        <v>0</v>
      </c>
      <c r="AB4" s="879"/>
      <c r="AC4" s="1199">
        <f>SUM(V4,AA4)</f>
        <v>13420056</v>
      </c>
    </row>
    <row r="5" spans="1:29">
      <c r="A5" s="1340" t="s">
        <v>1068</v>
      </c>
      <c r="B5" s="1340"/>
      <c r="C5" s="1340"/>
      <c r="D5" s="1340"/>
      <c r="E5" s="1340"/>
      <c r="F5" s="1340"/>
      <c r="G5" s="1340"/>
      <c r="H5" s="1340"/>
      <c r="I5" s="1340"/>
      <c r="J5" s="1340"/>
      <c r="K5" s="1340"/>
      <c r="L5" s="1340"/>
      <c r="O5" s="477" t="s">
        <v>1071</v>
      </c>
      <c r="P5" s="477" t="s">
        <v>1072</v>
      </c>
      <c r="Q5" s="1199">
        <v>0</v>
      </c>
      <c r="R5" s="1199">
        <v>1788783</v>
      </c>
      <c r="S5" s="1199">
        <v>8422</v>
      </c>
      <c r="T5" s="1199">
        <v>0</v>
      </c>
      <c r="U5" s="1199">
        <v>5681346</v>
      </c>
      <c r="V5" s="1199">
        <f>SUM(Q5:U5)</f>
        <v>7478551</v>
      </c>
      <c r="W5" s="879"/>
      <c r="X5" s="1199">
        <v>968616</v>
      </c>
      <c r="Y5" s="1199">
        <v>5183204</v>
      </c>
      <c r="Z5" s="1199">
        <v>2759882</v>
      </c>
      <c r="AA5" s="1199">
        <f>SUM(X5:Z5)</f>
        <v>8911702</v>
      </c>
      <c r="AB5" s="879"/>
      <c r="AC5" s="1199">
        <f>SUM(V5,AA5)</f>
        <v>16390253</v>
      </c>
    </row>
    <row r="6" spans="1:29">
      <c r="A6" s="1341" t="s">
        <v>1096</v>
      </c>
      <c r="O6" s="477" t="s">
        <v>1073</v>
      </c>
      <c r="P6" s="477" t="s">
        <v>1074</v>
      </c>
      <c r="Q6" s="1199">
        <v>0</v>
      </c>
      <c r="R6" s="1199">
        <v>870849</v>
      </c>
      <c r="S6" s="1199">
        <v>1304881</v>
      </c>
      <c r="T6" s="1199">
        <v>12565</v>
      </c>
      <c r="U6" s="1199">
        <v>2282939</v>
      </c>
      <c r="V6" s="1199">
        <f>SUM(Q6:U6)</f>
        <v>4471234</v>
      </c>
      <c r="W6" s="879"/>
      <c r="X6" s="1199">
        <v>0</v>
      </c>
      <c r="Y6" s="1199">
        <v>0</v>
      </c>
      <c r="Z6" s="1199">
        <v>0</v>
      </c>
      <c r="AA6" s="1199">
        <f>SUM(X6:Z6)</f>
        <v>0</v>
      </c>
      <c r="AB6" s="879"/>
      <c r="AC6" s="1199">
        <f>SUM(V6,AA6)</f>
        <v>4471234</v>
      </c>
    </row>
    <row r="7" spans="1:29">
      <c r="A7" s="1361">
        <v>408190</v>
      </c>
      <c r="B7" s="1399">
        <f>'G-2.02,3.11,5.04 Prop Tax'!Z7</f>
        <v>259863</v>
      </c>
      <c r="C7" s="1399"/>
      <c r="D7" s="1399"/>
      <c r="E7" s="1399"/>
      <c r="F7" s="1400">
        <f>SUM(B7:E7)</f>
        <v>259863</v>
      </c>
      <c r="G7" s="1398"/>
      <c r="H7" s="1400">
        <f>ROUND($F$7*H16,0)</f>
        <v>160711</v>
      </c>
      <c r="I7" s="1400">
        <f>ROUND($F$7*I16,0)</f>
        <v>74075</v>
      </c>
      <c r="J7" s="1400">
        <f>ROUND($F$7*J16,0)</f>
        <v>25077</v>
      </c>
      <c r="K7" s="1400">
        <f>SUM(H7:J7)</f>
        <v>259863</v>
      </c>
      <c r="O7" s="477" t="s">
        <v>1075</v>
      </c>
      <c r="P7" s="477" t="s">
        <v>1076</v>
      </c>
      <c r="Q7" s="1199">
        <v>0</v>
      </c>
      <c r="R7" s="1199">
        <v>0</v>
      </c>
      <c r="S7" s="1199">
        <v>0</v>
      </c>
      <c r="T7" s="1199">
        <v>0</v>
      </c>
      <c r="U7" s="1199">
        <v>0</v>
      </c>
      <c r="V7" s="1199">
        <f>SUM(Q7:U7)</f>
        <v>0</v>
      </c>
      <c r="W7" s="879"/>
      <c r="X7" s="1199">
        <v>0</v>
      </c>
      <c r="Y7" s="1199">
        <v>0</v>
      </c>
      <c r="Z7" s="1199">
        <v>259863</v>
      </c>
      <c r="AA7" s="1199">
        <f>SUM(X7:Z7)</f>
        <v>259863</v>
      </c>
      <c r="AB7" s="879"/>
      <c r="AC7" s="1199">
        <f>SUM(V7,AA7)</f>
        <v>259863</v>
      </c>
    </row>
    <row r="8" spans="1:29" ht="15.75" thickBot="1">
      <c r="B8" s="1399"/>
      <c r="C8" s="1399"/>
      <c r="D8" s="1399"/>
      <c r="E8" s="1399"/>
      <c r="O8" s="477" t="s">
        <v>978</v>
      </c>
      <c r="Q8" s="1344">
        <f t="shared" ref="Q8:V8" si="0">SUM(Q4:Q7)</f>
        <v>0</v>
      </c>
      <c r="R8" s="1344">
        <f t="shared" si="0"/>
        <v>3365474</v>
      </c>
      <c r="S8" s="1344">
        <f t="shared" si="0"/>
        <v>8418814</v>
      </c>
      <c r="T8" s="1344">
        <f t="shared" si="0"/>
        <v>3255961</v>
      </c>
      <c r="U8" s="1344">
        <f t="shared" si="0"/>
        <v>10329592</v>
      </c>
      <c r="V8" s="1345">
        <f t="shared" si="0"/>
        <v>25369841</v>
      </c>
      <c r="W8" s="1343"/>
      <c r="X8" s="1344">
        <f>SUM(X4:X7)</f>
        <v>968616</v>
      </c>
      <c r="Y8" s="1344">
        <f>SUM(Y4:Y7)</f>
        <v>5183204</v>
      </c>
      <c r="Z8" s="1344">
        <f>SUM(Z4:Z7)</f>
        <v>3019745</v>
      </c>
      <c r="AA8" s="1345">
        <f>SUM(AA4:AA7)</f>
        <v>9171565</v>
      </c>
      <c r="AB8" s="1343"/>
      <c r="AC8" s="1344">
        <f>SUM(AC4:AC7)</f>
        <v>34541406</v>
      </c>
    </row>
    <row r="9" spans="1:29">
      <c r="A9" s="1341" t="s">
        <v>1077</v>
      </c>
      <c r="B9" s="1399"/>
      <c r="C9" s="1399"/>
      <c r="D9" s="1399"/>
      <c r="E9" s="1399"/>
    </row>
    <row r="10" spans="1:29" ht="15.75" thickBot="1">
      <c r="A10" s="1361">
        <v>408170</v>
      </c>
      <c r="B10" s="1373">
        <f>'G-2.02,3.11,5.04 Prop Tax'!Z5</f>
        <v>2759882</v>
      </c>
      <c r="C10" s="1373">
        <f>'G-2.02,3.11,5.04 Prop Tax'!X5</f>
        <v>968616</v>
      </c>
      <c r="D10" s="1373"/>
      <c r="E10" s="1373">
        <f>'G-2.02,3.11,5.04 Prop Tax'!Y5</f>
        <v>5183204</v>
      </c>
      <c r="F10" s="1372">
        <f>SUM(B10:E10)</f>
        <v>8911702</v>
      </c>
      <c r="H10" s="1372">
        <f>B10</f>
        <v>2759882</v>
      </c>
      <c r="I10" s="1372">
        <f>C10</f>
        <v>968616</v>
      </c>
      <c r="J10" s="1372">
        <f>E10</f>
        <v>5183204</v>
      </c>
      <c r="K10" s="1372">
        <f>SUM(H10:J10)</f>
        <v>8911702</v>
      </c>
      <c r="O10" s="531" t="s">
        <v>1078</v>
      </c>
    </row>
    <row r="11" spans="1:29" ht="15.75" thickBot="1">
      <c r="B11" s="1399"/>
      <c r="C11" s="1399"/>
      <c r="D11" s="1399"/>
      <c r="E11" s="1399"/>
      <c r="Q11" s="3787" t="s">
        <v>681</v>
      </c>
      <c r="R11" s="3788"/>
      <c r="S11" s="3788"/>
      <c r="T11" s="3788"/>
      <c r="U11" s="3788"/>
      <c r="V11" s="3789"/>
      <c r="W11" s="1117"/>
      <c r="X11" s="3787" t="s">
        <v>680</v>
      </c>
      <c r="Y11" s="3788"/>
      <c r="Z11" s="3788"/>
      <c r="AA11" s="3789"/>
      <c r="AB11" s="1117"/>
      <c r="AC11" s="1117" t="s">
        <v>978</v>
      </c>
    </row>
    <row r="12" spans="1:29" ht="15.75" thickBot="1">
      <c r="A12" s="1341" t="s">
        <v>1068</v>
      </c>
      <c r="B12" s="1367">
        <f>SUM(B7:B10)</f>
        <v>3019745</v>
      </c>
      <c r="C12" s="1367">
        <f>SUM(C7:C10)</f>
        <v>968616</v>
      </c>
      <c r="D12" s="1367">
        <f>SUM(D7:D10)</f>
        <v>0</v>
      </c>
      <c r="E12" s="1367">
        <f>SUM(E7:E10)</f>
        <v>5183204</v>
      </c>
      <c r="F12" s="1367">
        <f>SUM(F7:F10)</f>
        <v>9171565</v>
      </c>
      <c r="G12" s="1368"/>
      <c r="H12" s="1367">
        <f>SUM(H7:H10)</f>
        <v>2920593</v>
      </c>
      <c r="I12" s="1367">
        <f>SUM(I7:I10)</f>
        <v>1042691</v>
      </c>
      <c r="J12" s="1367">
        <f>SUM(J7:J10)</f>
        <v>5208281</v>
      </c>
      <c r="K12" s="1367">
        <f>SUM(K7:K10)</f>
        <v>9171565</v>
      </c>
      <c r="O12" s="477" t="s">
        <v>1065</v>
      </c>
      <c r="P12" s="477" t="s">
        <v>1066</v>
      </c>
      <c r="Q12" s="1117" t="s">
        <v>677</v>
      </c>
      <c r="R12" s="1117" t="s">
        <v>683</v>
      </c>
      <c r="S12" s="1117" t="s">
        <v>1067</v>
      </c>
      <c r="T12" s="1117" t="s">
        <v>676</v>
      </c>
      <c r="U12" s="1117" t="s">
        <v>763</v>
      </c>
      <c r="V12" s="1117" t="s">
        <v>24</v>
      </c>
      <c r="W12" s="1117"/>
      <c r="X12" s="1117" t="s">
        <v>683</v>
      </c>
      <c r="Y12" s="1117" t="s">
        <v>676</v>
      </c>
      <c r="Z12" s="1117" t="s">
        <v>763</v>
      </c>
      <c r="AA12" s="1117" t="s">
        <v>24</v>
      </c>
      <c r="AB12" s="1117"/>
      <c r="AC12" s="1117"/>
    </row>
    <row r="13" spans="1:29">
      <c r="O13" s="477" t="s">
        <v>1069</v>
      </c>
      <c r="P13" s="477" t="s">
        <v>1070</v>
      </c>
      <c r="Q13" s="1199">
        <v>0</v>
      </c>
      <c r="R13" s="1199">
        <v>62.55</v>
      </c>
      <c r="S13" s="1199">
        <f>6399.37+4295.81</f>
        <v>10695.18</v>
      </c>
      <c r="T13" s="1199">
        <v>0</v>
      </c>
      <c r="U13" s="1199">
        <f>-50.23-26.31-197.33</f>
        <v>-273.87</v>
      </c>
      <c r="V13" s="1199">
        <f>SUM(Q13:U13)</f>
        <v>10483.859999999999</v>
      </c>
      <c r="W13" s="1343"/>
      <c r="X13" s="1199">
        <v>0</v>
      </c>
      <c r="Y13" s="1199">
        <v>0</v>
      </c>
      <c r="Z13" s="1199">
        <v>0</v>
      </c>
      <c r="AA13" s="1199">
        <f>SUM(X13:Z13)</f>
        <v>0</v>
      </c>
      <c r="AB13" s="1343"/>
      <c r="AC13" s="1199">
        <f>SUM(V13,AA13)</f>
        <v>10483.859999999999</v>
      </c>
    </row>
    <row r="14" spans="1:29">
      <c r="G14" s="1398"/>
      <c r="H14" s="1397" t="s">
        <v>1095</v>
      </c>
      <c r="O14" s="477" t="s">
        <v>1071</v>
      </c>
      <c r="P14" s="477" t="s">
        <v>1072</v>
      </c>
      <c r="Q14" s="1199">
        <v>0</v>
      </c>
      <c r="R14" s="1199">
        <v>0</v>
      </c>
      <c r="S14" s="1199">
        <v>12.67</v>
      </c>
      <c r="T14" s="1199">
        <v>0</v>
      </c>
      <c r="U14" s="1199">
        <v>-657.78</v>
      </c>
      <c r="V14" s="1199">
        <f>SUM(Q14:U14)</f>
        <v>-645.11</v>
      </c>
      <c r="W14" s="1343"/>
      <c r="X14" s="1199">
        <v>-2.2200000000000002</v>
      </c>
      <c r="Y14" s="1199">
        <v>0</v>
      </c>
      <c r="Z14" s="1199">
        <v>844.89</v>
      </c>
      <c r="AA14" s="1199">
        <f>SUM(X14:Z14)</f>
        <v>842.67</v>
      </c>
      <c r="AB14" s="1343"/>
      <c r="AC14" s="1199">
        <f>SUM(V14,AA14)</f>
        <v>197.55999999999995</v>
      </c>
    </row>
    <row r="15" spans="1:29">
      <c r="H15" s="1340" t="s">
        <v>80</v>
      </c>
      <c r="I15" s="1340" t="s">
        <v>81</v>
      </c>
      <c r="J15" s="1340" t="s">
        <v>1064</v>
      </c>
      <c r="O15" s="477" t="s">
        <v>1073</v>
      </c>
      <c r="P15" s="477" t="s">
        <v>1074</v>
      </c>
      <c r="Q15" s="1199">
        <v>0</v>
      </c>
      <c r="R15" s="1199">
        <v>0</v>
      </c>
      <c r="S15" s="1199">
        <v>1964.16</v>
      </c>
      <c r="T15" s="1199">
        <v>0</v>
      </c>
      <c r="U15" s="1199">
        <v>0</v>
      </c>
      <c r="V15" s="1199">
        <f>SUM(Q15:U15)</f>
        <v>1964.16</v>
      </c>
      <c r="W15" s="1343"/>
      <c r="X15" s="1199">
        <v>0</v>
      </c>
      <c r="Y15" s="1199">
        <v>0</v>
      </c>
      <c r="Z15" s="1199">
        <v>0</v>
      </c>
      <c r="AA15" s="1199">
        <f>SUM(X15:Z15)</f>
        <v>0</v>
      </c>
      <c r="AB15" s="1343"/>
      <c r="AC15" s="1199">
        <f>SUM(V15,AA15)</f>
        <v>1964.16</v>
      </c>
    </row>
    <row r="16" spans="1:29">
      <c r="H16" s="1396">
        <f>(0.6845*0.9035)</f>
        <v>0.61844575000000002</v>
      </c>
      <c r="I16" s="1396">
        <f>0.9035-H16</f>
        <v>0.28505424999999995</v>
      </c>
      <c r="J16" s="1396">
        <f>0.0965</f>
        <v>9.6500000000000002E-2</v>
      </c>
      <c r="O16" s="477" t="s">
        <v>1075</v>
      </c>
      <c r="P16" s="477" t="s">
        <v>1076</v>
      </c>
      <c r="Q16" s="1199">
        <v>0</v>
      </c>
      <c r="R16" s="1199">
        <v>0</v>
      </c>
      <c r="S16" s="1199">
        <v>0</v>
      </c>
      <c r="T16" s="1199">
        <v>0</v>
      </c>
      <c r="U16" s="1199">
        <v>-264.31</v>
      </c>
      <c r="V16" s="1199">
        <f>SUM(Q16:U16)</f>
        <v>-264.31</v>
      </c>
      <c r="W16" s="1343"/>
      <c r="X16" s="1199">
        <v>0</v>
      </c>
      <c r="Y16" s="1199">
        <v>0</v>
      </c>
      <c r="Z16" s="1199">
        <v>0</v>
      </c>
      <c r="AA16" s="1199">
        <f>SUM(X16:Z16)</f>
        <v>0</v>
      </c>
      <c r="AB16" s="1343"/>
      <c r="AC16" s="1199">
        <f>SUM(V16,AA16)</f>
        <v>-264.31</v>
      </c>
    </row>
    <row r="17" spans="1:29" ht="15.75" thickBot="1">
      <c r="H17" s="1395"/>
      <c r="I17" s="1395"/>
      <c r="J17" s="1395"/>
      <c r="O17" s="477" t="s">
        <v>978</v>
      </c>
      <c r="Q17" s="1344">
        <f t="shared" ref="Q17:V17" si="1">SUM(Q13:Q16)</f>
        <v>0</v>
      </c>
      <c r="R17" s="1344">
        <f t="shared" si="1"/>
        <v>62.55</v>
      </c>
      <c r="S17" s="1344">
        <f t="shared" si="1"/>
        <v>12672.01</v>
      </c>
      <c r="T17" s="1344">
        <f t="shared" si="1"/>
        <v>0</v>
      </c>
      <c r="U17" s="1344">
        <f t="shared" si="1"/>
        <v>-1195.96</v>
      </c>
      <c r="V17" s="1344">
        <f t="shared" si="1"/>
        <v>11538.599999999999</v>
      </c>
      <c r="W17" s="1343"/>
      <c r="X17" s="1344">
        <f>SUM(X13:X16)</f>
        <v>-2.2200000000000002</v>
      </c>
      <c r="Y17" s="1344">
        <f>SUM(Y13:Y16)</f>
        <v>0</v>
      </c>
      <c r="Z17" s="1344">
        <f>SUM(Z13:Z16)</f>
        <v>844.89</v>
      </c>
      <c r="AA17" s="1344">
        <f>SUM(AA13:AA16)</f>
        <v>842.67</v>
      </c>
      <c r="AB17" s="1343"/>
      <c r="AC17" s="1344">
        <f>SUM(AC13:AC16)</f>
        <v>12381.269999999999</v>
      </c>
    </row>
    <row r="18" spans="1:29" ht="30.75" thickBot="1">
      <c r="A18" s="1346" t="s">
        <v>1079</v>
      </c>
      <c r="B18" s="1393">
        <f>B26</f>
        <v>3327434.0449999999</v>
      </c>
      <c r="C18" s="1393">
        <f>C26</f>
        <v>1162629.47</v>
      </c>
      <c r="D18" s="1393">
        <f>D26</f>
        <v>0</v>
      </c>
      <c r="E18" s="1393">
        <f>E26</f>
        <v>5193355.96</v>
      </c>
      <c r="F18" s="1393">
        <f>SUM(B18:E18)</f>
        <v>9683419.4749999996</v>
      </c>
      <c r="G18" s="1392"/>
      <c r="H18" s="1392"/>
      <c r="I18" s="1392"/>
      <c r="J18" s="1392"/>
      <c r="K18" s="1391"/>
    </row>
    <row r="19" spans="1:29" ht="15.75" thickBot="1">
      <c r="A19" s="1385"/>
      <c r="B19" s="1384"/>
      <c r="C19" s="1384"/>
      <c r="D19" s="1384"/>
      <c r="E19" s="1384"/>
      <c r="F19" s="1384"/>
      <c r="G19" s="1384"/>
      <c r="H19" s="1384"/>
      <c r="I19" s="1384"/>
      <c r="J19" s="1384"/>
      <c r="K19" s="1383"/>
      <c r="O19" s="531" t="s">
        <v>1080</v>
      </c>
    </row>
    <row r="20" spans="1:29" ht="15.75" thickBot="1">
      <c r="A20" s="1385" t="s">
        <v>1094</v>
      </c>
      <c r="B20" s="1384"/>
      <c r="C20" s="1384"/>
      <c r="D20" s="1384"/>
      <c r="E20" s="1384"/>
      <c r="F20" s="1384"/>
      <c r="G20" s="1384"/>
      <c r="H20" s="1384"/>
      <c r="I20" s="1384"/>
      <c r="J20" s="1384"/>
      <c r="K20" s="1383"/>
      <c r="Q20" s="3787" t="s">
        <v>681</v>
      </c>
      <c r="R20" s="3788"/>
      <c r="S20" s="3788"/>
      <c r="T20" s="3788"/>
      <c r="U20" s="3788"/>
      <c r="V20" s="3789"/>
      <c r="W20" s="1117"/>
      <c r="X20" s="3787" t="s">
        <v>680</v>
      </c>
      <c r="Y20" s="3788"/>
      <c r="Z20" s="3788"/>
      <c r="AA20" s="3789"/>
      <c r="AB20" s="1117"/>
      <c r="AC20" s="1117" t="s">
        <v>978</v>
      </c>
    </row>
    <row r="21" spans="1:29">
      <c r="A21" s="1385">
        <v>408190</v>
      </c>
      <c r="B21" s="1382">
        <f>'G-2.02,3.11,5.04 Prop Tax'!Z43</f>
        <v>311170.39</v>
      </c>
      <c r="C21" s="1382"/>
      <c r="D21" s="1382"/>
      <c r="E21" s="1382"/>
      <c r="F21" s="1382">
        <f>SUM(B21:E21)</f>
        <v>311170.39</v>
      </c>
      <c r="G21" s="1384"/>
      <c r="H21" s="1390">
        <f>ROUND($F$21*H16,0)</f>
        <v>192442</v>
      </c>
      <c r="I21" s="1390">
        <f>ROUND($F$21*I16,0)</f>
        <v>88700</v>
      </c>
      <c r="J21" s="1390">
        <f>ROUND($F$21*J16,0)</f>
        <v>30028</v>
      </c>
      <c r="K21" s="1389">
        <f>SUM(H21:J21)</f>
        <v>311170</v>
      </c>
      <c r="O21" s="477" t="s">
        <v>1065</v>
      </c>
      <c r="P21" s="477" t="s">
        <v>1066</v>
      </c>
      <c r="Q21" s="1117" t="s">
        <v>677</v>
      </c>
      <c r="R21" s="1117" t="s">
        <v>683</v>
      </c>
      <c r="S21" s="1117" t="s">
        <v>1067</v>
      </c>
      <c r="T21" s="1117" t="s">
        <v>676</v>
      </c>
      <c r="U21" s="1117" t="s">
        <v>763</v>
      </c>
      <c r="V21" s="1117" t="s">
        <v>24</v>
      </c>
      <c r="W21" s="1117"/>
      <c r="X21" s="1117" t="s">
        <v>683</v>
      </c>
      <c r="Y21" s="1117" t="s">
        <v>676</v>
      </c>
      <c r="Z21" s="1117" t="s">
        <v>763</v>
      </c>
      <c r="AA21" s="1117" t="s">
        <v>24</v>
      </c>
      <c r="AB21" s="1117"/>
      <c r="AC21" s="1117"/>
    </row>
    <row r="22" spans="1:29">
      <c r="A22" s="1385"/>
      <c r="B22" s="1382"/>
      <c r="C22" s="1382"/>
      <c r="D22" s="1382"/>
      <c r="E22" s="1382"/>
      <c r="F22" s="1382"/>
      <c r="G22" s="1384"/>
      <c r="H22" s="1384"/>
      <c r="I22" s="1384"/>
      <c r="J22" s="1384"/>
      <c r="K22" s="1383"/>
      <c r="O22" s="477" t="s">
        <v>1069</v>
      </c>
      <c r="P22" s="477" t="s">
        <v>1070</v>
      </c>
      <c r="Q22" s="1199">
        <v>0</v>
      </c>
      <c r="R22" s="1199">
        <f>-133886.5-44344.5</f>
        <v>-178231</v>
      </c>
      <c r="S22" s="1199">
        <f>-95049-63805</f>
        <v>-158854</v>
      </c>
      <c r="T22" s="1199">
        <f>-218988.5+119448.5</f>
        <v>-99540</v>
      </c>
      <c r="U22" s="1199">
        <f>-20625-5250-2750-174510.6-23268.04-44420.8</f>
        <v>-270824.44</v>
      </c>
      <c r="V22" s="1199">
        <f>SUM(Q22:U22)</f>
        <v>-707449.44</v>
      </c>
      <c r="W22" s="1343"/>
      <c r="X22" s="1199">
        <v>0</v>
      </c>
      <c r="Y22" s="1199">
        <v>0</v>
      </c>
      <c r="Z22" s="1199">
        <v>0</v>
      </c>
      <c r="AA22" s="1199">
        <f>SUM(X22:Z22)</f>
        <v>0</v>
      </c>
      <c r="AB22" s="1343"/>
      <c r="AC22" s="1199">
        <f>SUM(V22,AA22)</f>
        <v>-707449.44</v>
      </c>
    </row>
    <row r="23" spans="1:29">
      <c r="A23" s="1385" t="s">
        <v>1077</v>
      </c>
      <c r="B23" s="1382"/>
      <c r="C23" s="1382"/>
      <c r="D23" s="1382"/>
      <c r="E23" s="1382"/>
      <c r="F23" s="1382"/>
      <c r="G23" s="1384"/>
      <c r="H23" s="1384"/>
      <c r="I23" s="1384"/>
      <c r="J23" s="1384"/>
      <c r="K23" s="1383"/>
      <c r="O23" s="477" t="s">
        <v>1071</v>
      </c>
      <c r="P23" s="477" t="s">
        <v>1072</v>
      </c>
      <c r="Q23" s="1199">
        <v>0</v>
      </c>
      <c r="R23" s="1199">
        <v>-453680</v>
      </c>
      <c r="S23" s="1199">
        <v>-188</v>
      </c>
      <c r="T23" s="1199">
        <v>0</v>
      </c>
      <c r="U23" s="1199">
        <f>-68750-581700.855</f>
        <v>-650450.85499999998</v>
      </c>
      <c r="V23" s="1199">
        <f>SUM(Q23:U23)</f>
        <v>-1104318.855</v>
      </c>
      <c r="W23" s="1343"/>
      <c r="X23" s="1199">
        <v>-285378.5</v>
      </c>
      <c r="Y23" s="1199">
        <f>-54773+29877.5</f>
        <v>-24895.5</v>
      </c>
      <c r="Z23" s="1199">
        <v>-257226.54500000001</v>
      </c>
      <c r="AA23" s="1199">
        <f>SUM(X23:Z23)</f>
        <v>-567500.54500000004</v>
      </c>
      <c r="AB23" s="1343"/>
      <c r="AC23" s="1199">
        <f>SUM(V23,AA23)</f>
        <v>-1671819.4</v>
      </c>
    </row>
    <row r="24" spans="1:29">
      <c r="A24" s="1385">
        <v>408170</v>
      </c>
      <c r="B24" s="1388">
        <f>'G-2.02,3.11,5.04 Prop Tax'!Z41</f>
        <v>3016263.6549999998</v>
      </c>
      <c r="C24" s="1388">
        <f>'G-2.02,3.11,5.04 Prop Tax'!X41</f>
        <v>1162629.47</v>
      </c>
      <c r="D24" s="1388"/>
      <c r="E24" s="1388">
        <f>'G-2.02,3.11,5.04 Prop Tax'!Y41</f>
        <v>5193355.96</v>
      </c>
      <c r="F24" s="1388">
        <f>SUM(B24:E24)</f>
        <v>9372249.0850000009</v>
      </c>
      <c r="G24" s="1384"/>
      <c r="H24" s="1387">
        <f>B24</f>
        <v>3016263.6549999998</v>
      </c>
      <c r="I24" s="1387">
        <f>C24</f>
        <v>1162629.47</v>
      </c>
      <c r="J24" s="1387">
        <f>E24</f>
        <v>5193355.96</v>
      </c>
      <c r="K24" s="1386">
        <f>SUM(H24:J24)</f>
        <v>9372249.0850000009</v>
      </c>
      <c r="O24" s="477" t="s">
        <v>1073</v>
      </c>
      <c r="P24" s="477" t="s">
        <v>1074</v>
      </c>
      <c r="Q24" s="1199">
        <v>0</v>
      </c>
      <c r="R24" s="1199">
        <v>-220870.5</v>
      </c>
      <c r="S24" s="1199">
        <v>-29173.5</v>
      </c>
      <c r="T24" s="1199">
        <f>240-129.5</f>
        <v>110.5</v>
      </c>
      <c r="U24" s="1199">
        <f>-27625-233737.985</f>
        <v>-261362.98499999999</v>
      </c>
      <c r="V24" s="1199">
        <f>SUM(Q24:U24)</f>
        <v>-511296.48499999999</v>
      </c>
      <c r="W24" s="1343"/>
      <c r="X24" s="1199">
        <v>0</v>
      </c>
      <c r="Y24" s="1199">
        <v>0</v>
      </c>
      <c r="Z24" s="1199">
        <v>0</v>
      </c>
      <c r="AA24" s="1199">
        <f>SUM(X24:Z24)</f>
        <v>0</v>
      </c>
      <c r="AB24" s="1343"/>
      <c r="AC24" s="1199">
        <f>SUM(V24,AA24)</f>
        <v>-511296.48499999999</v>
      </c>
    </row>
    <row r="25" spans="1:29">
      <c r="A25" s="1385"/>
      <c r="B25" s="1382"/>
      <c r="C25" s="1382"/>
      <c r="D25" s="1382"/>
      <c r="E25" s="1382"/>
      <c r="F25" s="1382"/>
      <c r="G25" s="1384"/>
      <c r="H25" s="1384"/>
      <c r="I25" s="1384"/>
      <c r="J25" s="1384"/>
      <c r="K25" s="1383"/>
      <c r="O25" s="477" t="s">
        <v>1075</v>
      </c>
      <c r="P25" s="477" t="s">
        <v>1076</v>
      </c>
      <c r="Q25" s="1199">
        <v>0</v>
      </c>
      <c r="R25" s="1199">
        <v>0</v>
      </c>
      <c r="S25" s="1199">
        <v>0</v>
      </c>
      <c r="T25" s="1199">
        <v>0</v>
      </c>
      <c r="U25" s="1199">
        <v>0</v>
      </c>
      <c r="V25" s="1199">
        <f>SUM(Q25:U25)</f>
        <v>0</v>
      </c>
      <c r="W25" s="1343"/>
      <c r="X25" s="1199">
        <v>0</v>
      </c>
      <c r="Y25" s="1199">
        <v>0</v>
      </c>
      <c r="Z25" s="1199">
        <v>-51307.39</v>
      </c>
      <c r="AA25" s="1199">
        <f>SUM(X25:Z25)</f>
        <v>-51307.39</v>
      </c>
      <c r="AB25" s="1343"/>
      <c r="AC25" s="1199">
        <f>SUM(V25,AA25)</f>
        <v>-51307.39</v>
      </c>
    </row>
    <row r="26" spans="1:29" ht="15.75" thickBot="1">
      <c r="A26" s="1379"/>
      <c r="B26" s="1381">
        <f>SUM(B21:B24)</f>
        <v>3327434.0449999999</v>
      </c>
      <c r="C26" s="1381">
        <f>SUM(C21:C24)</f>
        <v>1162629.47</v>
      </c>
      <c r="D26" s="1381">
        <f>SUM(D21:D24)</f>
        <v>0</v>
      </c>
      <c r="E26" s="1381">
        <f>SUM(E21:E24)</f>
        <v>5193355.96</v>
      </c>
      <c r="F26" s="1381">
        <f>SUM(F21:F24)</f>
        <v>9683419.4750000015</v>
      </c>
      <c r="G26" s="1382"/>
      <c r="H26" s="1381">
        <f>SUM(H21:H24)</f>
        <v>3208705.6549999998</v>
      </c>
      <c r="I26" s="1381">
        <f>SUM(I21:I24)</f>
        <v>1251329.47</v>
      </c>
      <c r="J26" s="1381">
        <f>SUM(J21:J24)</f>
        <v>5223383.96</v>
      </c>
      <c r="K26" s="1380">
        <f>SUM(K21:K24)</f>
        <v>9683419.0850000009</v>
      </c>
      <c r="O26" s="477" t="s">
        <v>978</v>
      </c>
      <c r="Q26" s="1344">
        <f t="shared" ref="Q26:V26" si="2">SUM(Q22:Q25)</f>
        <v>0</v>
      </c>
      <c r="R26" s="1344">
        <f t="shared" si="2"/>
        <v>-852781.5</v>
      </c>
      <c r="S26" s="1344">
        <f t="shared" si="2"/>
        <v>-188215.5</v>
      </c>
      <c r="T26" s="1344">
        <f t="shared" si="2"/>
        <v>-99429.5</v>
      </c>
      <c r="U26" s="1344">
        <f t="shared" si="2"/>
        <v>-1182638.2799999998</v>
      </c>
      <c r="V26" s="1344">
        <f t="shared" si="2"/>
        <v>-2323064.7799999998</v>
      </c>
      <c r="W26" s="1343"/>
      <c r="X26" s="1344">
        <f>SUM(X22:X25)</f>
        <v>-285378.5</v>
      </c>
      <c r="Y26" s="1344">
        <f>SUM(Y22:Y25)</f>
        <v>-24895.5</v>
      </c>
      <c r="Z26" s="1344">
        <f>SUM(Z22:Z25)</f>
        <v>-308533.935</v>
      </c>
      <c r="AA26" s="1344">
        <f>SUM(AA22:AA25)</f>
        <v>-618807.93500000006</v>
      </c>
      <c r="AB26" s="1343"/>
      <c r="AC26" s="1344">
        <f>SUM(AC22:AC25)</f>
        <v>-2941872.7149999999</v>
      </c>
    </row>
    <row r="27" spans="1:29" ht="15.75" thickBot="1">
      <c r="A27" s="1379"/>
      <c r="B27" s="1378"/>
      <c r="C27" s="1378"/>
      <c r="D27" s="1378"/>
      <c r="E27" s="1378"/>
      <c r="F27" s="1378"/>
      <c r="G27" s="1378"/>
      <c r="H27" s="1378"/>
      <c r="I27" s="1378"/>
      <c r="J27" s="1378"/>
      <c r="K27" s="1377"/>
    </row>
    <row r="28" spans="1:29" ht="15.75" thickBot="1">
      <c r="O28" s="531" t="s">
        <v>1081</v>
      </c>
    </row>
    <row r="29" spans="1:29" ht="15.75" thickBot="1">
      <c r="A29" s="1347" t="s">
        <v>1082</v>
      </c>
      <c r="B29" s="1376"/>
      <c r="C29" s="1376"/>
      <c r="D29" s="1376"/>
      <c r="E29" s="1376"/>
      <c r="F29" s="1376"/>
      <c r="G29" s="1376"/>
      <c r="H29" s="1376"/>
      <c r="I29" s="1376"/>
      <c r="J29" s="1376"/>
      <c r="K29" s="1375"/>
      <c r="Q29" s="3787" t="s">
        <v>681</v>
      </c>
      <c r="R29" s="3788"/>
      <c r="S29" s="3788"/>
      <c r="T29" s="3788"/>
      <c r="U29" s="3788"/>
      <c r="V29" s="3789"/>
      <c r="W29" s="1117"/>
      <c r="X29" s="3787" t="s">
        <v>680</v>
      </c>
      <c r="Y29" s="3788"/>
      <c r="Z29" s="3788"/>
      <c r="AA29" s="3789"/>
      <c r="AB29" s="1117"/>
      <c r="AC29" s="1117" t="s">
        <v>978</v>
      </c>
    </row>
    <row r="30" spans="1:29">
      <c r="A30" s="1369" t="s">
        <v>1094</v>
      </c>
      <c r="K30" s="1370"/>
      <c r="O30" s="477" t="s">
        <v>1065</v>
      </c>
      <c r="P30" s="477" t="s">
        <v>1066</v>
      </c>
      <c r="Q30" s="1117" t="s">
        <v>677</v>
      </c>
      <c r="R30" s="1117" t="s">
        <v>683</v>
      </c>
      <c r="S30" s="1117" t="s">
        <v>1067</v>
      </c>
      <c r="T30" s="1117" t="s">
        <v>676</v>
      </c>
      <c r="U30" s="1117" t="s">
        <v>763</v>
      </c>
      <c r="V30" s="1117" t="s">
        <v>24</v>
      </c>
      <c r="W30" s="1117"/>
      <c r="X30" s="1117" t="s">
        <v>683</v>
      </c>
      <c r="Y30" s="1117" t="s">
        <v>676</v>
      </c>
      <c r="Z30" s="1117" t="s">
        <v>763</v>
      </c>
      <c r="AA30" s="1117" t="s">
        <v>24</v>
      </c>
      <c r="AB30" s="1117"/>
      <c r="AC30" s="1117"/>
    </row>
    <row r="31" spans="1:29">
      <c r="A31" s="1369">
        <v>408190</v>
      </c>
      <c r="B31" s="1368">
        <f>B21-B7</f>
        <v>51307.390000000014</v>
      </c>
      <c r="C31" s="1368">
        <f>C21-C7</f>
        <v>0</v>
      </c>
      <c r="D31" s="1368">
        <f>D21-D7</f>
        <v>0</v>
      </c>
      <c r="E31" s="1368">
        <f>E21-E7</f>
        <v>0</v>
      </c>
      <c r="F31" s="1368">
        <f>SUM(B31:E31)</f>
        <v>51307.390000000014</v>
      </c>
      <c r="H31" s="1368">
        <f>H21-H7</f>
        <v>31731</v>
      </c>
      <c r="I31" s="1368">
        <f>I21-I7</f>
        <v>14625</v>
      </c>
      <c r="J31" s="1368">
        <f>J21-J7</f>
        <v>4951</v>
      </c>
      <c r="K31" s="1374">
        <f>SUM(H31:J31)</f>
        <v>51307</v>
      </c>
      <c r="O31" s="477" t="s">
        <v>1069</v>
      </c>
      <c r="P31" s="477" t="s">
        <v>1070</v>
      </c>
      <c r="Q31" s="1199">
        <v>0</v>
      </c>
      <c r="R31" s="1199">
        <f>-15901.04-48008.91</f>
        <v>-63909.950000000004</v>
      </c>
      <c r="S31" s="1199">
        <v>0</v>
      </c>
      <c r="T31" s="1199">
        <v>34307.4</v>
      </c>
      <c r="U31" s="1199">
        <v>0</v>
      </c>
      <c r="V31" s="1199">
        <f>SUM(Q31:U31)</f>
        <v>-29602.550000000003</v>
      </c>
      <c r="W31" s="1343"/>
      <c r="X31" s="1199">
        <v>0</v>
      </c>
      <c r="Y31" s="1199">
        <v>0</v>
      </c>
      <c r="Z31" s="1199">
        <v>0</v>
      </c>
      <c r="AA31" s="1199">
        <f>SUM(X31:Z31)</f>
        <v>0</v>
      </c>
      <c r="AB31" s="1343"/>
      <c r="AC31" s="1199">
        <f>SUM(V31,AA31)</f>
        <v>-29602.550000000003</v>
      </c>
    </row>
    <row r="32" spans="1:29">
      <c r="A32" s="1369"/>
      <c r="B32" s="1368"/>
      <c r="C32" s="1368"/>
      <c r="D32" s="1368"/>
      <c r="E32" s="1368"/>
      <c r="F32" s="1368"/>
      <c r="K32" s="1370"/>
      <c r="O32" s="477" t="s">
        <v>1071</v>
      </c>
      <c r="P32" s="477" t="s">
        <v>1072</v>
      </c>
      <c r="Q32" s="1199">
        <v>0</v>
      </c>
      <c r="R32" s="1199">
        <f>-162679.88+962.1</f>
        <v>-161717.78</v>
      </c>
      <c r="S32" s="1199">
        <v>0</v>
      </c>
      <c r="T32" s="1199">
        <v>0</v>
      </c>
      <c r="U32" s="1199">
        <v>0</v>
      </c>
      <c r="V32" s="1199">
        <f>SUM(Q32:U32)</f>
        <v>-161717.78</v>
      </c>
      <c r="W32" s="1343"/>
      <c r="X32" s="1199">
        <v>-91367.25</v>
      </c>
      <c r="Y32" s="1199">
        <v>-14743.54</v>
      </c>
      <c r="Z32" s="1199">
        <v>0</v>
      </c>
      <c r="AA32" s="1199">
        <f>SUM(X32:Z32)</f>
        <v>-106110.79000000001</v>
      </c>
      <c r="AB32" s="1343"/>
      <c r="AC32" s="1199">
        <f>SUM(V32,AA32)</f>
        <v>-267828.57</v>
      </c>
    </row>
    <row r="33" spans="1:29">
      <c r="A33" s="1369" t="s">
        <v>1077</v>
      </c>
      <c r="B33" s="1368"/>
      <c r="C33" s="1368"/>
      <c r="D33" s="1368"/>
      <c r="E33" s="1368"/>
      <c r="F33" s="1368"/>
      <c r="K33" s="1370"/>
      <c r="O33" s="477" t="s">
        <v>1073</v>
      </c>
      <c r="P33" s="477" t="s">
        <v>1074</v>
      </c>
      <c r="Q33" s="1199">
        <v>0</v>
      </c>
      <c r="R33" s="1199">
        <v>-79199.42</v>
      </c>
      <c r="S33" s="1199">
        <v>0</v>
      </c>
      <c r="T33" s="1199">
        <v>-114.59</v>
      </c>
      <c r="U33" s="1199">
        <v>0</v>
      </c>
      <c r="V33" s="1199">
        <f>SUM(Q33:U33)</f>
        <v>-79314.009999999995</v>
      </c>
      <c r="W33" s="1343"/>
      <c r="X33" s="1199">
        <v>0</v>
      </c>
      <c r="Y33" s="1199">
        <v>0</v>
      </c>
      <c r="Z33" s="1199">
        <v>0</v>
      </c>
      <c r="AA33" s="1199">
        <f>SUM(X33:Z33)</f>
        <v>0</v>
      </c>
      <c r="AB33" s="1343"/>
      <c r="AC33" s="1199">
        <f>SUM(V33,AA33)</f>
        <v>-79314.009999999995</v>
      </c>
    </row>
    <row r="34" spans="1:29">
      <c r="A34" s="1369">
        <v>408170</v>
      </c>
      <c r="B34" s="1373">
        <f>B24-B10</f>
        <v>256381.6549999998</v>
      </c>
      <c r="C34" s="1373">
        <f>C24-C10</f>
        <v>194013.46999999997</v>
      </c>
      <c r="D34" s="1373">
        <f>D24-D10</f>
        <v>0</v>
      </c>
      <c r="E34" s="1373">
        <f>E24-E10</f>
        <v>10151.959999999963</v>
      </c>
      <c r="F34" s="1373">
        <f>SUM(B34:E34)</f>
        <v>460547.08499999973</v>
      </c>
      <c r="H34" s="1372">
        <f>H24-H10</f>
        <v>256381.6549999998</v>
      </c>
      <c r="I34" s="1372">
        <f>I24-I10</f>
        <v>194013.46999999997</v>
      </c>
      <c r="J34" s="1372">
        <f>J24-J10</f>
        <v>10151.959999999963</v>
      </c>
      <c r="K34" s="1371">
        <f>SUM(H34:J34)</f>
        <v>460547.08499999973</v>
      </c>
      <c r="O34" s="477" t="s">
        <v>1075</v>
      </c>
      <c r="P34" s="477" t="s">
        <v>1076</v>
      </c>
      <c r="Q34" s="1199">
        <v>0</v>
      </c>
      <c r="R34" s="1199">
        <v>0</v>
      </c>
      <c r="S34" s="1199">
        <v>0</v>
      </c>
      <c r="T34" s="1199">
        <v>0</v>
      </c>
      <c r="U34" s="1199">
        <v>0</v>
      </c>
      <c r="V34" s="1199">
        <f>SUM(Q34:U34)</f>
        <v>0</v>
      </c>
      <c r="W34" s="1343"/>
      <c r="X34" s="1199">
        <v>0</v>
      </c>
      <c r="Y34" s="1199">
        <v>0</v>
      </c>
      <c r="Z34" s="1199">
        <v>0</v>
      </c>
      <c r="AA34" s="1199">
        <f>SUM(X34:Z34)</f>
        <v>0</v>
      </c>
      <c r="AB34" s="1343"/>
      <c r="AC34" s="1199">
        <f>SUM(V34,AA34)</f>
        <v>0</v>
      </c>
    </row>
    <row r="35" spans="1:29" ht="15.75" thickBot="1">
      <c r="A35" s="1369"/>
      <c r="B35" s="1368"/>
      <c r="C35" s="1368"/>
      <c r="D35" s="1368"/>
      <c r="E35" s="1368"/>
      <c r="F35" s="1368"/>
      <c r="H35" s="1394"/>
      <c r="K35" s="1370"/>
      <c r="O35" s="477" t="s">
        <v>978</v>
      </c>
      <c r="Q35" s="1344">
        <f t="shared" ref="Q35:V35" si="3">SUM(Q31:Q34)</f>
        <v>0</v>
      </c>
      <c r="R35" s="1344">
        <f t="shared" si="3"/>
        <v>-304827.15000000002</v>
      </c>
      <c r="S35" s="1344">
        <f t="shared" si="3"/>
        <v>0</v>
      </c>
      <c r="T35" s="1344">
        <f t="shared" si="3"/>
        <v>34192.810000000005</v>
      </c>
      <c r="U35" s="1344">
        <f t="shared" si="3"/>
        <v>0</v>
      </c>
      <c r="V35" s="1344">
        <f t="shared" si="3"/>
        <v>-270634.34000000003</v>
      </c>
      <c r="W35" s="1343"/>
      <c r="X35" s="1344">
        <f>SUM(X31:X34)</f>
        <v>-91367.25</v>
      </c>
      <c r="Y35" s="1344">
        <f>SUM(Y31:Y34)</f>
        <v>-14743.54</v>
      </c>
      <c r="Z35" s="1344">
        <f>SUM(Z31:Z34)</f>
        <v>0</v>
      </c>
      <c r="AA35" s="1344">
        <f>SUM(AA31:AA34)</f>
        <v>-106110.79000000001</v>
      </c>
      <c r="AB35" s="1343"/>
      <c r="AC35" s="1344">
        <f>SUM(AC31:AC34)</f>
        <v>-376745.13</v>
      </c>
    </row>
    <row r="36" spans="1:29" ht="16.5" thickTop="1" thickBot="1">
      <c r="A36" s="1369"/>
      <c r="B36" s="1367">
        <f>SUM(B31:B34)</f>
        <v>307689.04499999981</v>
      </c>
      <c r="C36" s="1367">
        <f>SUM(C31:C34)</f>
        <v>194013.46999999997</v>
      </c>
      <c r="D36" s="1367">
        <f>SUM(D31:D34)</f>
        <v>0</v>
      </c>
      <c r="E36" s="1367">
        <f>SUM(E31:E34)</f>
        <v>10151.959999999963</v>
      </c>
      <c r="F36" s="1367">
        <f>SUM(F31:F34)</f>
        <v>511854.47499999974</v>
      </c>
      <c r="G36" s="1368"/>
      <c r="H36" s="1348">
        <f>SUM(H31:H34)</f>
        <v>288112.6549999998</v>
      </c>
      <c r="I36" s="1367">
        <f>SUM(I31:I34)</f>
        <v>208638.46999999997</v>
      </c>
      <c r="J36" s="1367">
        <f>SUM(J31:J34)</f>
        <v>15102.959999999963</v>
      </c>
      <c r="K36" s="1366">
        <f>SUM(K31:K34)</f>
        <v>511854.08499999973</v>
      </c>
    </row>
    <row r="37" spans="1:29" ht="15.75" thickBot="1">
      <c r="A37" s="1365"/>
      <c r="B37" s="1364"/>
      <c r="C37" s="1364"/>
      <c r="D37" s="1364"/>
      <c r="E37" s="1364"/>
      <c r="F37" s="1364"/>
      <c r="G37" s="1364"/>
      <c r="H37" s="1364"/>
      <c r="I37" s="1364"/>
      <c r="J37" s="1364"/>
      <c r="K37" s="1363"/>
      <c r="O37" s="531" t="s">
        <v>1083</v>
      </c>
    </row>
    <row r="38" spans="1:29" ht="15.75" thickBot="1">
      <c r="Q38" s="3787" t="s">
        <v>681</v>
      </c>
      <c r="R38" s="3788"/>
      <c r="S38" s="3788"/>
      <c r="T38" s="3788"/>
      <c r="U38" s="3788"/>
      <c r="V38" s="3789"/>
      <c r="W38" s="1117"/>
      <c r="X38" s="3787" t="s">
        <v>680</v>
      </c>
      <c r="Y38" s="3788"/>
      <c r="Z38" s="3788"/>
      <c r="AA38" s="3789"/>
      <c r="AB38" s="1117"/>
      <c r="AC38" s="1117" t="s">
        <v>978</v>
      </c>
    </row>
    <row r="39" spans="1:29" ht="15.75" thickBot="1">
      <c r="O39" s="477" t="s">
        <v>1065</v>
      </c>
      <c r="P39" s="477" t="s">
        <v>1066</v>
      </c>
      <c r="Q39" s="1117" t="s">
        <v>677</v>
      </c>
      <c r="R39" s="1117" t="s">
        <v>683</v>
      </c>
      <c r="S39" s="1117" t="s">
        <v>1067</v>
      </c>
      <c r="T39" s="1117" t="s">
        <v>676</v>
      </c>
      <c r="U39" s="1117" t="s">
        <v>763</v>
      </c>
      <c r="V39" s="1117" t="s">
        <v>24</v>
      </c>
      <c r="W39" s="1117"/>
      <c r="X39" s="1117" t="s">
        <v>683</v>
      </c>
      <c r="Y39" s="1117" t="s">
        <v>676</v>
      </c>
      <c r="Z39" s="1117" t="s">
        <v>763</v>
      </c>
      <c r="AA39" s="1117" t="s">
        <v>24</v>
      </c>
      <c r="AB39" s="1117"/>
      <c r="AC39" s="1117"/>
    </row>
    <row r="40" spans="1:29" ht="30.75" thickBot="1">
      <c r="A40" s="1346" t="s">
        <v>1084</v>
      </c>
      <c r="B40" s="1393">
        <v>4307994</v>
      </c>
      <c r="C40" s="1393">
        <v>1427426</v>
      </c>
      <c r="D40" s="1393">
        <f>D34</f>
        <v>0</v>
      </c>
      <c r="E40" s="1393">
        <v>6395625</v>
      </c>
      <c r="F40" s="1393">
        <f>SUM(B40:E40)</f>
        <v>12131045</v>
      </c>
      <c r="G40" s="1392"/>
      <c r="H40" s="1392"/>
      <c r="I40" s="1392"/>
      <c r="J40" s="1392"/>
      <c r="K40" s="1391"/>
      <c r="O40" s="477" t="s">
        <v>1069</v>
      </c>
      <c r="P40" s="477" t="s">
        <v>1070</v>
      </c>
      <c r="Q40" s="1199">
        <f>SUM(Q4,-Q13,Q31)</f>
        <v>0</v>
      </c>
      <c r="R40" s="1199">
        <f t="shared" ref="R40:U43" si="4">SUM(R4,-R13,-R22,R31)</f>
        <v>820100.5</v>
      </c>
      <c r="S40" s="1199">
        <f t="shared" si="4"/>
        <v>7253669.8200000003</v>
      </c>
      <c r="T40" s="1199">
        <f t="shared" si="4"/>
        <v>3377243.4</v>
      </c>
      <c r="U40" s="1199">
        <f t="shared" si="4"/>
        <v>2636405.31</v>
      </c>
      <c r="V40" s="1199">
        <f>SUM(Q40:U40)</f>
        <v>14087419.030000001</v>
      </c>
      <c r="W40" s="1343"/>
      <c r="X40" s="1199">
        <f t="shared" ref="X40:AA43" si="5">SUM(X4,-X13,-X22,X31)</f>
        <v>0</v>
      </c>
      <c r="Y40" s="1199">
        <f t="shared" si="5"/>
        <v>0</v>
      </c>
      <c r="Z40" s="1199">
        <f t="shared" si="5"/>
        <v>0</v>
      </c>
      <c r="AA40" s="1199">
        <f t="shared" si="5"/>
        <v>0</v>
      </c>
      <c r="AB40" s="1343"/>
      <c r="AC40" s="1199">
        <f>SUM(V40,AA40)</f>
        <v>14087419.030000001</v>
      </c>
    </row>
    <row r="41" spans="1:29">
      <c r="A41" s="1385"/>
      <c r="B41" s="1384"/>
      <c r="C41" s="1384"/>
      <c r="D41" s="1384"/>
      <c r="E41" s="1384"/>
      <c r="F41" s="1384"/>
      <c r="G41" s="1384"/>
      <c r="H41" s="1384"/>
      <c r="I41" s="1384"/>
      <c r="J41" s="1384"/>
      <c r="K41" s="1383"/>
      <c r="O41" s="477" t="s">
        <v>1071</v>
      </c>
      <c r="P41" s="477" t="s">
        <v>1072</v>
      </c>
      <c r="Q41" s="1199">
        <f>SUM(Q5,-Q14,Q32)</f>
        <v>0</v>
      </c>
      <c r="R41" s="1199">
        <f t="shared" si="4"/>
        <v>2080745.22</v>
      </c>
      <c r="S41" s="1199">
        <f t="shared" si="4"/>
        <v>8597.33</v>
      </c>
      <c r="T41" s="1199">
        <f t="shared" si="4"/>
        <v>0</v>
      </c>
      <c r="U41" s="1199">
        <f t="shared" si="4"/>
        <v>6332454.6349999998</v>
      </c>
      <c r="V41" s="1199">
        <f>SUM(Q41:U41)</f>
        <v>8421797.1850000005</v>
      </c>
      <c r="W41" s="1343"/>
      <c r="X41" s="1199">
        <f t="shared" si="5"/>
        <v>1162629.47</v>
      </c>
      <c r="Y41" s="1199">
        <f t="shared" si="5"/>
        <v>5193355.96</v>
      </c>
      <c r="Z41" s="1199">
        <f t="shared" si="5"/>
        <v>3016263.6549999998</v>
      </c>
      <c r="AA41" s="1199">
        <f t="shared" si="5"/>
        <v>9372249.0850000009</v>
      </c>
      <c r="AB41" s="1343"/>
      <c r="AC41" s="1199">
        <f>SUM(V41,AA41)</f>
        <v>17794046.270000003</v>
      </c>
    </row>
    <row r="42" spans="1:29">
      <c r="A42" s="1385" t="s">
        <v>1094</v>
      </c>
      <c r="B42" s="1384"/>
      <c r="C42" s="1384"/>
      <c r="D42" s="1384"/>
      <c r="E42" s="1384"/>
      <c r="F42" s="1384"/>
      <c r="G42" s="1384"/>
      <c r="H42" s="1384"/>
      <c r="I42" s="1384"/>
      <c r="J42" s="1384"/>
      <c r="K42" s="1383"/>
      <c r="O42" s="477" t="s">
        <v>1073</v>
      </c>
      <c r="P42" s="477" t="s">
        <v>1074</v>
      </c>
      <c r="Q42" s="1199">
        <f>SUM(Q6,-Q15,Q33)</f>
        <v>0</v>
      </c>
      <c r="R42" s="1199">
        <f t="shared" si="4"/>
        <v>1012520.08</v>
      </c>
      <c r="S42" s="1199">
        <f t="shared" si="4"/>
        <v>1332090.3400000001</v>
      </c>
      <c r="T42" s="1199">
        <f t="shared" si="4"/>
        <v>12339.91</v>
      </c>
      <c r="U42" s="1199">
        <f t="shared" si="4"/>
        <v>2544301.9849999999</v>
      </c>
      <c r="V42" s="1199">
        <f>SUM(Q42:U42)</f>
        <v>4901252.3149999995</v>
      </c>
      <c r="W42" s="1343"/>
      <c r="X42" s="1199">
        <f t="shared" si="5"/>
        <v>0</v>
      </c>
      <c r="Y42" s="1199">
        <f t="shared" si="5"/>
        <v>0</v>
      </c>
      <c r="Z42" s="1199">
        <f t="shared" si="5"/>
        <v>0</v>
      </c>
      <c r="AA42" s="1199">
        <f t="shared" si="5"/>
        <v>0</v>
      </c>
      <c r="AB42" s="1343"/>
      <c r="AC42" s="1199">
        <f>SUM(V42,AA42)</f>
        <v>4901252.3149999995</v>
      </c>
    </row>
    <row r="43" spans="1:29">
      <c r="A43" s="1385">
        <v>408190</v>
      </c>
      <c r="B43" s="1382">
        <f>B40*$B$21/$B$26</f>
        <v>402869.04412485816</v>
      </c>
      <c r="C43" s="1382"/>
      <c r="D43" s="1382"/>
      <c r="E43" s="1382"/>
      <c r="F43" s="1382">
        <f>SUM(B43:E43)</f>
        <v>402869.04412485816</v>
      </c>
      <c r="G43" s="1384"/>
      <c r="H43" s="1390">
        <f>ROUND(F43*H16,0)</f>
        <v>249153</v>
      </c>
      <c r="I43" s="1390">
        <f>ROUND(F43*I16,0)</f>
        <v>114840</v>
      </c>
      <c r="J43" s="1390">
        <f>ROUND(F43*J16,0)</f>
        <v>38877</v>
      </c>
      <c r="K43" s="1389">
        <f>SUM(H43:J43)</f>
        <v>402870</v>
      </c>
      <c r="O43" s="477" t="s">
        <v>1075</v>
      </c>
      <c r="P43" s="477" t="s">
        <v>1076</v>
      </c>
      <c r="Q43" s="1199">
        <f>SUM(Q7,-Q16,Q34)</f>
        <v>0</v>
      </c>
      <c r="R43" s="1199">
        <f t="shared" si="4"/>
        <v>0</v>
      </c>
      <c r="S43" s="1199">
        <f t="shared" si="4"/>
        <v>0</v>
      </c>
      <c r="T43" s="1199">
        <f t="shared" si="4"/>
        <v>0</v>
      </c>
      <c r="U43" s="1199">
        <f t="shared" si="4"/>
        <v>264.31</v>
      </c>
      <c r="V43" s="1199">
        <f>SUM(Q43:U43)</f>
        <v>264.31</v>
      </c>
      <c r="W43" s="1343"/>
      <c r="X43" s="1199">
        <f t="shared" si="5"/>
        <v>0</v>
      </c>
      <c r="Y43" s="1199">
        <f t="shared" si="5"/>
        <v>0</v>
      </c>
      <c r="Z43" s="1199">
        <f t="shared" si="5"/>
        <v>311170.39</v>
      </c>
      <c r="AA43" s="1199">
        <f t="shared" si="5"/>
        <v>311170.39</v>
      </c>
      <c r="AB43" s="1343"/>
      <c r="AC43" s="1199">
        <f>SUM(V43,AA43)</f>
        <v>311434.7</v>
      </c>
    </row>
    <row r="44" spans="1:29" ht="15.75" thickBot="1">
      <c r="A44" s="1385"/>
      <c r="B44" s="1382"/>
      <c r="C44" s="1382"/>
      <c r="D44" s="1382"/>
      <c r="E44" s="1382"/>
      <c r="F44" s="1382"/>
      <c r="G44" s="1384"/>
      <c r="H44" s="1384"/>
      <c r="I44" s="1384"/>
      <c r="J44" s="1384"/>
      <c r="K44" s="1383"/>
      <c r="O44" s="477" t="s">
        <v>978</v>
      </c>
      <c r="Q44" s="1344">
        <f t="shared" ref="Q44:V44" si="6">SUM(Q40:Q43)</f>
        <v>0</v>
      </c>
      <c r="R44" s="1344">
        <f t="shared" si="6"/>
        <v>3913365.8</v>
      </c>
      <c r="S44" s="1344">
        <f t="shared" si="6"/>
        <v>8594357.4900000002</v>
      </c>
      <c r="T44" s="1344">
        <f t="shared" si="6"/>
        <v>3389583.31</v>
      </c>
      <c r="U44" s="1344">
        <f t="shared" si="6"/>
        <v>11513426.24</v>
      </c>
      <c r="V44" s="1345">
        <f t="shared" si="6"/>
        <v>27410732.84</v>
      </c>
      <c r="W44" s="1343"/>
      <c r="X44" s="1344">
        <f>SUM(X40:X43)</f>
        <v>1162629.47</v>
      </c>
      <c r="Y44" s="1344">
        <f>SUM(Y40:Y43)</f>
        <v>5193355.96</v>
      </c>
      <c r="Z44" s="1344">
        <f>SUM(Z40:Z43)</f>
        <v>3327434.0449999999</v>
      </c>
      <c r="AA44" s="1345">
        <f>SUM(AA40:AA43)</f>
        <v>9683419.4750000015</v>
      </c>
      <c r="AB44" s="1343"/>
      <c r="AC44" s="1344">
        <f>SUM(AC40:AC43)</f>
        <v>37094152.315000005</v>
      </c>
    </row>
    <row r="45" spans="1:29">
      <c r="A45" s="1385" t="s">
        <v>1077</v>
      </c>
      <c r="B45" s="1382"/>
      <c r="C45" s="1382"/>
      <c r="D45" s="1382"/>
      <c r="E45" s="1382"/>
      <c r="F45" s="1382"/>
      <c r="G45" s="1384"/>
      <c r="H45" s="1384"/>
      <c r="I45" s="1384"/>
      <c r="J45" s="1384"/>
      <c r="K45" s="1383"/>
    </row>
    <row r="46" spans="1:29">
      <c r="A46" s="1385">
        <v>408170</v>
      </c>
      <c r="B46" s="1388">
        <f>B40-B43</f>
        <v>3905124.955875142</v>
      </c>
      <c r="C46" s="1388">
        <f>C40</f>
        <v>1427426</v>
      </c>
      <c r="D46" s="1388">
        <f>(D32/$C$12)*D40</f>
        <v>0</v>
      </c>
      <c r="E46" s="1388">
        <f>E40</f>
        <v>6395625</v>
      </c>
      <c r="F46" s="1388">
        <f>SUM(B46:E46)</f>
        <v>11728175.955875142</v>
      </c>
      <c r="G46" s="1384"/>
      <c r="H46" s="1387">
        <f>B46</f>
        <v>3905124.955875142</v>
      </c>
      <c r="I46" s="1387">
        <f>C46</f>
        <v>1427426</v>
      </c>
      <c r="J46" s="1387">
        <f>E46</f>
        <v>6395625</v>
      </c>
      <c r="K46" s="1386">
        <f>SUM(H46:J46)</f>
        <v>11728175.955875142</v>
      </c>
      <c r="AC46" s="888"/>
    </row>
    <row r="47" spans="1:29">
      <c r="A47" s="1385"/>
      <c r="B47" s="1382"/>
      <c r="C47" s="1382"/>
      <c r="D47" s="1382"/>
      <c r="E47" s="1382"/>
      <c r="F47" s="1382"/>
      <c r="G47" s="1384"/>
      <c r="H47" s="1384"/>
      <c r="I47" s="1384"/>
      <c r="J47" s="1384"/>
      <c r="K47" s="1383"/>
    </row>
    <row r="48" spans="1:29" ht="15.75" thickBot="1">
      <c r="A48" s="1379"/>
      <c r="B48" s="1381">
        <f>SUM(B43:B46)</f>
        <v>4307994</v>
      </c>
      <c r="C48" s="1381">
        <f>SUM(C43:C46)</f>
        <v>1427426</v>
      </c>
      <c r="D48" s="1381">
        <f>SUM(D43:D46)</f>
        <v>0</v>
      </c>
      <c r="E48" s="1381">
        <f>SUM(E43:E46)</f>
        <v>6395625</v>
      </c>
      <c r="F48" s="1381">
        <f>SUM(F43:F46)</f>
        <v>12131045</v>
      </c>
      <c r="G48" s="1382"/>
      <c r="H48" s="1381">
        <f>SUM(H43:H46)</f>
        <v>4154277.955875142</v>
      </c>
      <c r="I48" s="1381">
        <f>SUM(I43:I46)</f>
        <v>1542266</v>
      </c>
      <c r="J48" s="1381">
        <f>SUM(J43:J46)</f>
        <v>6434502</v>
      </c>
      <c r="K48" s="1380">
        <f>SUM(K43:K46)</f>
        <v>12131045.955875142</v>
      </c>
    </row>
    <row r="49" spans="1:20" ht="15.75" thickBot="1">
      <c r="A49" s="1379"/>
      <c r="B49" s="1378"/>
      <c r="C49" s="1378"/>
      <c r="D49" s="1378"/>
      <c r="E49" s="1378"/>
      <c r="F49" s="1378"/>
      <c r="G49" s="1378"/>
      <c r="H49" s="1378"/>
      <c r="I49" s="1378"/>
      <c r="J49" s="1378"/>
      <c r="K49" s="1377"/>
      <c r="P49" s="1350" t="s">
        <v>82</v>
      </c>
      <c r="Q49" s="1351"/>
      <c r="R49" s="1351"/>
      <c r="S49" s="1351"/>
      <c r="T49" s="1352"/>
    </row>
    <row r="50" spans="1:20" ht="15.75" thickBot="1">
      <c r="P50" s="1353"/>
      <c r="S50" s="477" t="s">
        <v>1085</v>
      </c>
      <c r="T50" s="1028" t="s">
        <v>1086</v>
      </c>
    </row>
    <row r="51" spans="1:20">
      <c r="A51" s="1347" t="s">
        <v>1090</v>
      </c>
      <c r="B51" s="1376"/>
      <c r="C51" s="1376"/>
      <c r="D51" s="1376"/>
      <c r="E51" s="1376"/>
      <c r="F51" s="1376"/>
      <c r="G51" s="1376"/>
      <c r="H51" s="1376"/>
      <c r="I51" s="1376"/>
      <c r="J51" s="1376"/>
      <c r="K51" s="1375"/>
      <c r="P51" s="1353"/>
      <c r="R51" s="890" t="s">
        <v>1087</v>
      </c>
      <c r="S51" s="1343">
        <v>39587672</v>
      </c>
      <c r="T51" s="1354">
        <f>S51/2</f>
        <v>19793836</v>
      </c>
    </row>
    <row r="52" spans="1:20">
      <c r="A52" s="1369" t="s">
        <v>1094</v>
      </c>
      <c r="K52" s="1370"/>
      <c r="P52" s="1353"/>
      <c r="R52" s="890" t="s">
        <v>1088</v>
      </c>
      <c r="S52" s="1342">
        <v>34582003</v>
      </c>
      <c r="T52" s="1355">
        <f>S52/2</f>
        <v>17291001.5</v>
      </c>
    </row>
    <row r="53" spans="1:20">
      <c r="A53" s="1369">
        <v>408190</v>
      </c>
      <c r="B53" s="1368">
        <f>B43-B21</f>
        <v>91698.654124858149</v>
      </c>
      <c r="C53" s="1368">
        <f>C43-C29</f>
        <v>0</v>
      </c>
      <c r="D53" s="1368">
        <f>D43-D29</f>
        <v>0</v>
      </c>
      <c r="E53" s="1368">
        <f>E43-E29</f>
        <v>0</v>
      </c>
      <c r="F53" s="1368">
        <f>SUM(B53:E53)</f>
        <v>91698.654124858149</v>
      </c>
      <c r="H53" s="1368">
        <f>$F$53*H16</f>
        <v>56710.642924238491</v>
      </c>
      <c r="I53" s="1368">
        <f>$F$53*I16</f>
        <v>26139.091077570843</v>
      </c>
      <c r="J53" s="1368">
        <f>$F$53*J16</f>
        <v>8848.9201230488125</v>
      </c>
      <c r="K53" s="1374">
        <f>SUM(H53:J53)</f>
        <v>91698.654124858149</v>
      </c>
      <c r="P53" s="1353"/>
      <c r="R53" s="890" t="s">
        <v>1089</v>
      </c>
      <c r="S53" s="1343"/>
      <c r="T53" s="1356">
        <f>T52+T51</f>
        <v>37084837.5</v>
      </c>
    </row>
    <row r="54" spans="1:20">
      <c r="A54" s="1369"/>
      <c r="B54" s="1368"/>
      <c r="C54" s="1368"/>
      <c r="D54" s="1368"/>
      <c r="E54" s="1368"/>
      <c r="F54" s="1368"/>
      <c r="K54" s="1370"/>
      <c r="P54" s="1353"/>
      <c r="R54" s="890" t="s">
        <v>1091</v>
      </c>
      <c r="S54" s="1343"/>
      <c r="T54" s="1357">
        <f>AC44</f>
        <v>37094152.315000005</v>
      </c>
    </row>
    <row r="55" spans="1:20" ht="15.75" thickBot="1">
      <c r="A55" s="1369" t="s">
        <v>1077</v>
      </c>
      <c r="B55" s="1368"/>
      <c r="C55" s="1368"/>
      <c r="D55" s="1368"/>
      <c r="E55" s="1368"/>
      <c r="F55" s="1368"/>
      <c r="K55" s="1370"/>
      <c r="P55" s="1358"/>
      <c r="Q55" s="1359"/>
      <c r="R55" s="1360" t="s">
        <v>1092</v>
      </c>
      <c r="S55" s="1360"/>
      <c r="T55" s="1349">
        <f>T53-T54</f>
        <v>-9314.8150000050664</v>
      </c>
    </row>
    <row r="56" spans="1:20">
      <c r="A56" s="1369">
        <v>408170</v>
      </c>
      <c r="B56" s="1373">
        <f>B46-B24</f>
        <v>888861.30087514222</v>
      </c>
      <c r="C56" s="1373">
        <f>C46-C24</f>
        <v>264796.53000000003</v>
      </c>
      <c r="D56" s="1373">
        <f>D46-D24</f>
        <v>0</v>
      </c>
      <c r="E56" s="1373">
        <f>E46-E24</f>
        <v>1202269.04</v>
      </c>
      <c r="F56" s="1373">
        <f>SUM(B56:E56)</f>
        <v>2355926.8708751425</v>
      </c>
      <c r="H56" s="1372">
        <f>B56</f>
        <v>888861.30087514222</v>
      </c>
      <c r="I56" s="1372">
        <f>C56</f>
        <v>264796.53000000003</v>
      </c>
      <c r="J56" s="1372">
        <f>E56</f>
        <v>1202269.04</v>
      </c>
      <c r="K56" s="1371">
        <f>SUM(H56:J56)</f>
        <v>2355926.8708751425</v>
      </c>
    </row>
    <row r="57" spans="1:20" ht="15.75" thickBot="1">
      <c r="A57" s="1369"/>
      <c r="B57" s="1368"/>
      <c r="C57" s="1368"/>
      <c r="D57" s="1368"/>
      <c r="E57" s="1368"/>
      <c r="F57" s="1368"/>
      <c r="K57" s="1370"/>
    </row>
    <row r="58" spans="1:20" ht="16.5" thickTop="1" thickBot="1">
      <c r="A58" s="1369"/>
      <c r="B58" s="1367">
        <f>SUM(B53:B56)</f>
        <v>980559.95500000031</v>
      </c>
      <c r="C58" s="1367">
        <f>SUM(C53:C56)</f>
        <v>264796.53000000003</v>
      </c>
      <c r="D58" s="1367">
        <f>SUM(D53:D56)</f>
        <v>0</v>
      </c>
      <c r="E58" s="1367">
        <f>SUM(E53:E56)</f>
        <v>1202269.04</v>
      </c>
      <c r="F58" s="1367">
        <f>SUM(F53:F56)</f>
        <v>2447625.5250000008</v>
      </c>
      <c r="G58" s="1368"/>
      <c r="H58" s="1348">
        <f>SUM(H53:H56)</f>
        <v>945571.94379938068</v>
      </c>
      <c r="I58" s="1367">
        <f>SUM(I53:I56)</f>
        <v>290935.62107757089</v>
      </c>
      <c r="J58" s="1367">
        <f>SUM(J53:J56)</f>
        <v>1211117.9601230489</v>
      </c>
      <c r="K58" s="1366">
        <f>SUM(K53:K56)</f>
        <v>2447625.5250000008</v>
      </c>
    </row>
    <row r="59" spans="1:20" ht="15.75" thickBot="1">
      <c r="A59" s="1365"/>
      <c r="B59" s="1364"/>
      <c r="C59" s="1364"/>
      <c r="D59" s="1364"/>
      <c r="E59" s="1364"/>
      <c r="F59" s="1364"/>
      <c r="G59" s="1364"/>
      <c r="H59" s="1364"/>
      <c r="I59" s="1364"/>
      <c r="J59" s="1364"/>
      <c r="K59" s="1363"/>
    </row>
    <row r="61" spans="1:20" ht="15.75" thickBot="1"/>
    <row r="62" spans="1:20" ht="30.75" thickBot="1">
      <c r="A62" s="1346" t="s">
        <v>1093</v>
      </c>
      <c r="B62" s="1393">
        <v>4338703</v>
      </c>
      <c r="C62" s="1393">
        <v>1346913</v>
      </c>
      <c r="D62" s="1393">
        <f>D56</f>
        <v>0</v>
      </c>
      <c r="E62" s="1393">
        <v>6491559</v>
      </c>
      <c r="F62" s="1393">
        <f>SUM(B62:E62)</f>
        <v>12177175</v>
      </c>
      <c r="G62" s="1392"/>
      <c r="H62" s="1392"/>
      <c r="I62" s="1392"/>
      <c r="J62" s="1392"/>
      <c r="K62" s="1391"/>
    </row>
    <row r="63" spans="1:20">
      <c r="A63" s="1385"/>
      <c r="B63" s="1384"/>
      <c r="C63" s="1384"/>
      <c r="D63" s="1384"/>
      <c r="E63" s="1384"/>
      <c r="F63" s="1384"/>
      <c r="G63" s="1384"/>
      <c r="H63" s="1384"/>
      <c r="I63" s="1384"/>
      <c r="J63" s="1384"/>
      <c r="K63" s="1383"/>
    </row>
    <row r="64" spans="1:20">
      <c r="A64" s="1385" t="s">
        <v>1094</v>
      </c>
      <c r="B64" s="1384"/>
      <c r="C64" s="1384"/>
      <c r="D64" s="1384"/>
      <c r="E64" s="1384"/>
      <c r="F64" s="1384"/>
      <c r="G64" s="1384"/>
      <c r="H64" s="1384"/>
      <c r="I64" s="1384"/>
      <c r="J64" s="1384"/>
      <c r="K64" s="1383"/>
    </row>
    <row r="65" spans="1:11">
      <c r="A65" s="1385">
        <v>408190</v>
      </c>
      <c r="B65" s="1382">
        <f>B62*$B$21/$B$26</f>
        <v>405740.84605309443</v>
      </c>
      <c r="C65" s="1382"/>
      <c r="D65" s="1382"/>
      <c r="E65" s="1382"/>
      <c r="F65" s="1382">
        <f>SUM(B65:E65)</f>
        <v>405740.84605309443</v>
      </c>
      <c r="G65" s="1384"/>
      <c r="H65" s="1390">
        <f>ROUND(F65*H16,0)</f>
        <v>250929</v>
      </c>
      <c r="I65" s="1390">
        <f>ROUND(F65*I16,0)</f>
        <v>115658</v>
      </c>
      <c r="J65" s="1390">
        <f>ROUND(F65*J16,0)</f>
        <v>39154</v>
      </c>
      <c r="K65" s="1389">
        <f>SUM(H65:J65)</f>
        <v>405741</v>
      </c>
    </row>
    <row r="66" spans="1:11">
      <c r="A66" s="1385"/>
      <c r="B66" s="1382"/>
      <c r="C66" s="1382"/>
      <c r="D66" s="1382"/>
      <c r="E66" s="1382"/>
      <c r="F66" s="1382"/>
      <c r="G66" s="1384"/>
      <c r="H66" s="1384"/>
      <c r="I66" s="1384"/>
      <c r="J66" s="1384"/>
      <c r="K66" s="1383"/>
    </row>
    <row r="67" spans="1:11">
      <c r="A67" s="1385" t="s">
        <v>1077</v>
      </c>
      <c r="B67" s="1382"/>
      <c r="C67" s="1382"/>
      <c r="D67" s="1382"/>
      <c r="E67" s="1382"/>
      <c r="F67" s="1382"/>
      <c r="G67" s="1384"/>
      <c r="H67" s="1384"/>
      <c r="I67" s="1384"/>
      <c r="J67" s="1384"/>
      <c r="K67" s="1383"/>
    </row>
    <row r="68" spans="1:11">
      <c r="A68" s="1385">
        <v>408170</v>
      </c>
      <c r="B68" s="1388">
        <f>B62-B65</f>
        <v>3932962.1539469054</v>
      </c>
      <c r="C68" s="1388">
        <f>C62</f>
        <v>1346913</v>
      </c>
      <c r="D68" s="1388">
        <f>(D54/$C$12)*D62</f>
        <v>0</v>
      </c>
      <c r="E68" s="1388">
        <f>E62</f>
        <v>6491559</v>
      </c>
      <c r="F68" s="1388">
        <f>SUM(B68:E68)</f>
        <v>11771434.153946906</v>
      </c>
      <c r="G68" s="1384"/>
      <c r="H68" s="1387">
        <f>B68</f>
        <v>3932962.1539469054</v>
      </c>
      <c r="I68" s="1387">
        <f>C68</f>
        <v>1346913</v>
      </c>
      <c r="J68" s="1387">
        <f>E68</f>
        <v>6491559</v>
      </c>
      <c r="K68" s="1386">
        <f>SUM(H68:J68)</f>
        <v>11771434.153946906</v>
      </c>
    </row>
    <row r="69" spans="1:11">
      <c r="A69" s="1385"/>
      <c r="B69" s="1382"/>
      <c r="C69" s="1382"/>
      <c r="D69" s="1382"/>
      <c r="E69" s="1382"/>
      <c r="F69" s="1382"/>
      <c r="G69" s="1384"/>
      <c r="H69" s="1384"/>
      <c r="I69" s="1384"/>
      <c r="J69" s="1384"/>
      <c r="K69" s="1383"/>
    </row>
    <row r="70" spans="1:11" ht="15.75" thickBot="1">
      <c r="A70" s="1379"/>
      <c r="B70" s="1381">
        <f>SUM(B65:B68)</f>
        <v>4338703</v>
      </c>
      <c r="C70" s="1381">
        <f>SUM(C65:C68)</f>
        <v>1346913</v>
      </c>
      <c r="D70" s="1381">
        <f>SUM(D65:D68)</f>
        <v>0</v>
      </c>
      <c r="E70" s="1381">
        <f>SUM(E65:E68)</f>
        <v>6491559</v>
      </c>
      <c r="F70" s="1381">
        <f>SUM(F65:F68)</f>
        <v>12177175</v>
      </c>
      <c r="G70" s="1382"/>
      <c r="H70" s="1381">
        <f>SUM(H65:H68)</f>
        <v>4183891.1539469054</v>
      </c>
      <c r="I70" s="1381">
        <f>SUM(I65:I68)</f>
        <v>1462571</v>
      </c>
      <c r="J70" s="1381">
        <f>SUM(J65:J68)</f>
        <v>6530713</v>
      </c>
      <c r="K70" s="1380">
        <f>SUM(K65:K68)</f>
        <v>12177175.153946906</v>
      </c>
    </row>
    <row r="71" spans="1:11" ht="15.75" thickBot="1">
      <c r="A71" s="1379"/>
      <c r="B71" s="1378"/>
      <c r="C71" s="1378"/>
      <c r="D71" s="1378"/>
      <c r="E71" s="1378"/>
      <c r="F71" s="1378"/>
      <c r="G71" s="1378"/>
      <c r="H71" s="1378"/>
      <c r="I71" s="1378"/>
      <c r="J71" s="1378"/>
      <c r="K71" s="1377"/>
    </row>
    <row r="72" spans="1:11" ht="15.75" thickBot="1"/>
    <row r="73" spans="1:11">
      <c r="A73" s="1347" t="s">
        <v>1090</v>
      </c>
      <c r="B73" s="1376"/>
      <c r="C73" s="1376"/>
      <c r="D73" s="1376"/>
      <c r="E73" s="1376"/>
      <c r="F73" s="1376"/>
      <c r="G73" s="1376"/>
      <c r="H73" s="1376"/>
      <c r="I73" s="1376"/>
      <c r="J73" s="1376"/>
      <c r="K73" s="1375"/>
    </row>
    <row r="74" spans="1:11">
      <c r="A74" s="1369" t="s">
        <v>1094</v>
      </c>
      <c r="K74" s="1370"/>
    </row>
    <row r="75" spans="1:11">
      <c r="A75" s="1369">
        <v>408190</v>
      </c>
      <c r="B75" s="1368">
        <f>B65-B43</f>
        <v>2871.8019282362657</v>
      </c>
      <c r="C75" s="1368">
        <f>C65-C51</f>
        <v>0</v>
      </c>
      <c r="D75" s="1368">
        <f>D65-D51</f>
        <v>0</v>
      </c>
      <c r="E75" s="1368">
        <f>E65-E51</f>
        <v>0</v>
      </c>
      <c r="F75" s="1368">
        <f>SUM(B75:E75)</f>
        <v>2871.8019282362657</v>
      </c>
      <c r="H75" s="1368">
        <f>F75*H16</f>
        <v>1776.0536973595235</v>
      </c>
      <c r="I75" s="1368">
        <f>F75*I16</f>
        <v>818.61934480194236</v>
      </c>
      <c r="J75" s="1368">
        <f>F75*J16</f>
        <v>277.12888607479965</v>
      </c>
      <c r="K75" s="1374">
        <f>SUM(H75:J75)</f>
        <v>2871.8019282362652</v>
      </c>
    </row>
    <row r="76" spans="1:11">
      <c r="A76" s="1369"/>
      <c r="B76" s="1368"/>
      <c r="C76" s="1368"/>
      <c r="D76" s="1368"/>
      <c r="E76" s="1368"/>
      <c r="F76" s="1368"/>
      <c r="K76" s="1370"/>
    </row>
    <row r="77" spans="1:11">
      <c r="A77" s="1369" t="s">
        <v>1077</v>
      </c>
      <c r="B77" s="1368"/>
      <c r="C77" s="1368"/>
      <c r="D77" s="1368"/>
      <c r="E77" s="1368"/>
      <c r="F77" s="1368"/>
      <c r="K77" s="1370"/>
    </row>
    <row r="78" spans="1:11">
      <c r="A78" s="1369">
        <v>408170</v>
      </c>
      <c r="B78" s="1373">
        <f>B68-B46</f>
        <v>27837.198071763385</v>
      </c>
      <c r="C78" s="1373">
        <f>C68-C46</f>
        <v>-80513</v>
      </c>
      <c r="D78" s="1373">
        <f>D68-D46</f>
        <v>0</v>
      </c>
      <c r="E78" s="1373">
        <f>E68-E46</f>
        <v>95934</v>
      </c>
      <c r="F78" s="1373">
        <f>SUM(B78:E78)</f>
        <v>43258.198071763385</v>
      </c>
      <c r="H78" s="1372">
        <f>B78</f>
        <v>27837.198071763385</v>
      </c>
      <c r="I78" s="1372">
        <f>C78</f>
        <v>-80513</v>
      </c>
      <c r="J78" s="1372">
        <f>E78</f>
        <v>95934</v>
      </c>
      <c r="K78" s="1371">
        <f>SUM(H78:J78)</f>
        <v>43258.198071763385</v>
      </c>
    </row>
    <row r="79" spans="1:11" ht="15.75" thickBot="1">
      <c r="A79" s="1369"/>
      <c r="B79" s="1368"/>
      <c r="C79" s="1368"/>
      <c r="D79" s="1368"/>
      <c r="E79" s="1368"/>
      <c r="F79" s="1368"/>
      <c r="K79" s="1370"/>
    </row>
    <row r="80" spans="1:11" ht="16.5" thickTop="1" thickBot="1">
      <c r="A80" s="1369"/>
      <c r="B80" s="1367">
        <f>SUM(B75:B78)</f>
        <v>30708.999999999651</v>
      </c>
      <c r="C80" s="1367">
        <f>SUM(C75:C78)</f>
        <v>-80513</v>
      </c>
      <c r="D80" s="1367">
        <f>SUM(D75:D78)</f>
        <v>0</v>
      </c>
      <c r="E80" s="1367">
        <f>SUM(E75:E78)</f>
        <v>95934</v>
      </c>
      <c r="F80" s="1367">
        <f>SUM(F75:F78)</f>
        <v>46129.999999999651</v>
      </c>
      <c r="G80" s="1368"/>
      <c r="H80" s="1348">
        <f>SUM(H75:H78)</f>
        <v>29613.251769122908</v>
      </c>
      <c r="I80" s="1367">
        <f>SUM(I75:I78)</f>
        <v>-79694.380655198052</v>
      </c>
      <c r="J80" s="1367">
        <f>SUM(J75:J78)</f>
        <v>96211.128886074803</v>
      </c>
      <c r="K80" s="1366">
        <f>SUM(K75:K78)</f>
        <v>46129.999999999651</v>
      </c>
    </row>
    <row r="81" spans="1:11" ht="15.75" thickBot="1">
      <c r="A81" s="1365"/>
      <c r="B81" s="1364"/>
      <c r="C81" s="1364"/>
      <c r="D81" s="1364"/>
      <c r="E81" s="1364"/>
      <c r="F81" s="1364"/>
      <c r="G81" s="1364"/>
      <c r="H81" s="1364"/>
      <c r="I81" s="1364"/>
      <c r="J81" s="1364"/>
      <c r="K81" s="1363"/>
    </row>
  </sheetData>
  <mergeCells count="12">
    <mergeCell ref="Q38:V38"/>
    <mergeCell ref="X38:AA38"/>
    <mergeCell ref="B2:F2"/>
    <mergeCell ref="H2:K2"/>
    <mergeCell ref="Q2:V2"/>
    <mergeCell ref="X2:AA2"/>
    <mergeCell ref="Q11:V11"/>
    <mergeCell ref="X11:AA11"/>
    <mergeCell ref="Q29:V29"/>
    <mergeCell ref="X29:AA29"/>
    <mergeCell ref="Q20:V20"/>
    <mergeCell ref="X20:AA20"/>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34D0-284A-432D-A2E6-1B283E8A1FE6}">
  <sheetPr codeName="Sheet16"/>
  <dimension ref="A1:CH154"/>
  <sheetViews>
    <sheetView workbookViewId="0"/>
  </sheetViews>
  <sheetFormatPr defaultColWidth="8.85546875" defaultRowHeight="12.75"/>
  <cols>
    <col min="1" max="1" width="22" style="1402" customWidth="1"/>
    <col min="2" max="2" width="11.140625" style="1402" customWidth="1"/>
    <col min="3" max="3" width="16.28515625" style="1402" customWidth="1"/>
    <col min="4" max="4" width="8.5703125" style="1402" customWidth="1"/>
    <col min="5" max="5" width="13.28515625" style="1402" customWidth="1"/>
    <col min="6" max="6" width="5.28515625" style="1402" customWidth="1"/>
    <col min="7" max="8" width="11.140625" style="1402" customWidth="1"/>
    <col min="9" max="9" width="1.5703125" style="1008" customWidth="1"/>
    <col min="10" max="11" width="8.85546875" style="477"/>
    <col min="12" max="14" width="11.140625" style="477" customWidth="1"/>
    <col min="15" max="15" width="12.85546875" style="477" bestFit="1" customWidth="1"/>
    <col min="16" max="25" width="11.140625" style="477" customWidth="1"/>
    <col min="26" max="26" width="2.28515625" style="477" customWidth="1"/>
    <col min="27" max="27" width="10.28515625" style="477" bestFit="1" customWidth="1"/>
    <col min="28" max="32" width="14.5703125" style="477" customWidth="1"/>
    <col min="33" max="33" width="13.140625" style="477" bestFit="1" customWidth="1"/>
    <col min="34" max="34" width="10.28515625" style="477" bestFit="1" customWidth="1"/>
    <col min="35" max="35" width="8.85546875" style="477"/>
    <col min="36" max="36" width="1.7109375" style="1008" customWidth="1"/>
    <col min="37" max="37" width="8.85546875" style="477"/>
    <col min="38" max="38" width="9" style="477" bestFit="1" customWidth="1"/>
    <col min="39" max="40" width="15.85546875" style="477" bestFit="1" customWidth="1"/>
    <col min="41" max="41" width="14.85546875" style="477" bestFit="1" customWidth="1"/>
    <col min="42" max="42" width="13.85546875" style="477" bestFit="1" customWidth="1"/>
    <col min="43" max="43" width="12.28515625" style="477" bestFit="1" customWidth="1"/>
    <col min="44" max="44" width="11.7109375" style="477" bestFit="1" customWidth="1"/>
    <col min="45" max="45" width="14" style="477" bestFit="1" customWidth="1"/>
    <col min="46" max="46" width="1.28515625" style="477" customWidth="1"/>
    <col min="47" max="47" width="9" style="477" bestFit="1" customWidth="1"/>
    <col min="48" max="48" width="13.28515625" style="477" bestFit="1" customWidth="1"/>
    <col min="49" max="50" width="12.85546875" style="477" bestFit="1" customWidth="1"/>
    <col min="51" max="51" width="11.7109375" style="477" bestFit="1" customWidth="1"/>
    <col min="52" max="52" width="9.7109375" style="477" bestFit="1" customWidth="1"/>
    <col min="53" max="53" width="11.140625" style="477" bestFit="1" customWidth="1"/>
    <col min="54" max="55" width="9.28515625" style="477" bestFit="1" customWidth="1"/>
    <col min="56" max="56" width="11.140625" style="477" customWidth="1"/>
    <col min="57" max="57" width="14" style="477" bestFit="1" customWidth="1"/>
    <col min="58" max="58" width="8.85546875" style="477"/>
    <col min="59" max="59" width="1.7109375" style="1008" customWidth="1"/>
    <col min="60" max="60" width="8.85546875" style="477"/>
    <col min="61" max="61" width="6" style="477" customWidth="1"/>
    <col min="62" max="62" width="21.5703125" style="477" bestFit="1" customWidth="1"/>
    <col min="63" max="63" width="14.85546875" style="477" bestFit="1" customWidth="1"/>
    <col min="64" max="64" width="12.85546875" style="477" bestFit="1" customWidth="1"/>
    <col min="65" max="65" width="13.5703125" style="477" bestFit="1" customWidth="1"/>
    <col min="66" max="66" width="11.85546875" style="477" bestFit="1" customWidth="1"/>
    <col min="67" max="67" width="13.42578125" style="477" bestFit="1" customWidth="1"/>
    <col min="68" max="68" width="2.42578125" style="477" customWidth="1"/>
    <col min="69" max="69" width="11.85546875" style="477" bestFit="1" customWidth="1"/>
    <col min="70" max="70" width="1.7109375" style="1008" customWidth="1"/>
    <col min="71" max="71" width="8.85546875" style="477"/>
    <col min="72" max="72" width="2.28515625" style="1009" customWidth="1"/>
    <col min="73" max="73" width="13.5703125" style="1009" bestFit="1" customWidth="1"/>
    <col min="74" max="76" width="15.85546875" style="1009" customWidth="1"/>
    <col min="77" max="77" width="23.28515625" style="1009" bestFit="1" customWidth="1"/>
    <col min="78" max="78" width="13.7109375" style="1009" bestFit="1" customWidth="1"/>
    <col min="79" max="79" width="14.28515625" style="1009" bestFit="1" customWidth="1"/>
    <col min="80" max="83" width="15.7109375" style="1009" customWidth="1"/>
    <col min="84" max="84" width="13.85546875" style="1009" customWidth="1"/>
    <col min="85" max="85" width="20.28515625" style="1009" bestFit="1" customWidth="1"/>
    <col min="86" max="86" width="14.42578125" style="1009" customWidth="1"/>
    <col min="87" max="16384" width="8.85546875" style="477"/>
  </cols>
  <sheetData>
    <row r="1" spans="1:85">
      <c r="A1" s="1401" t="s">
        <v>111</v>
      </c>
      <c r="K1" s="1401" t="s">
        <v>111</v>
      </c>
      <c r="AL1" s="1401" t="s">
        <v>111</v>
      </c>
      <c r="AU1" s="1401" t="s">
        <v>111</v>
      </c>
      <c r="BI1" s="634" t="s">
        <v>1098</v>
      </c>
      <c r="BJ1" s="634" t="s">
        <v>1099</v>
      </c>
      <c r="BT1" s="1403" t="s">
        <v>1100</v>
      </c>
    </row>
    <row r="2" spans="1:85" ht="15.75" thickBot="1">
      <c r="A2" s="1401" t="s">
        <v>1101</v>
      </c>
      <c r="K2" s="1401" t="s">
        <v>1101</v>
      </c>
      <c r="AL2" s="1401" t="s">
        <v>1101</v>
      </c>
      <c r="AU2" s="1401" t="s">
        <v>1101</v>
      </c>
      <c r="BU2" s="3795" t="s">
        <v>1102</v>
      </c>
      <c r="BV2" s="3795"/>
      <c r="BW2" s="3795"/>
      <c r="BX2" s="3795"/>
      <c r="BY2" s="3795"/>
      <c r="BZ2" s="3795"/>
      <c r="CA2" s="3795"/>
      <c r="CB2" s="3795"/>
      <c r="CC2" s="3795"/>
      <c r="CD2" s="3795"/>
      <c r="CE2" s="3795"/>
      <c r="CF2" s="3795"/>
      <c r="CG2" s="3795"/>
    </row>
    <row r="3" spans="1:85" ht="15">
      <c r="A3" s="1401" t="s">
        <v>580</v>
      </c>
      <c r="K3" s="1401" t="s">
        <v>580</v>
      </c>
      <c r="AL3" s="1401" t="s">
        <v>580</v>
      </c>
      <c r="AU3" s="1401" t="s">
        <v>580</v>
      </c>
      <c r="BU3" s="1404" t="s">
        <v>1103</v>
      </c>
      <c r="BV3" s="3796" t="s">
        <v>538</v>
      </c>
      <c r="BW3" s="3797"/>
      <c r="BX3" s="3797"/>
      <c r="BY3" s="3797"/>
      <c r="BZ3" s="3797"/>
      <c r="CA3" s="3798"/>
      <c r="CB3" s="3796" t="s">
        <v>1104</v>
      </c>
      <c r="CC3" s="3797"/>
      <c r="CD3" s="3797"/>
      <c r="CE3" s="3797"/>
      <c r="CF3" s="3797"/>
      <c r="CG3" s="3798"/>
    </row>
    <row r="4" spans="1:85" ht="45">
      <c r="AL4" s="1401"/>
      <c r="AU4" s="1401"/>
      <c r="BU4" s="1405"/>
      <c r="BV4" s="1406" t="s">
        <v>1105</v>
      </c>
      <c r="BW4" s="1405" t="s">
        <v>1106</v>
      </c>
      <c r="BX4" s="1405" t="s">
        <v>1107</v>
      </c>
      <c r="BY4" s="1405" t="s">
        <v>1108</v>
      </c>
      <c r="BZ4" s="1405" t="s">
        <v>1109</v>
      </c>
      <c r="CA4" s="1407" t="s">
        <v>1110</v>
      </c>
      <c r="CB4" s="1406" t="s">
        <v>1105</v>
      </c>
      <c r="CC4" s="1405" t="s">
        <v>1106</v>
      </c>
      <c r="CD4" s="1405" t="s">
        <v>1107</v>
      </c>
      <c r="CE4" s="1405" t="s">
        <v>1108</v>
      </c>
      <c r="CF4" s="1405" t="s">
        <v>1109</v>
      </c>
      <c r="CG4" s="1407" t="s">
        <v>1110</v>
      </c>
    </row>
    <row r="5" spans="1:85" ht="13.5" thickBot="1">
      <c r="AL5" s="1401" t="s">
        <v>1111</v>
      </c>
      <c r="AU5" s="1401" t="s">
        <v>1112</v>
      </c>
      <c r="BI5" s="1408" t="s">
        <v>1113</v>
      </c>
      <c r="BU5" s="1409">
        <v>43983</v>
      </c>
      <c r="BV5" s="1410"/>
      <c r="BW5" s="1411"/>
      <c r="BX5" s="1411"/>
      <c r="BY5" s="1411"/>
      <c r="BZ5" s="1411"/>
      <c r="CA5" s="1412">
        <f t="shared" ref="CA5:CA11" si="0">BV5+BZ5</f>
        <v>0</v>
      </c>
      <c r="CB5" s="1410"/>
      <c r="CC5" s="1411"/>
      <c r="CD5" s="1411"/>
      <c r="CE5" s="1411"/>
      <c r="CF5" s="1411"/>
      <c r="CG5" s="1412">
        <f t="shared" ref="CG5:CG11" si="1">CB5+CF5</f>
        <v>0</v>
      </c>
    </row>
    <row r="6" spans="1:85" ht="13.5" thickBot="1">
      <c r="L6" s="3799"/>
      <c r="M6" s="3799"/>
      <c r="N6" s="3799"/>
      <c r="O6" s="3799"/>
      <c r="P6" s="3799"/>
      <c r="Q6" s="3799"/>
      <c r="R6" s="3799"/>
      <c r="S6" s="3799"/>
      <c r="T6" s="880"/>
      <c r="U6" s="880"/>
      <c r="V6" s="880"/>
      <c r="W6" s="880"/>
      <c r="X6" s="880"/>
      <c r="Y6" s="880"/>
      <c r="AB6" s="3800" t="s">
        <v>1114</v>
      </c>
      <c r="AC6" s="3801"/>
      <c r="AD6" s="3801"/>
      <c r="AE6" s="3801"/>
      <c r="AF6" s="3802"/>
      <c r="BU6" s="1409">
        <v>44013</v>
      </c>
      <c r="BV6" s="1410"/>
      <c r="BW6" s="1411"/>
      <c r="BX6" s="1411"/>
      <c r="BY6" s="1411"/>
      <c r="BZ6" s="1411"/>
      <c r="CA6" s="1412">
        <f t="shared" si="0"/>
        <v>0</v>
      </c>
      <c r="CB6" s="1410"/>
      <c r="CC6" s="1411"/>
      <c r="CD6" s="1411"/>
      <c r="CE6" s="1411"/>
      <c r="CF6" s="1411"/>
      <c r="CG6" s="1412">
        <f t="shared" si="1"/>
        <v>0</v>
      </c>
    </row>
    <row r="7" spans="1:85" ht="13.5" thickBot="1">
      <c r="A7" s="1401" t="s">
        <v>1115</v>
      </c>
      <c r="L7" s="3803" t="s">
        <v>1116</v>
      </c>
      <c r="M7" s="3804"/>
      <c r="N7" s="3804"/>
      <c r="O7" s="3805"/>
      <c r="P7" s="3803" t="s">
        <v>1117</v>
      </c>
      <c r="Q7" s="3804"/>
      <c r="R7" s="3804"/>
      <c r="S7" s="3805"/>
      <c r="T7" s="3803" t="s">
        <v>1118</v>
      </c>
      <c r="U7" s="3804"/>
      <c r="V7" s="3804"/>
      <c r="W7" s="3804"/>
      <c r="X7" s="3804"/>
      <c r="Y7" s="3805"/>
      <c r="AB7" s="3800" t="s">
        <v>1119</v>
      </c>
      <c r="AC7" s="3801"/>
      <c r="AD7" s="3801"/>
      <c r="AE7" s="3801"/>
      <c r="AF7" s="3802"/>
      <c r="AM7" s="1413">
        <v>440000</v>
      </c>
      <c r="AN7" s="1117">
        <v>442200</v>
      </c>
      <c r="AO7" s="1117">
        <v>442300</v>
      </c>
      <c r="AP7" s="1117">
        <v>444000</v>
      </c>
      <c r="AQ7" s="1117">
        <v>448000</v>
      </c>
      <c r="AR7" s="1413" t="s">
        <v>1120</v>
      </c>
      <c r="AS7" s="1117"/>
      <c r="AV7" s="1413">
        <v>440000</v>
      </c>
      <c r="AW7" s="1117">
        <v>442200</v>
      </c>
      <c r="AX7" s="1117">
        <v>442300</v>
      </c>
      <c r="AY7" s="1117">
        <v>444000</v>
      </c>
      <c r="AZ7" s="1117">
        <v>448000</v>
      </c>
      <c r="BA7" s="1413" t="s">
        <v>1120</v>
      </c>
      <c r="BB7" s="1413">
        <v>440000</v>
      </c>
      <c r="BC7" s="1117">
        <v>442200</v>
      </c>
      <c r="BD7" s="1117">
        <v>448000</v>
      </c>
      <c r="BE7" s="1117"/>
      <c r="BJ7" s="1414"/>
      <c r="BK7" s="1415"/>
      <c r="BL7" s="1415"/>
      <c r="BM7" s="1415"/>
      <c r="BN7" s="1415"/>
      <c r="BO7" s="1415"/>
      <c r="BP7" s="1415"/>
      <c r="BQ7" s="1415"/>
      <c r="BU7" s="1409">
        <v>44044</v>
      </c>
      <c r="BV7" s="1410"/>
      <c r="BW7" s="1411"/>
      <c r="BX7" s="1411"/>
      <c r="BY7" s="1411"/>
      <c r="BZ7" s="1411"/>
      <c r="CA7" s="1412">
        <f t="shared" si="0"/>
        <v>0</v>
      </c>
      <c r="CB7" s="1410"/>
      <c r="CC7" s="1411"/>
      <c r="CD7" s="1411"/>
      <c r="CE7" s="1411"/>
      <c r="CF7" s="1411"/>
      <c r="CG7" s="1412">
        <f t="shared" si="1"/>
        <v>0</v>
      </c>
    </row>
    <row r="8" spans="1:85">
      <c r="A8" s="1401"/>
      <c r="L8" s="1117">
        <v>144200</v>
      </c>
      <c r="M8" s="1117">
        <v>144200</v>
      </c>
      <c r="N8" s="1117">
        <v>144200</v>
      </c>
      <c r="O8" s="1117">
        <v>144200</v>
      </c>
      <c r="P8" s="1117">
        <v>144200</v>
      </c>
      <c r="Q8" s="1117">
        <v>144200</v>
      </c>
      <c r="R8" s="1117">
        <v>144200</v>
      </c>
      <c r="S8" s="1117">
        <v>144200</v>
      </c>
      <c r="T8" s="1117">
        <v>144990</v>
      </c>
      <c r="U8" s="1416" t="s">
        <v>1121</v>
      </c>
      <c r="V8" s="1117"/>
      <c r="W8" s="1117"/>
      <c r="X8" s="1117"/>
      <c r="Y8" s="1117"/>
      <c r="AB8" s="1117">
        <v>904000</v>
      </c>
      <c r="AC8" s="1117">
        <v>904000</v>
      </c>
      <c r="AD8" s="1117">
        <v>904000</v>
      </c>
      <c r="AE8" s="1117">
        <v>904000</v>
      </c>
      <c r="AF8" s="1117">
        <v>904000</v>
      </c>
      <c r="AH8" s="880">
        <v>144500</v>
      </c>
      <c r="AI8" s="1417" t="s">
        <v>1122</v>
      </c>
      <c r="AM8" s="1117" t="s">
        <v>681</v>
      </c>
      <c r="AN8" s="1117" t="s">
        <v>681</v>
      </c>
      <c r="AO8" s="1117" t="s">
        <v>681</v>
      </c>
      <c r="AP8" s="1117" t="s">
        <v>681</v>
      </c>
      <c r="AQ8" s="1117" t="s">
        <v>681</v>
      </c>
      <c r="AR8" s="1117" t="s">
        <v>681</v>
      </c>
      <c r="AS8" s="1117"/>
      <c r="AV8" s="1117" t="s">
        <v>681</v>
      </c>
      <c r="AW8" s="1117" t="s">
        <v>681</v>
      </c>
      <c r="AX8" s="1117" t="s">
        <v>681</v>
      </c>
      <c r="AY8" s="1117" t="s">
        <v>681</v>
      </c>
      <c r="AZ8" s="1117" t="s">
        <v>681</v>
      </c>
      <c r="BA8" s="1117" t="s">
        <v>681</v>
      </c>
      <c r="BB8" s="1117" t="s">
        <v>681</v>
      </c>
      <c r="BC8" s="1117" t="s">
        <v>681</v>
      </c>
      <c r="BD8" s="1117" t="s">
        <v>681</v>
      </c>
      <c r="BE8" s="1117"/>
      <c r="BJ8" s="1418" t="s">
        <v>580</v>
      </c>
      <c r="BK8" s="1418"/>
      <c r="BL8" s="1418"/>
      <c r="BM8" s="1418"/>
      <c r="BN8" s="1418"/>
      <c r="BO8" s="1418"/>
      <c r="BP8" s="1415"/>
      <c r="BQ8" s="1415"/>
      <c r="BU8" s="1409">
        <v>44075</v>
      </c>
      <c r="BV8" s="1410"/>
      <c r="BW8" s="1411"/>
      <c r="BX8" s="1411"/>
      <c r="BY8" s="1411"/>
      <c r="BZ8" s="1411"/>
      <c r="CA8" s="1412">
        <f t="shared" si="0"/>
        <v>0</v>
      </c>
      <c r="CB8" s="1410"/>
      <c r="CC8" s="1411"/>
      <c r="CD8" s="1411"/>
      <c r="CE8" s="1411"/>
      <c r="CF8" s="1411"/>
      <c r="CG8" s="1412">
        <f t="shared" si="1"/>
        <v>0</v>
      </c>
    </row>
    <row r="9" spans="1:85">
      <c r="A9" s="1401"/>
      <c r="C9" s="1419" t="s">
        <v>1123</v>
      </c>
      <c r="D9" s="1419"/>
      <c r="E9" s="1419" t="s">
        <v>1124</v>
      </c>
      <c r="F9" s="1419"/>
      <c r="G9" s="1419" t="s">
        <v>1125</v>
      </c>
      <c r="L9" s="1117" t="s">
        <v>681</v>
      </c>
      <c r="M9" s="1117" t="s">
        <v>681</v>
      </c>
      <c r="N9" s="1117" t="s">
        <v>680</v>
      </c>
      <c r="O9" s="1117" t="s">
        <v>680</v>
      </c>
      <c r="P9" s="1117" t="s">
        <v>681</v>
      </c>
      <c r="Q9" s="1117" t="s">
        <v>681</v>
      </c>
      <c r="R9" s="1117" t="s">
        <v>680</v>
      </c>
      <c r="S9" s="1117" t="s">
        <v>680</v>
      </c>
      <c r="T9" s="1117" t="s">
        <v>682</v>
      </c>
      <c r="U9" s="1117" t="s">
        <v>681</v>
      </c>
      <c r="V9" s="1117" t="s">
        <v>681</v>
      </c>
      <c r="W9" s="1117" t="s">
        <v>680</v>
      </c>
      <c r="X9" s="1117" t="s">
        <v>680</v>
      </c>
      <c r="Y9" s="1117" t="s">
        <v>680</v>
      </c>
      <c r="AB9" s="1117" t="s">
        <v>681</v>
      </c>
      <c r="AC9" s="1117" t="s">
        <v>681</v>
      </c>
      <c r="AD9" s="1117" t="s">
        <v>680</v>
      </c>
      <c r="AE9" s="1117" t="s">
        <v>680</v>
      </c>
      <c r="AF9" s="1117" t="s">
        <v>680</v>
      </c>
      <c r="AH9" s="1105" t="s">
        <v>680</v>
      </c>
      <c r="AM9" s="1117" t="s">
        <v>763</v>
      </c>
      <c r="AN9" s="1117" t="s">
        <v>763</v>
      </c>
      <c r="AO9" s="1117" t="s">
        <v>763</v>
      </c>
      <c r="AP9" s="1117" t="s">
        <v>763</v>
      </c>
      <c r="AQ9" s="1117" t="s">
        <v>763</v>
      </c>
      <c r="AR9" s="1117" t="s">
        <v>763</v>
      </c>
      <c r="AS9" s="1117" t="s">
        <v>24</v>
      </c>
      <c r="AV9" s="1117" t="s">
        <v>683</v>
      </c>
      <c r="AW9" s="1117" t="s">
        <v>683</v>
      </c>
      <c r="AX9" s="1117" t="s">
        <v>683</v>
      </c>
      <c r="AY9" s="1117" t="s">
        <v>683</v>
      </c>
      <c r="AZ9" s="1117" t="s">
        <v>683</v>
      </c>
      <c r="BA9" s="1117" t="s">
        <v>683</v>
      </c>
      <c r="BB9" s="1117" t="s">
        <v>1067</v>
      </c>
      <c r="BC9" s="1117" t="s">
        <v>1067</v>
      </c>
      <c r="BD9" s="1117" t="s">
        <v>1067</v>
      </c>
      <c r="BE9" s="1117" t="s">
        <v>24</v>
      </c>
      <c r="BJ9" s="1418"/>
      <c r="BK9" s="1420" t="s">
        <v>681</v>
      </c>
      <c r="BL9" s="1420"/>
      <c r="BM9" s="1420" t="s">
        <v>680</v>
      </c>
      <c r="BN9" s="1420"/>
      <c r="BO9" s="1420" t="s">
        <v>978</v>
      </c>
      <c r="BP9" s="1415"/>
      <c r="BQ9" s="1415"/>
      <c r="BU9" s="1409">
        <v>44105</v>
      </c>
      <c r="BV9" s="1410">
        <v>2247014</v>
      </c>
      <c r="BW9" s="1411"/>
      <c r="BX9" s="1411"/>
      <c r="BY9" s="1411"/>
      <c r="BZ9" s="1411">
        <v>0</v>
      </c>
      <c r="CA9" s="1412">
        <f t="shared" si="0"/>
        <v>2247014</v>
      </c>
      <c r="CB9" s="1410">
        <v>2240716</v>
      </c>
      <c r="CC9" s="1411"/>
      <c r="CD9" s="1411"/>
      <c r="CE9" s="1411"/>
      <c r="CF9" s="1411">
        <v>0</v>
      </c>
      <c r="CG9" s="1412">
        <f t="shared" si="1"/>
        <v>2240716</v>
      </c>
    </row>
    <row r="10" spans="1:85">
      <c r="A10" s="1401" t="s">
        <v>819</v>
      </c>
      <c r="L10" s="1117" t="s">
        <v>683</v>
      </c>
      <c r="M10" s="1117" t="s">
        <v>763</v>
      </c>
      <c r="N10" s="1117" t="s">
        <v>683</v>
      </c>
      <c r="O10" s="1117" t="s">
        <v>763</v>
      </c>
      <c r="P10" s="1117" t="s">
        <v>683</v>
      </c>
      <c r="Q10" s="1117" t="s">
        <v>763</v>
      </c>
      <c r="R10" s="1117" t="s">
        <v>683</v>
      </c>
      <c r="S10" s="1117" t="s">
        <v>763</v>
      </c>
      <c r="T10" s="1117" t="s">
        <v>678</v>
      </c>
      <c r="U10" s="1117" t="s">
        <v>683</v>
      </c>
      <c r="V10" s="1117" t="s">
        <v>763</v>
      </c>
      <c r="W10" s="1117" t="s">
        <v>683</v>
      </c>
      <c r="X10" s="1117" t="s">
        <v>763</v>
      </c>
      <c r="Y10" s="1117" t="s">
        <v>676</v>
      </c>
      <c r="AB10" s="1117" t="s">
        <v>683</v>
      </c>
      <c r="AC10" s="1117" t="s">
        <v>763</v>
      </c>
      <c r="AD10" s="1117" t="s">
        <v>683</v>
      </c>
      <c r="AE10" s="1117" t="s">
        <v>763</v>
      </c>
      <c r="AF10" s="1117" t="s">
        <v>676</v>
      </c>
      <c r="AL10" s="890" t="s">
        <v>1126</v>
      </c>
      <c r="AM10" s="516">
        <v>-18853610.640000001</v>
      </c>
      <c r="AN10" s="516">
        <v>-20585753.91</v>
      </c>
      <c r="AO10" s="516">
        <v>-5725999.3200000003</v>
      </c>
      <c r="AP10" s="516">
        <v>-310004.95</v>
      </c>
      <c r="AQ10" s="516">
        <v>-96542.29</v>
      </c>
      <c r="AR10" s="516">
        <v>-4613851</v>
      </c>
      <c r="AS10" s="888">
        <f t="shared" ref="AS10:AS21" si="2">SUM(AM10:AR10)</f>
        <v>-50185762.109999999</v>
      </c>
      <c r="AU10" s="890" t="str">
        <f t="shared" ref="AU10:AU21" si="3">AL10</f>
        <v>202207</v>
      </c>
      <c r="AV10" s="516">
        <v>-9473507.5999999996</v>
      </c>
      <c r="AW10" s="516">
        <v>-7728169.4199999999</v>
      </c>
      <c r="AX10" s="516">
        <v>-4580307.95</v>
      </c>
      <c r="AY10" s="516">
        <v>-234587.04</v>
      </c>
      <c r="AZ10" s="516">
        <v>-16274.42</v>
      </c>
      <c r="BA10" s="516">
        <v>-2595808</v>
      </c>
      <c r="BB10" s="516">
        <v>-639.63</v>
      </c>
      <c r="BC10" s="516">
        <v>-1310.25</v>
      </c>
      <c r="BD10" s="516">
        <v>-1024.56</v>
      </c>
      <c r="BE10" s="515">
        <f t="shared" ref="BE10:BE21" si="4">SUM(AV10:BD10)</f>
        <v>-24631628.869999997</v>
      </c>
      <c r="BJ10" s="1421"/>
      <c r="BK10" s="1422" t="s">
        <v>683</v>
      </c>
      <c r="BL10" s="1422" t="s">
        <v>763</v>
      </c>
      <c r="BM10" s="1422" t="s">
        <v>683</v>
      </c>
      <c r="BN10" s="1422" t="s">
        <v>763</v>
      </c>
      <c r="BO10" s="1422"/>
      <c r="BP10" s="1181"/>
      <c r="BQ10" s="1181"/>
      <c r="BU10" s="1409">
        <v>44136</v>
      </c>
      <c r="BV10" s="1410">
        <v>2784884</v>
      </c>
      <c r="BW10" s="1411"/>
      <c r="BX10" s="1411"/>
      <c r="BY10" s="1411"/>
      <c r="BZ10" s="1411">
        <v>0</v>
      </c>
      <c r="CA10" s="1412">
        <f t="shared" si="0"/>
        <v>2784884</v>
      </c>
      <c r="CB10" s="1410">
        <v>-939098</v>
      </c>
      <c r="CC10" s="1411"/>
      <c r="CD10" s="1411"/>
      <c r="CE10" s="1411"/>
      <c r="CF10" s="1411">
        <v>0</v>
      </c>
      <c r="CG10" s="1412">
        <f t="shared" si="1"/>
        <v>-939098</v>
      </c>
    </row>
    <row r="11" spans="1:85">
      <c r="A11" s="1402" t="s">
        <v>1127</v>
      </c>
      <c r="C11" s="1423">
        <f>E11+G11</f>
        <v>3512910</v>
      </c>
      <c r="D11" s="1423"/>
      <c r="E11" s="1423">
        <f>G46</f>
        <v>2978288</v>
      </c>
      <c r="F11" s="1423"/>
      <c r="G11" s="1423">
        <f>G53</f>
        <v>534622</v>
      </c>
      <c r="K11" s="1424" t="s">
        <v>1126</v>
      </c>
      <c r="L11" s="516">
        <f>'G-2.03 Uncoll'!BK38</f>
        <v>104031.65000000001</v>
      </c>
      <c r="M11" s="516">
        <f>'G-2.03 Uncoll'!BL38</f>
        <v>392654.16000000009</v>
      </c>
      <c r="N11" s="516">
        <f>'G-2.03 Uncoll'!BM38</f>
        <v>22389.900000000009</v>
      </c>
      <c r="O11" s="516">
        <f>'G-2.03 Uncoll'!BN38</f>
        <v>91362.800000000017</v>
      </c>
      <c r="P11" s="516">
        <f>'G-2.03 Uncoll'!BK25</f>
        <v>-27119.230000000014</v>
      </c>
      <c r="Q11" s="516">
        <f>'G-2.03 Uncoll'!BL25</f>
        <v>-59928.960000000006</v>
      </c>
      <c r="R11" s="516">
        <f>'G-2.03 Uncoll'!BM25</f>
        <v>-5947.08</v>
      </c>
      <c r="S11" s="516">
        <f>'G-2.03 Uncoll'!BN25</f>
        <v>-13986.800000000001</v>
      </c>
      <c r="T11" s="516">
        <f>'G-2.03 Uncoll'!BK72</f>
        <v>0</v>
      </c>
      <c r="U11" s="1181">
        <v>0</v>
      </c>
      <c r="V11" s="1181">
        <v>0</v>
      </c>
      <c r="W11" s="1181">
        <v>0</v>
      </c>
      <c r="X11" s="1181">
        <v>0</v>
      </c>
      <c r="Y11" s="1181">
        <v>0</v>
      </c>
      <c r="AA11" s="1425" t="str">
        <f t="shared" ref="AA11:AA22" si="5">K11</f>
        <v>202207</v>
      </c>
      <c r="AB11" s="516">
        <v>106937.9</v>
      </c>
      <c r="AC11" s="516">
        <v>322622.28000000003</v>
      </c>
      <c r="AD11" s="516">
        <v>29240.57</v>
      </c>
      <c r="AE11" s="516">
        <v>49879.78</v>
      </c>
      <c r="AF11" s="516">
        <v>51658.47</v>
      </c>
      <c r="AG11" s="929">
        <v>3.3100000000558794</v>
      </c>
      <c r="AH11" s="516">
        <v>0</v>
      </c>
      <c r="AL11" s="477">
        <f>AL10+1</f>
        <v>202208</v>
      </c>
      <c r="AM11" s="516">
        <v>-24582388.420000002</v>
      </c>
      <c r="AN11" s="516">
        <v>-23250295.469999999</v>
      </c>
      <c r="AO11" s="516">
        <v>-5882928.8099999996</v>
      </c>
      <c r="AP11" s="516">
        <v>-398795.45</v>
      </c>
      <c r="AQ11" s="516">
        <v>-106524.4</v>
      </c>
      <c r="AR11" s="516">
        <v>183818</v>
      </c>
      <c r="AS11" s="888">
        <f t="shared" si="2"/>
        <v>-54037114.550000004</v>
      </c>
      <c r="AU11" s="890">
        <f t="shared" si="3"/>
        <v>202208</v>
      </c>
      <c r="AV11" s="516">
        <v>-11496147.16</v>
      </c>
      <c r="AW11" s="516">
        <v>-8782799.9499999993</v>
      </c>
      <c r="AX11" s="516">
        <v>-4952215.2300000004</v>
      </c>
      <c r="AY11" s="516">
        <v>-234590.75</v>
      </c>
      <c r="AZ11" s="516">
        <v>-22344.55</v>
      </c>
      <c r="BA11" s="516">
        <v>135444</v>
      </c>
      <c r="BB11" s="516">
        <v>-791.63</v>
      </c>
      <c r="BC11" s="516">
        <v>-1085.3499999999999</v>
      </c>
      <c r="BD11" s="516">
        <v>-969.11</v>
      </c>
      <c r="BE11" s="515">
        <f t="shared" si="4"/>
        <v>-25355499.73</v>
      </c>
      <c r="BJ11" s="1426" t="s">
        <v>1128</v>
      </c>
      <c r="BK11" s="1427"/>
      <c r="BL11" s="1427"/>
      <c r="BM11" s="1427"/>
      <c r="BN11" s="1427"/>
      <c r="BO11" s="1427"/>
      <c r="BP11" s="1181"/>
      <c r="BQ11" s="1181"/>
      <c r="BU11" s="1409">
        <v>44166</v>
      </c>
      <c r="BV11" s="1410">
        <v>-1347915</v>
      </c>
      <c r="BW11" s="1411"/>
      <c r="BX11" s="1411"/>
      <c r="BY11" s="1411"/>
      <c r="BZ11" s="1411">
        <v>0</v>
      </c>
      <c r="CA11" s="1412">
        <f t="shared" si="0"/>
        <v>-1347915</v>
      </c>
      <c r="CB11" s="1410">
        <v>-308317</v>
      </c>
      <c r="CC11" s="1411"/>
      <c r="CD11" s="1411"/>
      <c r="CE11" s="1411"/>
      <c r="CF11" s="1411">
        <v>0</v>
      </c>
      <c r="CG11" s="1412">
        <f t="shared" si="1"/>
        <v>-308317</v>
      </c>
    </row>
    <row r="12" spans="1:85" ht="15.75" thickBot="1">
      <c r="A12" s="1402" t="s">
        <v>1129</v>
      </c>
      <c r="C12" s="1423"/>
      <c r="D12" s="1423"/>
      <c r="E12" s="1423"/>
      <c r="F12" s="1423"/>
      <c r="G12" s="1423"/>
      <c r="K12" s="477">
        <f>K11+1</f>
        <v>202208</v>
      </c>
      <c r="L12" s="516">
        <f>'G-2.03 Uncoll'!BK39</f>
        <v>99719.030000000013</v>
      </c>
      <c r="M12" s="516">
        <f>'G-2.03 Uncoll'!BL39</f>
        <v>600971.77000000037</v>
      </c>
      <c r="N12" s="516">
        <f>'G-2.03 Uncoll'!BM39</f>
        <v>22924.62000000001</v>
      </c>
      <c r="O12" s="516">
        <f>'G-2.03 Uncoll'!BN39</f>
        <v>132821.41000000006</v>
      </c>
      <c r="P12" s="516">
        <f>'G-2.03 Uncoll'!BK26</f>
        <v>-30845.719999999994</v>
      </c>
      <c r="Q12" s="516">
        <f>'G-2.03 Uncoll'!BL26</f>
        <v>-74753.59</v>
      </c>
      <c r="R12" s="516">
        <f>'G-2.03 Uncoll'!BM26</f>
        <v>-5661.9800000000005</v>
      </c>
      <c r="S12" s="516">
        <f>'G-2.03 Uncoll'!BN26</f>
        <v>-14478.170000000011</v>
      </c>
      <c r="T12" s="516">
        <f>'G-2.03 Uncoll'!BK73</f>
        <v>0</v>
      </c>
      <c r="U12" s="1181">
        <v>0</v>
      </c>
      <c r="V12" s="1181">
        <v>0</v>
      </c>
      <c r="W12" s="1181">
        <v>0</v>
      </c>
      <c r="X12" s="1181">
        <v>0</v>
      </c>
      <c r="Y12" s="1181">
        <v>0</v>
      </c>
      <c r="AA12" s="1425">
        <f t="shared" si="5"/>
        <v>202208</v>
      </c>
      <c r="AB12" s="516">
        <v>83882.41</v>
      </c>
      <c r="AC12" s="516">
        <v>232747.98</v>
      </c>
      <c r="AD12" s="516">
        <v>25579.06</v>
      </c>
      <c r="AE12" s="516">
        <v>35984.550000000003</v>
      </c>
      <c r="AF12" s="516">
        <v>37267.74</v>
      </c>
      <c r="AG12" s="929">
        <v>0</v>
      </c>
      <c r="AH12" s="516">
        <v>0</v>
      </c>
      <c r="AL12" s="477">
        <f>AL11+1</f>
        <v>202209</v>
      </c>
      <c r="AM12" s="516">
        <v>-21549131.879999999</v>
      </c>
      <c r="AN12" s="516">
        <v>-22588460.960000001</v>
      </c>
      <c r="AO12" s="516">
        <v>-6189409.46</v>
      </c>
      <c r="AP12" s="516">
        <v>-399614.14</v>
      </c>
      <c r="AQ12" s="516">
        <v>-106215.93</v>
      </c>
      <c r="AR12" s="516">
        <v>6474052</v>
      </c>
      <c r="AS12" s="888">
        <f t="shared" si="2"/>
        <v>-44358780.370000005</v>
      </c>
      <c r="AU12" s="890">
        <f t="shared" si="3"/>
        <v>202209</v>
      </c>
      <c r="AV12" s="516">
        <v>-9981113.3000000007</v>
      </c>
      <c r="AW12" s="516">
        <v>-8405162.1999999993</v>
      </c>
      <c r="AX12" s="516">
        <v>-5002910.6500000004</v>
      </c>
      <c r="AY12" s="516">
        <v>-232974.12</v>
      </c>
      <c r="AZ12" s="516">
        <v>-14988.89</v>
      </c>
      <c r="BA12" s="516">
        <v>3525641</v>
      </c>
      <c r="BB12" s="516">
        <v>-666.16</v>
      </c>
      <c r="BC12" s="516">
        <v>-1298.69</v>
      </c>
      <c r="BD12" s="516">
        <v>-1125.2</v>
      </c>
      <c r="BE12" s="515">
        <f t="shared" si="4"/>
        <v>-20114598.210000001</v>
      </c>
      <c r="BJ12" s="1428">
        <v>7</v>
      </c>
      <c r="BK12" s="888">
        <v>-144763.74000000008</v>
      </c>
      <c r="BL12" s="888">
        <v>-299752.72999999946</v>
      </c>
      <c r="BM12" s="888">
        <v>-24633.570000000018</v>
      </c>
      <c r="BN12" s="888">
        <v>-66002.5</v>
      </c>
      <c r="BO12" s="888">
        <v>-535152.53999999957</v>
      </c>
      <c r="BP12" s="1181"/>
      <c r="BQ12" s="1429" t="s">
        <v>1130</v>
      </c>
      <c r="BU12" s="1430" t="s">
        <v>1131</v>
      </c>
      <c r="BV12" s="1431">
        <f t="shared" ref="BV12:CG12" si="6">SUM(BV5:BV11)</f>
        <v>3683983</v>
      </c>
      <c r="BW12" s="1432">
        <f t="shared" si="6"/>
        <v>0</v>
      </c>
      <c r="BX12" s="1432">
        <f t="shared" si="6"/>
        <v>0</v>
      </c>
      <c r="BY12" s="1432">
        <f t="shared" si="6"/>
        <v>0</v>
      </c>
      <c r="BZ12" s="1432">
        <f t="shared" si="6"/>
        <v>0</v>
      </c>
      <c r="CA12" s="1433">
        <f t="shared" si="6"/>
        <v>3683983</v>
      </c>
      <c r="CB12" s="1431">
        <f t="shared" si="6"/>
        <v>993301</v>
      </c>
      <c r="CC12" s="1432">
        <f t="shared" si="6"/>
        <v>0</v>
      </c>
      <c r="CD12" s="1432">
        <f t="shared" si="6"/>
        <v>0</v>
      </c>
      <c r="CE12" s="1432">
        <f t="shared" si="6"/>
        <v>0</v>
      </c>
      <c r="CF12" s="1432">
        <f t="shared" si="6"/>
        <v>0</v>
      </c>
      <c r="CG12" s="1433">
        <f t="shared" si="6"/>
        <v>993301</v>
      </c>
    </row>
    <row r="13" spans="1:85" ht="13.5" thickTop="1">
      <c r="A13" s="1402" t="s">
        <v>1132</v>
      </c>
      <c r="C13" s="1423">
        <f>E13+G13</f>
        <v>312316.12999999989</v>
      </c>
      <c r="D13" s="1434" t="s">
        <v>1133</v>
      </c>
      <c r="E13" s="1423">
        <f>'G-2.03 Uncoll'!AC23</f>
        <v>-269148.79999999993</v>
      </c>
      <c r="F13" s="1423"/>
      <c r="G13" s="1423">
        <f>'G-2.03 Uncoll'!AB23</f>
        <v>581464.92999999982</v>
      </c>
      <c r="H13" s="1435"/>
      <c r="K13" s="477">
        <f>K12+1</f>
        <v>202209</v>
      </c>
      <c r="L13" s="516">
        <f>'G-2.03 Uncoll'!BK40</f>
        <v>34251.69999999999</v>
      </c>
      <c r="M13" s="516">
        <f>'G-2.03 Uncoll'!BL40</f>
        <v>184323.37000000005</v>
      </c>
      <c r="N13" s="516">
        <f>'G-2.03 Uncoll'!BM40</f>
        <v>7932.5599999999995</v>
      </c>
      <c r="O13" s="516">
        <f>'G-2.03 Uncoll'!BN40</f>
        <v>53223.179999999964</v>
      </c>
      <c r="P13" s="516">
        <f>'G-2.03 Uncoll'!BK27</f>
        <v>-20165.820000000007</v>
      </c>
      <c r="Q13" s="516">
        <f>'G-2.03 Uncoll'!BL27</f>
        <v>-77610.27999999997</v>
      </c>
      <c r="R13" s="516">
        <f>'G-2.03 Uncoll'!BM27</f>
        <v>-3789.0799999999986</v>
      </c>
      <c r="S13" s="516">
        <f>'G-2.03 Uncoll'!BN27</f>
        <v>-18052.380000000008</v>
      </c>
      <c r="T13" s="516">
        <f>'G-2.03 Uncoll'!BK74</f>
        <v>0</v>
      </c>
      <c r="U13" s="1181">
        <v>0</v>
      </c>
      <c r="V13" s="1181">
        <v>0</v>
      </c>
      <c r="W13" s="1181">
        <v>0</v>
      </c>
      <c r="X13" s="1181">
        <v>0</v>
      </c>
      <c r="Y13" s="1181">
        <v>0</v>
      </c>
      <c r="AA13" s="1425">
        <f t="shared" si="5"/>
        <v>202209</v>
      </c>
      <c r="AB13" s="516">
        <v>88186.28</v>
      </c>
      <c r="AC13" s="516">
        <v>-159710.47</v>
      </c>
      <c r="AD13" s="516">
        <v>21789.54</v>
      </c>
      <c r="AE13" s="516">
        <v>-24692.41</v>
      </c>
      <c r="AF13" s="516">
        <v>-25572.94</v>
      </c>
      <c r="AG13" s="929">
        <v>0</v>
      </c>
      <c r="AH13" s="516">
        <v>0</v>
      </c>
      <c r="AL13" s="477">
        <f>AL12+1</f>
        <v>202210</v>
      </c>
      <c r="AM13" s="516">
        <v>-16112516.210000001</v>
      </c>
      <c r="AN13" s="516">
        <v>-19419694.34</v>
      </c>
      <c r="AO13" s="516">
        <v>-5409515.4900000002</v>
      </c>
      <c r="AP13" s="516">
        <v>-399434.32</v>
      </c>
      <c r="AQ13" s="516">
        <v>-104259.57</v>
      </c>
      <c r="AR13" s="516">
        <v>-1219317</v>
      </c>
      <c r="AS13" s="888">
        <f t="shared" si="2"/>
        <v>-42664736.93</v>
      </c>
      <c r="AU13" s="890">
        <f t="shared" si="3"/>
        <v>202210</v>
      </c>
      <c r="AV13" s="516">
        <v>-7708828.21</v>
      </c>
      <c r="AW13" s="516">
        <v>-6996572.7999999998</v>
      </c>
      <c r="AX13" s="516">
        <v>-4541556.9800000004</v>
      </c>
      <c r="AY13" s="516">
        <v>-231336.02</v>
      </c>
      <c r="AZ13" s="516">
        <v>-11423.61</v>
      </c>
      <c r="BA13" s="516">
        <v>-885860</v>
      </c>
      <c r="BB13" s="516">
        <v>-766.83</v>
      </c>
      <c r="BC13" s="516">
        <v>-1096.49</v>
      </c>
      <c r="BD13" s="516">
        <v>-1222.04</v>
      </c>
      <c r="BE13" s="515">
        <f t="shared" si="4"/>
        <v>-20378662.979999997</v>
      </c>
      <c r="BJ13" s="1428">
        <v>8</v>
      </c>
      <c r="BK13" s="888">
        <v>-61649.960000000006</v>
      </c>
      <c r="BL13" s="888">
        <v>-236359.08000000025</v>
      </c>
      <c r="BM13" s="888">
        <v>-9867.1499999999978</v>
      </c>
      <c r="BN13" s="888">
        <v>-54384.210000000006</v>
      </c>
      <c r="BO13" s="888">
        <v>-362260.40000000031</v>
      </c>
      <c r="BP13" s="1415"/>
      <c r="BQ13" s="1415"/>
      <c r="BU13" s="1209"/>
      <c r="BV13" s="1436"/>
      <c r="BW13" s="1437"/>
      <c r="BX13" s="1437"/>
      <c r="BY13" s="1437"/>
      <c r="BZ13" s="1437"/>
      <c r="CA13" s="1438"/>
      <c r="CB13" s="1436"/>
      <c r="CC13" s="1437"/>
      <c r="CD13" s="1437"/>
      <c r="CE13" s="1437"/>
      <c r="CF13" s="1437"/>
      <c r="CG13" s="1438"/>
    </row>
    <row r="14" spans="1:85">
      <c r="A14" s="1402" t="s">
        <v>1134</v>
      </c>
      <c r="C14" s="1423">
        <f>-'G-2.03 Uncoll'!BY63</f>
        <v>2335435.4299999997</v>
      </c>
      <c r="D14" s="1434" t="s">
        <v>1135</v>
      </c>
      <c r="E14" s="1423">
        <f>C14</f>
        <v>2335435.4299999997</v>
      </c>
      <c r="F14" s="1423"/>
      <c r="G14" s="1439">
        <v>0</v>
      </c>
      <c r="H14" s="1435"/>
      <c r="K14" s="477">
        <f>K13+1</f>
        <v>202210</v>
      </c>
      <c r="L14" s="516">
        <f>'G-2.03 Uncoll'!BK41</f>
        <v>74623.169999999969</v>
      </c>
      <c r="M14" s="516">
        <f>'G-2.03 Uncoll'!BL41</f>
        <v>363518.33000000019</v>
      </c>
      <c r="N14" s="516">
        <f>'G-2.03 Uncoll'!BM41</f>
        <v>13696.790000000005</v>
      </c>
      <c r="O14" s="516">
        <f>'G-2.03 Uncoll'!BN41</f>
        <v>81363.98000000001</v>
      </c>
      <c r="P14" s="516">
        <f>'G-2.03 Uncoll'!BK28</f>
        <v>-18259.440000000006</v>
      </c>
      <c r="Q14" s="516">
        <f>'G-2.03 Uncoll'!BL28</f>
        <v>-60353.600000000035</v>
      </c>
      <c r="R14" s="516">
        <f>'G-2.03 Uncoll'!BM28</f>
        <v>-4718.46</v>
      </c>
      <c r="S14" s="516">
        <f>'G-2.03 Uncoll'!BN28</f>
        <v>-14706.740000000002</v>
      </c>
      <c r="T14" s="516">
        <f>'G-2.03 Uncoll'!BK75</f>
        <v>0</v>
      </c>
      <c r="U14" s="1181">
        <v>0</v>
      </c>
      <c r="V14" s="1181">
        <v>0</v>
      </c>
      <c r="W14" s="1181">
        <v>0</v>
      </c>
      <c r="X14" s="1181">
        <v>0</v>
      </c>
      <c r="Y14" s="1181">
        <v>0</v>
      </c>
      <c r="AA14" s="1425">
        <f t="shared" si="5"/>
        <v>202210</v>
      </c>
      <c r="AB14" s="516">
        <v>36602.980000000003</v>
      </c>
      <c r="AC14" s="516">
        <v>-226286.88</v>
      </c>
      <c r="AD14" s="516">
        <v>13042.6</v>
      </c>
      <c r="AE14" s="516">
        <v>-34985.61</v>
      </c>
      <c r="AF14" s="516">
        <v>-36233.19</v>
      </c>
      <c r="AG14" s="929">
        <v>0</v>
      </c>
      <c r="AH14" s="516">
        <v>0</v>
      </c>
      <c r="AL14" s="477">
        <f>AL13+1</f>
        <v>202211</v>
      </c>
      <c r="AM14" s="516">
        <v>-20869165.510000002</v>
      </c>
      <c r="AN14" s="516">
        <v>-18243261.760000002</v>
      </c>
      <c r="AO14" s="516">
        <v>-5041456.25</v>
      </c>
      <c r="AP14" s="516">
        <v>-400829.25</v>
      </c>
      <c r="AQ14" s="516">
        <v>-110546.22</v>
      </c>
      <c r="AR14" s="516">
        <v>-7279345</v>
      </c>
      <c r="AS14" s="888">
        <f t="shared" si="2"/>
        <v>-51944603.990000002</v>
      </c>
      <c r="AU14" s="890">
        <f t="shared" si="3"/>
        <v>202211</v>
      </c>
      <c r="AV14" s="516">
        <v>-10460136.65</v>
      </c>
      <c r="AW14" s="516">
        <v>-7051087.04</v>
      </c>
      <c r="AX14" s="516">
        <v>-4545432.82</v>
      </c>
      <c r="AY14" s="516">
        <v>-194897.72</v>
      </c>
      <c r="AZ14" s="516">
        <v>-17042.669999999998</v>
      </c>
      <c r="BA14" s="516">
        <v>-3626394</v>
      </c>
      <c r="BB14" s="516">
        <v>-1892.53</v>
      </c>
      <c r="BC14" s="516">
        <v>-2183.89</v>
      </c>
      <c r="BD14" s="516">
        <v>-3592.42</v>
      </c>
      <c r="BE14" s="515">
        <f t="shared" si="4"/>
        <v>-25902659.740000006</v>
      </c>
      <c r="BJ14" s="1428">
        <v>9</v>
      </c>
      <c r="BK14" s="888">
        <v>-56447.430000000029</v>
      </c>
      <c r="BL14" s="888">
        <v>-194244.62000000017</v>
      </c>
      <c r="BM14" s="888">
        <v>-7080.84</v>
      </c>
      <c r="BN14" s="888">
        <v>-37388.249999999993</v>
      </c>
      <c r="BO14" s="888">
        <v>-295161.14000000019</v>
      </c>
      <c r="BU14" s="1440">
        <v>44197</v>
      </c>
      <c r="BV14" s="1441">
        <v>232817</v>
      </c>
      <c r="BW14" s="1442"/>
      <c r="BX14" s="1442"/>
      <c r="BY14" s="1442"/>
      <c r="BZ14" s="1442">
        <v>0</v>
      </c>
      <c r="CA14" s="1443">
        <f t="shared" ref="CA14:CA27" si="7">BV14+BZ14</f>
        <v>232817</v>
      </c>
      <c r="CB14" s="1441">
        <v>28940</v>
      </c>
      <c r="CC14" s="1442"/>
      <c r="CD14" s="1442"/>
      <c r="CE14" s="1442"/>
      <c r="CF14" s="1442">
        <v>0</v>
      </c>
      <c r="CG14" s="1443">
        <f t="shared" ref="CG14:CG27" si="8">CB14+CF14</f>
        <v>28940</v>
      </c>
    </row>
    <row r="15" spans="1:85">
      <c r="A15" s="1402" t="s">
        <v>1136</v>
      </c>
      <c r="C15" s="1444">
        <f>SUM(C13:C14)</f>
        <v>2647751.5599999996</v>
      </c>
      <c r="D15" s="1434"/>
      <c r="E15" s="1444">
        <f>SUM(E13:E14)</f>
        <v>2066286.63</v>
      </c>
      <c r="F15" s="1423"/>
      <c r="G15" s="1444">
        <f>SUM(G13:G14)</f>
        <v>581464.92999999982</v>
      </c>
      <c r="H15" s="1435"/>
      <c r="K15" s="477">
        <f>K14+1</f>
        <v>202211</v>
      </c>
      <c r="L15" s="516">
        <f>'G-2.03 Uncoll'!BK42</f>
        <v>83147.049999999988</v>
      </c>
      <c r="M15" s="516">
        <f>'G-2.03 Uncoll'!BL42</f>
        <v>444520.91999999917</v>
      </c>
      <c r="N15" s="516">
        <f>'G-2.03 Uncoll'!BM42</f>
        <v>11729.769999999999</v>
      </c>
      <c r="O15" s="516">
        <f>'G-2.03 Uncoll'!BN42</f>
        <v>87188.689999999959</v>
      </c>
      <c r="P15" s="516">
        <f>'G-2.03 Uncoll'!BK29</f>
        <v>-30781.400000000009</v>
      </c>
      <c r="Q15" s="516">
        <f>'G-2.03 Uncoll'!BL29</f>
        <v>-86344.879999999888</v>
      </c>
      <c r="R15" s="516">
        <f>'G-2.03 Uncoll'!BM29</f>
        <v>-5700.3500000000022</v>
      </c>
      <c r="S15" s="516">
        <f>'G-2.03 Uncoll'!BN29</f>
        <v>-17851.849999999999</v>
      </c>
      <c r="T15" s="516">
        <f>'G-2.03 Uncoll'!BK76</f>
        <v>0</v>
      </c>
      <c r="U15" s="1181">
        <v>0</v>
      </c>
      <c r="V15" s="1181">
        <v>0</v>
      </c>
      <c r="W15" s="1181">
        <v>0</v>
      </c>
      <c r="X15" s="1181">
        <v>0</v>
      </c>
      <c r="Y15" s="1181">
        <v>0</v>
      </c>
      <c r="AA15" s="1425">
        <f t="shared" si="5"/>
        <v>202211</v>
      </c>
      <c r="AB15" s="516">
        <v>32112.97</v>
      </c>
      <c r="AC15" s="516">
        <v>-632945.56999999995</v>
      </c>
      <c r="AD15" s="516">
        <v>8256.26</v>
      </c>
      <c r="AE15" s="516">
        <v>-97858.04</v>
      </c>
      <c r="AF15" s="516">
        <v>-101347.62</v>
      </c>
      <c r="AG15" s="929">
        <v>0</v>
      </c>
      <c r="AH15" s="516">
        <v>0</v>
      </c>
      <c r="AL15" s="477">
        <f>AL14+1</f>
        <v>202212</v>
      </c>
      <c r="AM15" s="516">
        <v>-32231059.84</v>
      </c>
      <c r="AN15" s="516">
        <v>-21492355.109999999</v>
      </c>
      <c r="AO15" s="516">
        <v>-5127574.5599999996</v>
      </c>
      <c r="AP15" s="516">
        <v>-405056.33</v>
      </c>
      <c r="AQ15" s="516">
        <v>-125626.89</v>
      </c>
      <c r="AR15" s="516">
        <v>-1493014</v>
      </c>
      <c r="AS15" s="888">
        <f t="shared" si="2"/>
        <v>-60874686.730000004</v>
      </c>
      <c r="AU15" s="890">
        <f t="shared" si="3"/>
        <v>202212</v>
      </c>
      <c r="AV15" s="516">
        <v>-15286867.880000001</v>
      </c>
      <c r="AW15" s="516">
        <v>-8264062.6200000001</v>
      </c>
      <c r="AX15" s="516">
        <v>-3970445.21</v>
      </c>
      <c r="AY15" s="516">
        <v>-265222.11</v>
      </c>
      <c r="AZ15" s="516">
        <v>-23943.79</v>
      </c>
      <c r="BA15" s="516">
        <v>-1003451</v>
      </c>
      <c r="BB15" s="516">
        <v>-2891.45</v>
      </c>
      <c r="BC15" s="516">
        <v>-5046.7</v>
      </c>
      <c r="BD15" s="516">
        <v>-5732.07</v>
      </c>
      <c r="BE15" s="515">
        <f t="shared" si="4"/>
        <v>-28827662.829999998</v>
      </c>
      <c r="BJ15" s="1428">
        <v>10</v>
      </c>
      <c r="BK15" s="888">
        <v>-71622.460000000036</v>
      </c>
      <c r="BL15" s="888">
        <v>-197881.01999999976</v>
      </c>
      <c r="BM15" s="888">
        <v>-8624.8100000000031</v>
      </c>
      <c r="BN15" s="888">
        <v>-34281.750000000007</v>
      </c>
      <c r="BO15" s="888">
        <v>-312410.0399999998</v>
      </c>
      <c r="BU15" s="1440">
        <v>44228</v>
      </c>
      <c r="BV15" s="1441">
        <v>229685.41627699998</v>
      </c>
      <c r="BW15" s="1442"/>
      <c r="BX15" s="1442"/>
      <c r="BY15" s="1442"/>
      <c r="BZ15" s="1442">
        <v>0</v>
      </c>
      <c r="CA15" s="1443">
        <f t="shared" si="7"/>
        <v>229685.41627699998</v>
      </c>
      <c r="CB15" s="1441">
        <v>28861.443722999989</v>
      </c>
      <c r="CC15" s="1442"/>
      <c r="CD15" s="1442"/>
      <c r="CE15" s="1442"/>
      <c r="CF15" s="1442">
        <v>0</v>
      </c>
      <c r="CG15" s="1443">
        <f t="shared" si="8"/>
        <v>28861.443722999989</v>
      </c>
    </row>
    <row r="16" spans="1:85">
      <c r="C16" s="1423"/>
      <c r="D16" s="1434"/>
      <c r="E16" s="1423"/>
      <c r="F16" s="1423"/>
      <c r="G16" s="1423"/>
      <c r="H16" s="1435"/>
      <c r="K16" s="477">
        <f>K15+1</f>
        <v>202212</v>
      </c>
      <c r="L16" s="516">
        <f>'G-2.03 Uncoll'!BK43</f>
        <v>68550.330000000016</v>
      </c>
      <c r="M16" s="516">
        <f>'G-2.03 Uncoll'!BL43</f>
        <v>467026.42000000004</v>
      </c>
      <c r="N16" s="516">
        <f>'G-2.03 Uncoll'!BM43</f>
        <v>8999.7299999999977</v>
      </c>
      <c r="O16" s="516">
        <f>'G-2.03 Uncoll'!BN43</f>
        <v>85871.270000000062</v>
      </c>
      <c r="P16" s="516">
        <f>'G-2.03 Uncoll'!BK30</f>
        <v>-25032.330000000005</v>
      </c>
      <c r="Q16" s="516">
        <f>'G-2.03 Uncoll'!BL30</f>
        <v>-1355733.8</v>
      </c>
      <c r="R16" s="516">
        <f>'G-2.03 Uncoll'!BM30</f>
        <v>-4347.3</v>
      </c>
      <c r="S16" s="516">
        <f>'G-2.03 Uncoll'!BN30</f>
        <v>-194247.38999999996</v>
      </c>
      <c r="T16" s="516">
        <f>'G-2.03 Uncoll'!BK77</f>
        <v>0</v>
      </c>
      <c r="U16" s="1181">
        <v>0</v>
      </c>
      <c r="V16" s="1181">
        <v>0</v>
      </c>
      <c r="W16" s="1181">
        <v>0</v>
      </c>
      <c r="X16" s="1181">
        <v>0</v>
      </c>
      <c r="Y16" s="1181">
        <v>0</v>
      </c>
      <c r="AA16" s="1425">
        <f t="shared" si="5"/>
        <v>202212</v>
      </c>
      <c r="AB16" s="516">
        <v>19628.97</v>
      </c>
      <c r="AC16" s="516">
        <v>-1289919.8</v>
      </c>
      <c r="AD16" s="516">
        <v>8837.6299999999992</v>
      </c>
      <c r="AE16" s="516">
        <v>-199431.08</v>
      </c>
      <c r="AF16" s="516">
        <v>-206542.72</v>
      </c>
      <c r="AG16" s="929">
        <v>0</v>
      </c>
      <c r="AH16" s="516">
        <v>0</v>
      </c>
      <c r="AL16" s="477">
        <f>AL15+89</f>
        <v>202301</v>
      </c>
      <c r="AM16" s="516">
        <v>-35011327.969999999</v>
      </c>
      <c r="AN16" s="516">
        <v>-23770922.960000001</v>
      </c>
      <c r="AO16" s="516">
        <v>-7220710.4400000004</v>
      </c>
      <c r="AP16" s="516">
        <v>-414062.37</v>
      </c>
      <c r="AQ16" s="516">
        <v>-141392.42000000001</v>
      </c>
      <c r="AR16" s="516">
        <v>9875626</v>
      </c>
      <c r="AS16" s="888">
        <f t="shared" si="2"/>
        <v>-56682790.159999996</v>
      </c>
      <c r="AU16" s="890">
        <f t="shared" si="3"/>
        <v>202301</v>
      </c>
      <c r="AV16" s="516">
        <v>-15746495.380000001</v>
      </c>
      <c r="AW16" s="516">
        <v>-8684913.7599999998</v>
      </c>
      <c r="AX16" s="516">
        <v>-5427361.4800000004</v>
      </c>
      <c r="AY16" s="516">
        <v>-230961.82</v>
      </c>
      <c r="AZ16" s="516">
        <v>-23252.54</v>
      </c>
      <c r="BA16" s="516">
        <v>4891685</v>
      </c>
      <c r="BB16" s="516">
        <v>-2885.73</v>
      </c>
      <c r="BC16" s="516">
        <v>-8677.3799999999992</v>
      </c>
      <c r="BD16" s="516">
        <v>-5932.18</v>
      </c>
      <c r="BE16" s="515">
        <f t="shared" si="4"/>
        <v>-25238795.27</v>
      </c>
      <c r="BJ16" s="1428">
        <v>11</v>
      </c>
      <c r="BK16" s="888">
        <v>-45805.889999999978</v>
      </c>
      <c r="BL16" s="888">
        <v>-122118.15999999995</v>
      </c>
      <c r="BM16" s="888">
        <v>-3542.4500000000003</v>
      </c>
      <c r="BN16" s="888">
        <v>-19265.369999999992</v>
      </c>
      <c r="BO16" s="888">
        <v>-190731.86999999994</v>
      </c>
      <c r="BU16" s="1440">
        <v>44256</v>
      </c>
      <c r="BV16" s="1441">
        <v>496094.15846000006</v>
      </c>
      <c r="BW16" s="1442">
        <v>1757223.58</v>
      </c>
      <c r="BX16" s="1445"/>
      <c r="BY16" s="1442"/>
      <c r="BZ16" s="1442">
        <v>1757223.58</v>
      </c>
      <c r="CA16" s="1443">
        <f t="shared" si="7"/>
        <v>2253317.7384600001</v>
      </c>
      <c r="CB16" s="1441">
        <v>-678599.73845999991</v>
      </c>
      <c r="CC16" s="1442">
        <v>1150931.42</v>
      </c>
      <c r="CD16" s="1442"/>
      <c r="CE16" s="1442"/>
      <c r="CF16" s="1442">
        <v>1150931.42</v>
      </c>
      <c r="CG16" s="1443">
        <f t="shared" si="8"/>
        <v>472331.68154000002</v>
      </c>
    </row>
    <row r="17" spans="1:85">
      <c r="C17" s="1423"/>
      <c r="D17" s="1423"/>
      <c r="E17" s="1423"/>
      <c r="F17" s="1423"/>
      <c r="G17" s="1423"/>
      <c r="K17" s="477">
        <f>K16+89</f>
        <v>202301</v>
      </c>
      <c r="L17" s="516">
        <f>'G-2.03 Uncoll'!BK44</f>
        <v>51342.759999999944</v>
      </c>
      <c r="M17" s="516">
        <f>'G-2.03 Uncoll'!BL44</f>
        <v>393015.56999999995</v>
      </c>
      <c r="N17" s="516">
        <f>'G-2.03 Uncoll'!BM44</f>
        <v>7150.9700000000039</v>
      </c>
      <c r="O17" s="516">
        <f>'G-2.03 Uncoll'!BN44</f>
        <v>85449.560000000056</v>
      </c>
      <c r="P17" s="516">
        <f>'G-2.03 Uncoll'!BK31</f>
        <v>-29078.800000000007</v>
      </c>
      <c r="Q17" s="516">
        <f>'G-2.03 Uncoll'!BL31</f>
        <v>-91978.15</v>
      </c>
      <c r="R17" s="516">
        <f>'G-2.03 Uncoll'!BM31</f>
        <v>-4324.9699999999993</v>
      </c>
      <c r="S17" s="516">
        <f>'G-2.03 Uncoll'!BN31</f>
        <v>-19807.35999999999</v>
      </c>
      <c r="T17" s="516">
        <f>'G-2.03 Uncoll'!BK78</f>
        <v>0</v>
      </c>
      <c r="U17" s="1181">
        <v>0</v>
      </c>
      <c r="V17" s="1181">
        <v>0</v>
      </c>
      <c r="W17" s="1181">
        <v>0</v>
      </c>
      <c r="X17" s="1181">
        <v>0</v>
      </c>
      <c r="Y17" s="1181">
        <v>0</v>
      </c>
      <c r="AA17" s="1425">
        <f t="shared" si="5"/>
        <v>202301</v>
      </c>
      <c r="AB17" s="516">
        <v>43341.59</v>
      </c>
      <c r="AC17" s="516">
        <v>160559.73000000001</v>
      </c>
      <c r="AD17" s="516">
        <v>15538.57</v>
      </c>
      <c r="AE17" s="516">
        <v>14244.38</v>
      </c>
      <c r="AF17" s="516">
        <v>10076.290000000001</v>
      </c>
      <c r="AG17" s="929">
        <v>0</v>
      </c>
      <c r="AH17" s="516">
        <v>0</v>
      </c>
      <c r="AL17" s="477">
        <f>AL16+1</f>
        <v>202302</v>
      </c>
      <c r="AM17" s="516">
        <v>-26697167.41</v>
      </c>
      <c r="AN17" s="516">
        <v>-16189934</v>
      </c>
      <c r="AO17" s="516">
        <v>-2527448.15</v>
      </c>
      <c r="AP17" s="516">
        <v>-336970.16</v>
      </c>
      <c r="AQ17" s="516">
        <v>-125469.81</v>
      </c>
      <c r="AR17" s="516">
        <v>-3124879</v>
      </c>
      <c r="AS17" s="888">
        <f t="shared" si="2"/>
        <v>-49001868.529999994</v>
      </c>
      <c r="AU17" s="890">
        <f t="shared" si="3"/>
        <v>202302</v>
      </c>
      <c r="AV17" s="516">
        <v>-12739652.039999999</v>
      </c>
      <c r="AW17" s="516">
        <v>-6661614.8799999999</v>
      </c>
      <c r="AX17" s="516">
        <v>-3518562.24</v>
      </c>
      <c r="AY17" s="516">
        <v>-165028.79999999999</v>
      </c>
      <c r="AZ17" s="516">
        <v>-18236.009999999998</v>
      </c>
      <c r="BA17" s="516">
        <v>-1408399</v>
      </c>
      <c r="BB17" s="516">
        <v>-2595.2800000000002</v>
      </c>
      <c r="BC17" s="516">
        <v>-9319.34</v>
      </c>
      <c r="BD17" s="516">
        <v>-5195.8900000000003</v>
      </c>
      <c r="BE17" s="515">
        <f t="shared" si="4"/>
        <v>-24528603.48</v>
      </c>
      <c r="BJ17" s="1428">
        <v>12</v>
      </c>
      <c r="BK17" s="888">
        <v>-52695.660000000018</v>
      </c>
      <c r="BL17" s="888">
        <v>-138852.81000000003</v>
      </c>
      <c r="BM17" s="888">
        <v>-5042.3900000000003</v>
      </c>
      <c r="BN17" s="888">
        <v>-15099.789999999985</v>
      </c>
      <c r="BO17" s="888">
        <v>-211690.65000000002</v>
      </c>
      <c r="BU17" s="1409">
        <v>44256</v>
      </c>
      <c r="BV17" s="1410">
        <v>1203855.95</v>
      </c>
      <c r="BW17" s="1446"/>
      <c r="BX17" s="1446"/>
      <c r="BY17" s="1411"/>
      <c r="BZ17" s="1411">
        <v>0</v>
      </c>
      <c r="CA17" s="1412">
        <f t="shared" si="7"/>
        <v>1203855.95</v>
      </c>
      <c r="CB17" s="1410">
        <v>324591.76999999979</v>
      </c>
      <c r="CC17" s="1446"/>
      <c r="CD17" s="1446"/>
      <c r="CE17" s="1411"/>
      <c r="CF17" s="1411">
        <v>0</v>
      </c>
      <c r="CG17" s="1412">
        <f t="shared" si="8"/>
        <v>324591.76999999979</v>
      </c>
    </row>
    <row r="18" spans="1:85" ht="13.5" thickBot="1">
      <c r="A18" s="1402" t="s">
        <v>1137</v>
      </c>
      <c r="C18" s="1447">
        <f>C11-C15</f>
        <v>865158.44000000041</v>
      </c>
      <c r="D18" s="1423"/>
      <c r="E18" s="1448">
        <f>E11-E15</f>
        <v>912001.37000000011</v>
      </c>
      <c r="F18" s="1423"/>
      <c r="G18" s="1447">
        <f>G11-G15</f>
        <v>-46842.929999999818</v>
      </c>
      <c r="K18" s="477">
        <f>K17+1</f>
        <v>202302</v>
      </c>
      <c r="L18" s="516">
        <f>'G-2.03 Uncoll'!BK45</f>
        <v>47489.049999999981</v>
      </c>
      <c r="M18" s="516">
        <f>'G-2.03 Uncoll'!BL45</f>
        <v>548454.64000000071</v>
      </c>
      <c r="N18" s="516">
        <f>'G-2.03 Uncoll'!BM45</f>
        <v>10381.799999999999</v>
      </c>
      <c r="O18" s="516">
        <f>'G-2.03 Uncoll'!BN45</f>
        <v>84488.380000000063</v>
      </c>
      <c r="P18" s="516">
        <f>'G-2.03 Uncoll'!BK32</f>
        <v>-16103.090000000002</v>
      </c>
      <c r="Q18" s="516">
        <f>'G-2.03 Uncoll'!BL32</f>
        <v>-75816.660000000018</v>
      </c>
      <c r="R18" s="516">
        <f>'G-2.03 Uncoll'!BM32</f>
        <v>-3266.4600000000023</v>
      </c>
      <c r="S18" s="516">
        <f>'G-2.03 Uncoll'!BN32</f>
        <v>-18014.29</v>
      </c>
      <c r="T18" s="516">
        <f>'G-2.03 Uncoll'!BK79</f>
        <v>0</v>
      </c>
      <c r="U18" s="1181">
        <v>0</v>
      </c>
      <c r="V18" s="1181">
        <v>0</v>
      </c>
      <c r="W18" s="1181">
        <v>0</v>
      </c>
      <c r="X18" s="1181">
        <v>0</v>
      </c>
      <c r="Y18" s="1181">
        <v>0</v>
      </c>
      <c r="AA18" s="1425">
        <f t="shared" si="5"/>
        <v>202302</v>
      </c>
      <c r="AB18" s="516">
        <v>1322.87</v>
      </c>
      <c r="AC18" s="516">
        <v>57934.75</v>
      </c>
      <c r="AD18" s="516">
        <v>7196.95</v>
      </c>
      <c r="AE18" s="516">
        <v>4143.71</v>
      </c>
      <c r="AF18" s="516">
        <v>7815.37</v>
      </c>
      <c r="AG18" s="929">
        <v>0</v>
      </c>
      <c r="AH18" s="516">
        <v>0</v>
      </c>
      <c r="AL18" s="477">
        <f>AL17+1</f>
        <v>202303</v>
      </c>
      <c r="AM18" s="516">
        <v>-31268781.989999998</v>
      </c>
      <c r="AN18" s="516">
        <v>-23592790.91</v>
      </c>
      <c r="AO18" s="516">
        <v>-5294241.84</v>
      </c>
      <c r="AP18" s="516">
        <v>-514817.14</v>
      </c>
      <c r="AQ18" s="516">
        <v>-121594.33</v>
      </c>
      <c r="AR18" s="516">
        <v>5854537</v>
      </c>
      <c r="AS18" s="888">
        <f t="shared" si="2"/>
        <v>-54937689.209999993</v>
      </c>
      <c r="AU18" s="890">
        <f t="shared" si="3"/>
        <v>202303</v>
      </c>
      <c r="AV18" s="516">
        <v>-13953182.34</v>
      </c>
      <c r="AW18" s="516">
        <v>-8583738.3399999999</v>
      </c>
      <c r="AX18" s="516">
        <v>-4319501.67</v>
      </c>
      <c r="AY18" s="516">
        <v>-292871.71999999997</v>
      </c>
      <c r="AZ18" s="516">
        <v>-24085.57</v>
      </c>
      <c r="BA18" s="516">
        <v>3135201</v>
      </c>
      <c r="BB18" s="516">
        <v>-1924.99</v>
      </c>
      <c r="BC18" s="516">
        <v>-8577.85</v>
      </c>
      <c r="BD18" s="516">
        <v>-4310.17</v>
      </c>
      <c r="BE18" s="515">
        <f t="shared" si="4"/>
        <v>-24052991.650000002</v>
      </c>
      <c r="BJ18" s="1428">
        <v>1</v>
      </c>
      <c r="BK18" s="888">
        <v>-58018.469999999987</v>
      </c>
      <c r="BL18" s="888">
        <v>-156738.2000000003</v>
      </c>
      <c r="BM18" s="888">
        <v>-7876.8700000000008</v>
      </c>
      <c r="BN18" s="888">
        <v>-19156.300000000007</v>
      </c>
      <c r="BO18" s="888">
        <v>-241789.84000000029</v>
      </c>
      <c r="BU18" s="1440">
        <v>44287</v>
      </c>
      <c r="BV18" s="1441">
        <v>-695563.66</v>
      </c>
      <c r="BW18" s="1442">
        <v>767335.66</v>
      </c>
      <c r="BX18" s="1442">
        <v>915.12</v>
      </c>
      <c r="BY18" s="1442"/>
      <c r="BZ18" s="1442">
        <v>768250.78</v>
      </c>
      <c r="CA18" s="1443">
        <f t="shared" si="7"/>
        <v>72687.12</v>
      </c>
      <c r="CB18" s="1441">
        <v>611369.73</v>
      </c>
      <c r="CC18" s="1442">
        <v>-628973.73</v>
      </c>
      <c r="CD18" s="1442">
        <v>270.56</v>
      </c>
      <c r="CE18" s="1442"/>
      <c r="CF18" s="1442">
        <v>-628703.16999999993</v>
      </c>
      <c r="CG18" s="1443">
        <f t="shared" si="8"/>
        <v>-17333.439999999944</v>
      </c>
    </row>
    <row r="19" spans="1:85" ht="13.5" thickTop="1">
      <c r="C19" s="1423"/>
      <c r="D19" s="1423"/>
      <c r="E19" s="1423"/>
      <c r="G19" s="1423"/>
      <c r="K19" s="477">
        <f>K18+1</f>
        <v>202303</v>
      </c>
      <c r="L19" s="516">
        <f>'G-2.03 Uncoll'!BK46</f>
        <v>62051.390000000072</v>
      </c>
      <c r="M19" s="516">
        <f>'G-2.03 Uncoll'!BL46</f>
        <v>348785.49999999953</v>
      </c>
      <c r="N19" s="516">
        <f>'G-2.03 Uncoll'!BM46</f>
        <v>17425.949999999993</v>
      </c>
      <c r="O19" s="516">
        <f>'G-2.03 Uncoll'!BN46</f>
        <v>109604.93999999994</v>
      </c>
      <c r="P19" s="516">
        <f>'G-2.03 Uncoll'!BK33</f>
        <v>-24236.010000000006</v>
      </c>
      <c r="Q19" s="516">
        <f>'G-2.03 Uncoll'!BL33</f>
        <v>-77124.390000000029</v>
      </c>
      <c r="R19" s="516">
        <f>'G-2.03 Uncoll'!BM33</f>
        <v>-5252.79</v>
      </c>
      <c r="S19" s="516">
        <f>'G-2.03 Uncoll'!BN33</f>
        <v>-31089.430000000008</v>
      </c>
      <c r="T19" s="516">
        <f>'G-2.03 Uncoll'!BK80</f>
        <v>0</v>
      </c>
      <c r="U19" s="1181">
        <v>0</v>
      </c>
      <c r="V19" s="1181">
        <v>0</v>
      </c>
      <c r="W19" s="1181">
        <v>0</v>
      </c>
      <c r="X19" s="1181">
        <v>0</v>
      </c>
      <c r="Y19" s="1181">
        <v>0</v>
      </c>
      <c r="AA19" s="1425">
        <f t="shared" si="5"/>
        <v>202303</v>
      </c>
      <c r="AB19" s="516">
        <v>79364.12</v>
      </c>
      <c r="AC19" s="516">
        <v>592880.62</v>
      </c>
      <c r="AD19" s="516">
        <v>16212.52</v>
      </c>
      <c r="AE19" s="516">
        <v>125721.59</v>
      </c>
      <c r="AF19" s="516">
        <v>85821.15</v>
      </c>
      <c r="AG19" s="929">
        <v>0</v>
      </c>
      <c r="AH19" s="516">
        <v>0</v>
      </c>
      <c r="AL19" s="477">
        <f>AL18+1</f>
        <v>202304</v>
      </c>
      <c r="AM19" s="516">
        <v>-21784837.640000001</v>
      </c>
      <c r="AN19" s="516">
        <v>-18025001.870000001</v>
      </c>
      <c r="AO19" s="516">
        <v>-4866871.1100000003</v>
      </c>
      <c r="AP19" s="516">
        <v>-388222.77</v>
      </c>
      <c r="AQ19" s="516">
        <v>-117664.9</v>
      </c>
      <c r="AR19" s="516">
        <v>183236</v>
      </c>
      <c r="AS19" s="888">
        <f t="shared" si="2"/>
        <v>-44999362.290000007</v>
      </c>
      <c r="AU19" s="890">
        <f t="shared" si="3"/>
        <v>202304</v>
      </c>
      <c r="AV19" s="516">
        <v>-10289419.84</v>
      </c>
      <c r="AW19" s="516">
        <v>-6594375.7000000002</v>
      </c>
      <c r="AX19" s="516">
        <v>-4547935.45</v>
      </c>
      <c r="AY19" s="516">
        <v>-196880.24</v>
      </c>
      <c r="AZ19" s="516">
        <v>-16906.599999999999</v>
      </c>
      <c r="BA19" s="516">
        <v>-120549</v>
      </c>
      <c r="BB19" s="516">
        <v>-1517.57</v>
      </c>
      <c r="BC19" s="516">
        <v>-6532.34</v>
      </c>
      <c r="BD19" s="516">
        <v>-3495.14</v>
      </c>
      <c r="BE19" s="515">
        <f t="shared" si="4"/>
        <v>-21777611.879999999</v>
      </c>
      <c r="BJ19" s="1428">
        <v>2</v>
      </c>
      <c r="BK19" s="888">
        <v>-34500.660000000003</v>
      </c>
      <c r="BL19" s="888">
        <v>-124871.76999999983</v>
      </c>
      <c r="BM19" s="888">
        <v>-8140.9400000000005</v>
      </c>
      <c r="BN19" s="888">
        <v>-21608.13</v>
      </c>
      <c r="BO19" s="888">
        <v>-189121.49999999983</v>
      </c>
      <c r="BU19" s="1440">
        <v>44317</v>
      </c>
      <c r="BV19" s="1441">
        <v>-330639.15999999997</v>
      </c>
      <c r="BW19" s="1442">
        <v>361863.16</v>
      </c>
      <c r="BX19" s="1442">
        <v>134756.83000000002</v>
      </c>
      <c r="BY19" s="1442"/>
      <c r="BZ19" s="1442">
        <v>496619.99</v>
      </c>
      <c r="CA19" s="1443">
        <f t="shared" si="7"/>
        <v>165980.83000000002</v>
      </c>
      <c r="CB19" s="1441">
        <v>-89610.52</v>
      </c>
      <c r="CC19" s="1442">
        <v>87397.52</v>
      </c>
      <c r="CD19" s="1442">
        <v>39841.03</v>
      </c>
      <c r="CE19" s="1442"/>
      <c r="CF19" s="1442">
        <v>127238.55</v>
      </c>
      <c r="CG19" s="1443">
        <f t="shared" si="8"/>
        <v>37628.03</v>
      </c>
    </row>
    <row r="20" spans="1:85">
      <c r="A20" s="1402" t="s">
        <v>1138</v>
      </c>
      <c r="C20" s="1449">
        <f>SUM(E20,G20)</f>
        <v>1</v>
      </c>
      <c r="D20" s="1450"/>
      <c r="E20" s="1450">
        <v>0.65115999999999996</v>
      </c>
      <c r="F20" s="1451"/>
      <c r="G20" s="1450">
        <v>0.34883999999999998</v>
      </c>
      <c r="K20" s="477">
        <f>K19+1</f>
        <v>202304</v>
      </c>
      <c r="L20" s="516">
        <f>'G-2.03 Uncoll'!BK47</f>
        <v>79638.139999999985</v>
      </c>
      <c r="M20" s="516">
        <f>'G-2.03 Uncoll'!BL47</f>
        <v>572873.76000000024</v>
      </c>
      <c r="N20" s="516">
        <f>'G-2.03 Uncoll'!BM47</f>
        <v>21055.34</v>
      </c>
      <c r="O20" s="516">
        <f>'G-2.03 Uncoll'!BN47</f>
        <v>164650.15000000008</v>
      </c>
      <c r="P20" s="516">
        <f>'G-2.03 Uncoll'!BK34</f>
        <v>-17740.320000000003</v>
      </c>
      <c r="Q20" s="516">
        <f>'G-2.03 Uncoll'!BL34</f>
        <v>-74958.739999999976</v>
      </c>
      <c r="R20" s="516">
        <f>'G-2.03 Uncoll'!BM34</f>
        <v>-3344.9099999999994</v>
      </c>
      <c r="S20" s="516">
        <f>'G-2.03 Uncoll'!BN34</f>
        <v>-17886.420000000006</v>
      </c>
      <c r="T20" s="516">
        <f>'G-2.03 Uncoll'!BK81</f>
        <v>0</v>
      </c>
      <c r="U20" s="1181">
        <v>0</v>
      </c>
      <c r="V20" s="1181">
        <v>0</v>
      </c>
      <c r="W20" s="1181">
        <v>0</v>
      </c>
      <c r="X20" s="1181">
        <v>0</v>
      </c>
      <c r="Y20" s="1181">
        <v>0</v>
      </c>
      <c r="AA20" s="1425">
        <f t="shared" si="5"/>
        <v>202304</v>
      </c>
      <c r="AB20" s="516">
        <v>30744.25</v>
      </c>
      <c r="AC20" s="516">
        <v>229671.44</v>
      </c>
      <c r="AD20" s="516">
        <v>6280.44</v>
      </c>
      <c r="AE20" s="516">
        <v>48702.32</v>
      </c>
      <c r="AF20" s="516">
        <v>33245.589999999997</v>
      </c>
      <c r="AG20" s="929">
        <v>0</v>
      </c>
      <c r="AH20" s="516">
        <v>0</v>
      </c>
      <c r="AL20" s="477">
        <f>AL19+1</f>
        <v>202305</v>
      </c>
      <c r="AM20" s="516">
        <v>-20071697</v>
      </c>
      <c r="AN20" s="516">
        <v>-20712984.66</v>
      </c>
      <c r="AO20" s="516">
        <v>-5285773.34</v>
      </c>
      <c r="AP20" s="516">
        <v>-465376.49</v>
      </c>
      <c r="AQ20" s="516">
        <v>-100333.53</v>
      </c>
      <c r="AR20" s="516">
        <v>1185360</v>
      </c>
      <c r="AS20" s="888">
        <f t="shared" si="2"/>
        <v>-45450805.020000003</v>
      </c>
      <c r="AU20" s="890">
        <f t="shared" si="3"/>
        <v>202305</v>
      </c>
      <c r="AV20" s="516">
        <v>-9105661.3300000001</v>
      </c>
      <c r="AW20" s="516">
        <v>-7295481.8399999999</v>
      </c>
      <c r="AX20" s="516">
        <v>-4487222.67</v>
      </c>
      <c r="AY20" s="516">
        <v>-269433.78999999998</v>
      </c>
      <c r="AZ20" s="516">
        <v>-12257.25</v>
      </c>
      <c r="BA20" s="516">
        <v>486318</v>
      </c>
      <c r="BB20" s="516">
        <v>-715.27</v>
      </c>
      <c r="BC20" s="516">
        <v>-3608.84</v>
      </c>
      <c r="BD20" s="516">
        <v>-1557.53</v>
      </c>
      <c r="BE20" s="515">
        <f t="shared" si="4"/>
        <v>-20689620.52</v>
      </c>
      <c r="BJ20" s="1428">
        <v>3</v>
      </c>
      <c r="BK20" s="888">
        <v>-36286.100000000006</v>
      </c>
      <c r="BL20" s="888">
        <v>-138938.17000000007</v>
      </c>
      <c r="BM20" s="888">
        <v>-6556.1199999999981</v>
      </c>
      <c r="BN20" s="888">
        <v>-21562.849999999995</v>
      </c>
      <c r="BO20" s="888">
        <v>-203343.24000000008</v>
      </c>
      <c r="BU20" s="1409">
        <v>44317</v>
      </c>
      <c r="BV20" s="1410">
        <v>-23124.520000001401</v>
      </c>
      <c r="BW20" s="1411"/>
      <c r="BX20" s="1411"/>
      <c r="BY20" s="1411"/>
      <c r="BZ20" s="1411">
        <v>0</v>
      </c>
      <c r="CA20" s="1412">
        <f t="shared" si="7"/>
        <v>-23124.520000001401</v>
      </c>
      <c r="CB20" s="1410">
        <v>-6234.9899999999907</v>
      </c>
      <c r="CC20" s="1411"/>
      <c r="CD20" s="1411"/>
      <c r="CE20" s="1411"/>
      <c r="CF20" s="1411">
        <v>0</v>
      </c>
      <c r="CG20" s="1412">
        <f t="shared" si="8"/>
        <v>-6234.9899999999907</v>
      </c>
    </row>
    <row r="21" spans="1:85">
      <c r="C21" s="1423"/>
      <c r="D21" s="1423"/>
      <c r="E21" s="1423"/>
      <c r="F21" s="1423"/>
      <c r="G21" s="1423"/>
      <c r="K21" s="477">
        <f>K20+1</f>
        <v>202305</v>
      </c>
      <c r="L21" s="516">
        <f>'G-2.03 Uncoll'!BK48</f>
        <v>82650.419999999984</v>
      </c>
      <c r="M21" s="516">
        <f>'G-2.03 Uncoll'!BL48</f>
        <v>461424.49999999948</v>
      </c>
      <c r="N21" s="516">
        <f>'G-2.03 Uncoll'!BM48</f>
        <v>26935.069999999985</v>
      </c>
      <c r="O21" s="516">
        <f>'G-2.03 Uncoll'!BN48</f>
        <v>157702.45999999988</v>
      </c>
      <c r="P21" s="516">
        <f>'G-2.03 Uncoll'!BK35</f>
        <v>-24163.260000000006</v>
      </c>
      <c r="Q21" s="516">
        <f>'G-2.03 Uncoll'!BL35</f>
        <v>-81153.579999999958</v>
      </c>
      <c r="R21" s="516">
        <f>'G-2.03 Uncoll'!BM35</f>
        <v>-5489.89</v>
      </c>
      <c r="S21" s="516">
        <f>'G-2.03 Uncoll'!BN35</f>
        <v>-23373.299999999988</v>
      </c>
      <c r="T21" s="516">
        <f>'G-2.03 Uncoll'!BK82</f>
        <v>0</v>
      </c>
      <c r="U21" s="1181">
        <v>0</v>
      </c>
      <c r="V21" s="1181">
        <v>0</v>
      </c>
      <c r="W21" s="1181">
        <v>0</v>
      </c>
      <c r="X21" s="1181">
        <v>0</v>
      </c>
      <c r="Y21" s="1181">
        <v>0</v>
      </c>
      <c r="AA21" s="1425">
        <f t="shared" si="5"/>
        <v>202305</v>
      </c>
      <c r="AB21" s="516">
        <v>21311.88</v>
      </c>
      <c r="AC21" s="516">
        <v>159207.97</v>
      </c>
      <c r="AD21" s="516">
        <v>4353.6000000000004</v>
      </c>
      <c r="AE21" s="516">
        <v>33760.39</v>
      </c>
      <c r="AF21" s="516">
        <v>23045.8</v>
      </c>
      <c r="AG21" s="929">
        <v>0</v>
      </c>
      <c r="AH21" s="516">
        <v>0</v>
      </c>
      <c r="AL21" s="477">
        <f>AL20+1</f>
        <v>202306</v>
      </c>
      <c r="AM21" s="516">
        <v>-18888507.57</v>
      </c>
      <c r="AN21" s="516">
        <v>-20398475.399999999</v>
      </c>
      <c r="AO21" s="516">
        <v>-5627204.9100000001</v>
      </c>
      <c r="AP21" s="516">
        <v>-426982.49</v>
      </c>
      <c r="AQ21" s="516">
        <v>-68026.69</v>
      </c>
      <c r="AR21" s="516">
        <v>-925550</v>
      </c>
      <c r="AS21" s="888">
        <f t="shared" si="2"/>
        <v>-46334747.059999995</v>
      </c>
      <c r="AU21" s="890">
        <f t="shared" si="3"/>
        <v>202306</v>
      </c>
      <c r="AV21" s="516">
        <v>-8549126.3399999999</v>
      </c>
      <c r="AW21" s="516">
        <v>-7329269.2300000004</v>
      </c>
      <c r="AX21" s="516">
        <v>-4760516.28</v>
      </c>
      <c r="AY21" s="516">
        <v>-233208.83</v>
      </c>
      <c r="AZ21" s="516">
        <v>-16206.8</v>
      </c>
      <c r="BA21" s="516">
        <v>-112586</v>
      </c>
      <c r="BB21" s="516">
        <v>-952.86</v>
      </c>
      <c r="BC21" s="516">
        <v>-1630.63</v>
      </c>
      <c r="BD21" s="516">
        <v>-1833.72</v>
      </c>
      <c r="BE21" s="515">
        <f t="shared" si="4"/>
        <v>-21005330.689999998</v>
      </c>
      <c r="BJ21" s="1428">
        <v>4</v>
      </c>
      <c r="BK21" s="888">
        <v>-65494.790000000008</v>
      </c>
      <c r="BL21" s="888">
        <v>-241083.90000000011</v>
      </c>
      <c r="BM21" s="888">
        <v>-12349.550000000003</v>
      </c>
      <c r="BN21" s="888">
        <v>-56665.510000000024</v>
      </c>
      <c r="BO21" s="888">
        <v>-375593.75000000012</v>
      </c>
      <c r="BU21" s="1440">
        <v>44348</v>
      </c>
      <c r="BV21" s="1441">
        <v>-567691.7799999998</v>
      </c>
      <c r="BW21" s="1442">
        <v>2125134.7799999998</v>
      </c>
      <c r="BX21" s="1442">
        <v>78532.97</v>
      </c>
      <c r="BY21" s="1442"/>
      <c r="BZ21" s="1442">
        <v>2203667.75</v>
      </c>
      <c r="CA21" s="1443">
        <f t="shared" si="7"/>
        <v>1635975.9700000002</v>
      </c>
      <c r="CB21" s="1441">
        <v>-165085.77000000002</v>
      </c>
      <c r="CC21" s="1442">
        <v>497870.77</v>
      </c>
      <c r="CD21" s="1442">
        <v>23218.37</v>
      </c>
      <c r="CE21" s="1442"/>
      <c r="CF21" s="1442">
        <v>521089.14</v>
      </c>
      <c r="CG21" s="1443">
        <f t="shared" si="8"/>
        <v>356003.37</v>
      </c>
    </row>
    <row r="22" spans="1:85" ht="13.5" thickBot="1">
      <c r="C22" s="1423"/>
      <c r="D22" s="1423"/>
      <c r="E22" s="1423"/>
      <c r="G22" s="1423"/>
      <c r="K22" s="477">
        <f>K21+1</f>
        <v>202306</v>
      </c>
      <c r="L22" s="516">
        <f>'G-2.03 Uncoll'!BK49</f>
        <v>89523.840000000011</v>
      </c>
      <c r="M22" s="516">
        <f>'G-2.03 Uncoll'!BL49</f>
        <v>689941.35999999952</v>
      </c>
      <c r="N22" s="516">
        <f>'G-2.03 Uncoll'!BM49</f>
        <v>32976.800000000017</v>
      </c>
      <c r="O22" s="516">
        <f>'G-2.03 Uncoll'!BN49</f>
        <v>207280.91999999984</v>
      </c>
      <c r="P22" s="516">
        <f>'G-2.03 Uncoll'!BK36</f>
        <v>-23869.969999999994</v>
      </c>
      <c r="Q22" s="516">
        <f>'G-2.03 Uncoll'!BL36</f>
        <v>-66513.369999999937</v>
      </c>
      <c r="R22" s="516">
        <f>'G-2.03 Uncoll'!BM36</f>
        <v>-5391.579999999999</v>
      </c>
      <c r="S22" s="516">
        <f>'G-2.03 Uncoll'!BN36</f>
        <v>-18232.299999999996</v>
      </c>
      <c r="T22" s="516">
        <f>'G-2.03 Uncoll'!BK83</f>
        <v>0</v>
      </c>
      <c r="U22" s="1181">
        <v>0</v>
      </c>
      <c r="V22" s="1181">
        <v>0</v>
      </c>
      <c r="W22" s="1181">
        <v>0</v>
      </c>
      <c r="X22" s="1181">
        <v>0</v>
      </c>
      <c r="Y22" s="1181">
        <v>0</v>
      </c>
      <c r="AA22" s="1425">
        <f t="shared" si="5"/>
        <v>202306</v>
      </c>
      <c r="AB22" s="516">
        <v>38028.71</v>
      </c>
      <c r="AC22" s="516">
        <v>284089.15000000002</v>
      </c>
      <c r="AD22" s="516">
        <v>7768.51</v>
      </c>
      <c r="AE22" s="516">
        <v>60241.71</v>
      </c>
      <c r="AF22" s="516">
        <v>41122.71</v>
      </c>
      <c r="AG22" s="929">
        <v>0</v>
      </c>
      <c r="AH22" s="516">
        <v>0</v>
      </c>
      <c r="AM22" s="1221">
        <f t="shared" ref="AM22:AS22" si="9">SUM(AM10:AM21)</f>
        <v>-287920192.08000004</v>
      </c>
      <c r="AN22" s="1221">
        <f t="shared" si="9"/>
        <v>-248269931.34999999</v>
      </c>
      <c r="AO22" s="1221">
        <f t="shared" si="9"/>
        <v>-64199133.679999992</v>
      </c>
      <c r="AP22" s="1221">
        <f t="shared" si="9"/>
        <v>-4860165.8600000003</v>
      </c>
      <c r="AQ22" s="1221">
        <f t="shared" si="9"/>
        <v>-1324196.98</v>
      </c>
      <c r="AR22" s="1221">
        <f t="shared" si="9"/>
        <v>5100673</v>
      </c>
      <c r="AS22" s="1221">
        <f t="shared" si="9"/>
        <v>-601472946.94999993</v>
      </c>
      <c r="AV22" s="1221">
        <f t="shared" ref="AV22:BE22" si="10">SUM(AV10:AV21)</f>
        <v>-134790138.06999999</v>
      </c>
      <c r="AW22" s="1221">
        <f t="shared" si="10"/>
        <v>-92377247.780000016</v>
      </c>
      <c r="AX22" s="1221">
        <f t="shared" si="10"/>
        <v>-54653968.63000001</v>
      </c>
      <c r="AY22" s="1221">
        <f t="shared" si="10"/>
        <v>-2781992.9600000004</v>
      </c>
      <c r="AZ22" s="1221">
        <f t="shared" si="10"/>
        <v>-216962.7</v>
      </c>
      <c r="BA22" s="1221">
        <f t="shared" si="10"/>
        <v>2421242</v>
      </c>
      <c r="BB22" s="1221">
        <f t="shared" si="10"/>
        <v>-18239.93</v>
      </c>
      <c r="BC22" s="1221">
        <f t="shared" si="10"/>
        <v>-50367.749999999993</v>
      </c>
      <c r="BD22" s="1221">
        <f t="shared" si="10"/>
        <v>-35990.03</v>
      </c>
      <c r="BE22" s="1221">
        <f t="shared" si="10"/>
        <v>-282503665.85000002</v>
      </c>
      <c r="BJ22" s="1428">
        <v>5</v>
      </c>
      <c r="BK22" s="888">
        <v>-61482.009999999973</v>
      </c>
      <c r="BL22" s="888">
        <v>-234657.62000000002</v>
      </c>
      <c r="BM22" s="888">
        <v>-11720.769999999999</v>
      </c>
      <c r="BN22" s="888">
        <v>-63537.549999999974</v>
      </c>
      <c r="BO22" s="888">
        <v>-371397.95</v>
      </c>
      <c r="BU22" s="1440">
        <v>44378</v>
      </c>
      <c r="BV22" s="1441">
        <v>480411.69</v>
      </c>
      <c r="BW22" s="1442">
        <v>156748.31</v>
      </c>
      <c r="BX22" s="1442">
        <v>48165.41</v>
      </c>
      <c r="BY22" s="1442"/>
      <c r="BZ22" s="1442">
        <v>204913.72</v>
      </c>
      <c r="CA22" s="1443">
        <f t="shared" si="7"/>
        <v>685325.41</v>
      </c>
      <c r="CB22" s="1441">
        <v>111890.01999999999</v>
      </c>
      <c r="CC22" s="1442">
        <v>37346.980000000003</v>
      </c>
      <c r="CD22" s="1442">
        <v>14240.17</v>
      </c>
      <c r="CE22" s="1442"/>
      <c r="CF22" s="1442">
        <v>51587.15</v>
      </c>
      <c r="CG22" s="1443">
        <f t="shared" si="8"/>
        <v>163477.16999999998</v>
      </c>
    </row>
    <row r="23" spans="1:85" ht="13.5" thickBot="1">
      <c r="A23" s="1401" t="s">
        <v>78</v>
      </c>
      <c r="B23" s="1423"/>
      <c r="C23" s="1423"/>
      <c r="D23" s="1423"/>
      <c r="E23" s="1423"/>
      <c r="F23" s="1423"/>
      <c r="G23" s="1423"/>
      <c r="L23" s="1452">
        <f t="shared" ref="L23:Y23" si="11">SUM(L11:L22)</f>
        <v>877018.52999999991</v>
      </c>
      <c r="M23" s="1453">
        <f t="shared" si="11"/>
        <v>5467510.2999999989</v>
      </c>
      <c r="N23" s="1452">
        <f t="shared" si="11"/>
        <v>203599.30000000002</v>
      </c>
      <c r="O23" s="1453">
        <f t="shared" si="11"/>
        <v>1341007.74</v>
      </c>
      <c r="P23" s="1452">
        <f t="shared" si="11"/>
        <v>-287395.39</v>
      </c>
      <c r="Q23" s="1454">
        <f t="shared" si="11"/>
        <v>-2182270</v>
      </c>
      <c r="R23" s="1452">
        <f t="shared" si="11"/>
        <v>-57234.85</v>
      </c>
      <c r="S23" s="1454">
        <f t="shared" si="11"/>
        <v>-401726.42999999988</v>
      </c>
      <c r="T23" s="1452">
        <f t="shared" si="11"/>
        <v>0</v>
      </c>
      <c r="U23" s="1452">
        <f t="shared" si="11"/>
        <v>0</v>
      </c>
      <c r="V23" s="1452">
        <f t="shared" si="11"/>
        <v>0</v>
      </c>
      <c r="W23" s="1452">
        <f t="shared" si="11"/>
        <v>0</v>
      </c>
      <c r="X23" s="1452">
        <f t="shared" si="11"/>
        <v>0</v>
      </c>
      <c r="Y23" s="1452">
        <f t="shared" si="11"/>
        <v>0</v>
      </c>
      <c r="AA23" s="634" t="s">
        <v>1139</v>
      </c>
      <c r="AB23" s="1455">
        <f>SUM(AB11:AB22)</f>
        <v>581464.92999999982</v>
      </c>
      <c r="AC23" s="1455">
        <f>SUM(AC11:AC22)</f>
        <v>-269148.79999999993</v>
      </c>
      <c r="AD23" s="1455">
        <f>SUM(AD11:AD22)</f>
        <v>164096.25000000003</v>
      </c>
      <c r="AE23" s="1455">
        <f>SUM(AE11:AE22)</f>
        <v>15711.29</v>
      </c>
      <c r="AF23" s="1455">
        <f>SUM(AF11:AF22)</f>
        <v>-79643.350000000035</v>
      </c>
      <c r="AL23" s="880"/>
      <c r="AM23" s="880"/>
      <c r="AN23" s="880"/>
      <c r="AO23" s="880"/>
      <c r="AP23" s="880"/>
      <c r="AQ23" s="880"/>
      <c r="AR23" s="880"/>
      <c r="AS23" s="1456" t="s">
        <v>485</v>
      </c>
      <c r="AT23" s="880"/>
      <c r="AU23" s="880"/>
      <c r="AV23" s="880"/>
      <c r="AW23" s="880"/>
      <c r="AX23" s="880"/>
      <c r="AY23" s="880"/>
      <c r="AZ23" s="880"/>
      <c r="BA23" s="880"/>
      <c r="BB23" s="880"/>
      <c r="BC23" s="880"/>
      <c r="BD23" s="880"/>
      <c r="BE23" s="1456" t="s">
        <v>485</v>
      </c>
      <c r="BJ23" s="1428">
        <v>6</v>
      </c>
      <c r="BK23" s="888">
        <v>-92597.860000000015</v>
      </c>
      <c r="BL23" s="888">
        <v>-280174.56</v>
      </c>
      <c r="BM23" s="888">
        <v>-16540.079999999998</v>
      </c>
      <c r="BN23" s="888">
        <v>-80817.489999999962</v>
      </c>
      <c r="BO23" s="888">
        <v>-470129.99</v>
      </c>
      <c r="BU23" s="1440">
        <v>44409</v>
      </c>
      <c r="BV23" s="1441">
        <v>-92126.69</v>
      </c>
      <c r="BW23" s="1442">
        <v>38140.69</v>
      </c>
      <c r="BX23" s="1442">
        <v>-133939.0417579872</v>
      </c>
      <c r="BY23" s="1442">
        <v>145313.37804883515</v>
      </c>
      <c r="BZ23" s="1442">
        <v>49515.026290847949</v>
      </c>
      <c r="CA23" s="1443">
        <f t="shared" si="7"/>
        <v>-42611.663709152053</v>
      </c>
      <c r="CB23" s="1441">
        <v>3522.1400000000003</v>
      </c>
      <c r="CC23" s="1442">
        <v>5320.86</v>
      </c>
      <c r="CD23" s="1442">
        <v>-50501.418242012791</v>
      </c>
      <c r="CE23" s="1442">
        <v>32157.905098480242</v>
      </c>
      <c r="CF23" s="1442">
        <v>-13022.653143532549</v>
      </c>
      <c r="CG23" s="1443">
        <f t="shared" si="8"/>
        <v>-9500.5131435325493</v>
      </c>
    </row>
    <row r="24" spans="1:85">
      <c r="A24" s="1402" t="s">
        <v>1127</v>
      </c>
      <c r="C24" s="1423">
        <f>E24+G24</f>
        <v>1447600</v>
      </c>
      <c r="D24" s="1423"/>
      <c r="E24" s="1423">
        <f>G47</f>
        <v>1246234</v>
      </c>
      <c r="F24" s="1423"/>
      <c r="G24" s="1423">
        <f>G54</f>
        <v>201366</v>
      </c>
      <c r="L24" s="888"/>
      <c r="M24" s="888"/>
      <c r="N24" s="888"/>
      <c r="O24" s="888"/>
      <c r="P24" s="888"/>
      <c r="Q24" s="888"/>
      <c r="R24" s="888"/>
      <c r="S24" s="888"/>
      <c r="T24" s="888"/>
      <c r="U24" s="888"/>
      <c r="V24" s="888"/>
      <c r="W24" s="888"/>
      <c r="X24" s="888"/>
      <c r="Y24" s="1456"/>
      <c r="AB24" s="1456" t="s">
        <v>485</v>
      </c>
      <c r="AC24" s="1456" t="s">
        <v>485</v>
      </c>
      <c r="AD24" s="1456" t="s">
        <v>485</v>
      </c>
      <c r="AE24" s="1456" t="s">
        <v>485</v>
      </c>
      <c r="AF24" s="1456"/>
      <c r="BJ24" s="1426" t="s">
        <v>1140</v>
      </c>
      <c r="BK24" s="1427"/>
      <c r="BL24" s="1427"/>
      <c r="BM24" s="1427"/>
      <c r="BN24" s="1427"/>
      <c r="BO24" s="1427"/>
      <c r="BU24" s="1440">
        <v>44440</v>
      </c>
      <c r="BV24" s="1441">
        <v>350900</v>
      </c>
      <c r="BW24" s="1442">
        <v>0</v>
      </c>
      <c r="BX24" s="1442">
        <v>4563.3804592795241</v>
      </c>
      <c r="BY24" s="1442">
        <v>15388.4</v>
      </c>
      <c r="BZ24" s="1442">
        <v>19951.780459279522</v>
      </c>
      <c r="CA24" s="1443">
        <f t="shared" si="7"/>
        <v>370851.78045927954</v>
      </c>
      <c r="CB24" s="1441">
        <v>88895</v>
      </c>
      <c r="CC24" s="1442">
        <v>0</v>
      </c>
      <c r="CD24" s="1442">
        <v>636.61954072047581</v>
      </c>
      <c r="CE24" s="1442">
        <v>2146.77</v>
      </c>
      <c r="CF24" s="1442">
        <v>2783.3895407204759</v>
      </c>
      <c r="CG24" s="1443">
        <f t="shared" si="8"/>
        <v>91678.389540720469</v>
      </c>
    </row>
    <row r="25" spans="1:85">
      <c r="A25" s="1402" t="s">
        <v>1129</v>
      </c>
      <c r="C25" s="1423"/>
      <c r="D25" s="1423"/>
      <c r="E25" s="1423"/>
      <c r="F25" s="1423"/>
      <c r="G25" s="1423"/>
      <c r="L25" s="1457"/>
      <c r="M25" s="1457"/>
      <c r="N25" s="1457"/>
      <c r="O25" s="1457"/>
      <c r="P25" s="888"/>
      <c r="Q25" s="888"/>
      <c r="R25" s="888"/>
      <c r="S25" s="888"/>
      <c r="T25" s="888"/>
      <c r="U25" s="888"/>
      <c r="V25" s="888"/>
      <c r="W25" s="888"/>
      <c r="X25" s="888"/>
      <c r="Y25" s="888"/>
      <c r="Z25" s="1239"/>
      <c r="AA25" s="634"/>
      <c r="AS25" s="1458">
        <f>AS10</f>
        <v>-50185762.109999999</v>
      </c>
      <c r="AV25" s="1091">
        <v>0.89119999999999999</v>
      </c>
      <c r="BJ25" s="1428">
        <v>7</v>
      </c>
      <c r="BK25" s="888">
        <v>-27119.230000000014</v>
      </c>
      <c r="BL25" s="888">
        <v>-59928.960000000006</v>
      </c>
      <c r="BM25" s="888">
        <v>-5947.08</v>
      </c>
      <c r="BN25" s="888">
        <v>-13986.800000000001</v>
      </c>
      <c r="BO25" s="888">
        <v>-106982.07000000002</v>
      </c>
      <c r="BQ25" s="1459" t="s">
        <v>1141</v>
      </c>
      <c r="BU25" s="1440">
        <v>44470</v>
      </c>
      <c r="BV25" s="1441">
        <v>-956020</v>
      </c>
      <c r="BW25" s="1442">
        <v>0</v>
      </c>
      <c r="BX25" s="1442">
        <v>0</v>
      </c>
      <c r="BY25" s="1442">
        <v>0</v>
      </c>
      <c r="BZ25" s="1442">
        <v>0</v>
      </c>
      <c r="CA25" s="1443">
        <f t="shared" si="7"/>
        <v>-956020</v>
      </c>
      <c r="CB25" s="1441">
        <v>-188935</v>
      </c>
      <c r="CC25" s="1442">
        <v>0</v>
      </c>
      <c r="CD25" s="1442">
        <v>0</v>
      </c>
      <c r="CE25" s="1442">
        <v>0</v>
      </c>
      <c r="CF25" s="1442">
        <v>0</v>
      </c>
      <c r="CG25" s="1443">
        <f t="shared" si="8"/>
        <v>-188935</v>
      </c>
    </row>
    <row r="26" spans="1:85">
      <c r="A26" s="1402" t="s">
        <v>1132</v>
      </c>
      <c r="C26" s="1423">
        <f>E26+G26</f>
        <v>179807.54000000004</v>
      </c>
      <c r="D26" s="1434" t="s">
        <v>1133</v>
      </c>
      <c r="E26" s="1423">
        <f>'G-2.03 Uncoll'!AE23</f>
        <v>15711.29</v>
      </c>
      <c r="F26" s="1423"/>
      <c r="G26" s="1423">
        <f>'G-2.03 Uncoll'!AD23</f>
        <v>164096.25000000003</v>
      </c>
      <c r="H26" s="1435"/>
      <c r="L26" s="1457"/>
      <c r="M26" s="1457"/>
      <c r="N26" s="1457"/>
      <c r="O26" s="1457"/>
      <c r="P26" s="888"/>
      <c r="Q26" s="888"/>
      <c r="R26" s="888"/>
      <c r="S26" s="888"/>
      <c r="T26" s="888"/>
      <c r="U26" s="888"/>
      <c r="V26" s="888"/>
      <c r="W26" s="888"/>
      <c r="X26" s="888"/>
      <c r="AB26" s="1459" t="s">
        <v>82</v>
      </c>
      <c r="AC26" s="1459"/>
      <c r="AD26" s="1459"/>
      <c r="AE26" s="1459"/>
      <c r="AF26" s="1459"/>
      <c r="AS26" s="1458">
        <f>SUM(AS10:AS11)</f>
        <v>-104222876.66</v>
      </c>
      <c r="AV26" s="1091">
        <v>0.89770000000000005</v>
      </c>
      <c r="BJ26" s="1428">
        <v>8</v>
      </c>
      <c r="BK26" s="888">
        <v>-30845.719999999994</v>
      </c>
      <c r="BL26" s="888">
        <v>-74753.59</v>
      </c>
      <c r="BM26" s="888">
        <v>-5661.9800000000005</v>
      </c>
      <c r="BN26" s="888">
        <v>-14478.170000000011</v>
      </c>
      <c r="BO26" s="888">
        <v>-125739.46</v>
      </c>
      <c r="BU26" s="1440">
        <v>44501</v>
      </c>
      <c r="BV26" s="1441">
        <v>-149324.09999999963</v>
      </c>
      <c r="BW26" s="1442">
        <v>0</v>
      </c>
      <c r="BX26" s="1442">
        <v>0</v>
      </c>
      <c r="BY26" s="1442">
        <v>0</v>
      </c>
      <c r="BZ26" s="1442">
        <v>0</v>
      </c>
      <c r="CA26" s="1443">
        <f t="shared" si="7"/>
        <v>-149324.09999999963</v>
      </c>
      <c r="CB26" s="1441">
        <v>-6232.7999999998137</v>
      </c>
      <c r="CC26" s="1442">
        <v>0</v>
      </c>
      <c r="CD26" s="1442">
        <v>0</v>
      </c>
      <c r="CE26" s="1442">
        <v>0</v>
      </c>
      <c r="CF26" s="1442">
        <v>0</v>
      </c>
      <c r="CG26" s="1443">
        <f t="shared" si="8"/>
        <v>-6232.7999999998137</v>
      </c>
    </row>
    <row r="27" spans="1:85">
      <c r="A27" s="1402" t="s">
        <v>1134</v>
      </c>
      <c r="C27" s="1423">
        <f>-'G-2.03 Uncoll'!BZ63</f>
        <v>303710.06000000006</v>
      </c>
      <c r="D27" s="1434" t="s">
        <v>1135</v>
      </c>
      <c r="E27" s="1423">
        <f>C27</f>
        <v>303710.06000000006</v>
      </c>
      <c r="F27" s="1423"/>
      <c r="G27" s="1439">
        <v>0</v>
      </c>
      <c r="H27" s="1435"/>
      <c r="L27" s="1457"/>
      <c r="M27" s="1457"/>
      <c r="N27" s="1457"/>
      <c r="O27" s="1457"/>
      <c r="P27" s="888"/>
      <c r="Q27" s="1456"/>
      <c r="R27" s="1456"/>
      <c r="S27" s="1456"/>
      <c r="T27" s="1456"/>
      <c r="U27" s="1456"/>
      <c r="V27" s="1456"/>
      <c r="W27" s="1456"/>
      <c r="X27" s="1456"/>
      <c r="AS27" s="1458">
        <f>SUM(AS10:AS12)</f>
        <v>-148581657.03</v>
      </c>
      <c r="AV27" s="1091">
        <v>0.88800000000000001</v>
      </c>
      <c r="BJ27" s="1428">
        <v>9</v>
      </c>
      <c r="BK27" s="888">
        <v>-20165.820000000007</v>
      </c>
      <c r="BL27" s="888">
        <v>-77610.27999999997</v>
      </c>
      <c r="BM27" s="888">
        <v>-3789.0799999999986</v>
      </c>
      <c r="BN27" s="888">
        <v>-18052.380000000008</v>
      </c>
      <c r="BO27" s="888">
        <v>-119617.55999999998</v>
      </c>
      <c r="BU27" s="1440">
        <v>44531</v>
      </c>
      <c r="BV27" s="1441">
        <v>-594152.12933933549</v>
      </c>
      <c r="BW27" s="1442">
        <v>0</v>
      </c>
      <c r="BX27" s="1442">
        <v>-1366.1100000000151</v>
      </c>
      <c r="BY27" s="1442">
        <v>-3732.5999999999767</v>
      </c>
      <c r="BZ27" s="1442">
        <v>-5098.7099999999919</v>
      </c>
      <c r="CA27" s="1443">
        <f t="shared" si="7"/>
        <v>-599250.83933933545</v>
      </c>
      <c r="CB27" s="1441">
        <v>-107203.87679037754</v>
      </c>
      <c r="CC27" s="1442">
        <v>0</v>
      </c>
      <c r="CD27" s="1442">
        <v>1366.1099999999969</v>
      </c>
      <c r="CE27" s="1442">
        <v>363.47000000000116</v>
      </c>
      <c r="CF27" s="1442">
        <v>1729.5799999999981</v>
      </c>
      <c r="CG27" s="1443">
        <f t="shared" si="8"/>
        <v>-105474.29679037754</v>
      </c>
    </row>
    <row r="28" spans="1:85" ht="15.75" thickBot="1">
      <c r="A28" s="1402" t="s">
        <v>1136</v>
      </c>
      <c r="C28" s="1444">
        <f>SUM(C26:C27)</f>
        <v>483517.60000000009</v>
      </c>
      <c r="D28" s="1434"/>
      <c r="E28" s="1444">
        <f>SUM(E26:E27)</f>
        <v>319421.35000000003</v>
      </c>
      <c r="F28" s="1423"/>
      <c r="G28" s="1444">
        <f>SUM(G26:G27)</f>
        <v>164096.25000000003</v>
      </c>
      <c r="H28" s="1435"/>
      <c r="AB28" s="986"/>
      <c r="AS28" s="1458">
        <f>SUM(AS10:AS13)</f>
        <v>-191246393.96000001</v>
      </c>
      <c r="AV28" s="1091">
        <v>0.86519999999999997</v>
      </c>
      <c r="AZ28" s="1460"/>
      <c r="BJ28" s="1428">
        <v>10</v>
      </c>
      <c r="BK28" s="888">
        <v>-18259.440000000006</v>
      </c>
      <c r="BL28" s="888">
        <v>-60353.600000000035</v>
      </c>
      <c r="BM28" s="888">
        <v>-4718.46</v>
      </c>
      <c r="BN28" s="888">
        <v>-14706.740000000002</v>
      </c>
      <c r="BO28" s="888">
        <v>-98038.240000000049</v>
      </c>
      <c r="BU28" s="1430" t="s">
        <v>1142</v>
      </c>
      <c r="BV28" s="1431">
        <f t="shared" ref="BV28:CG28" si="12">SUM(BV14:BV27)</f>
        <v>-414877.82460233639</v>
      </c>
      <c r="BW28" s="1432">
        <f t="shared" si="12"/>
        <v>5206446.18</v>
      </c>
      <c r="BX28" s="1432">
        <f t="shared" si="12"/>
        <v>131628.55870129232</v>
      </c>
      <c r="BY28" s="1432">
        <f t="shared" si="12"/>
        <v>156969.17804883517</v>
      </c>
      <c r="BZ28" s="1432">
        <f t="shared" si="12"/>
        <v>5495043.9167501274</v>
      </c>
      <c r="CA28" s="1433">
        <f t="shared" si="12"/>
        <v>5080166.0921477908</v>
      </c>
      <c r="CB28" s="1431">
        <f t="shared" si="12"/>
        <v>-43832.591527377517</v>
      </c>
      <c r="CC28" s="1432">
        <f t="shared" si="12"/>
        <v>1149893.82</v>
      </c>
      <c r="CD28" s="1432">
        <f t="shared" si="12"/>
        <v>29071.441298707672</v>
      </c>
      <c r="CE28" s="1432">
        <f t="shared" si="12"/>
        <v>34668.145098480243</v>
      </c>
      <c r="CF28" s="1432">
        <f t="shared" si="12"/>
        <v>1213633.4063971878</v>
      </c>
      <c r="CG28" s="1433">
        <f t="shared" si="12"/>
        <v>1169800.8148698106</v>
      </c>
    </row>
    <row r="29" spans="1:85" ht="15.75" thickTop="1">
      <c r="C29" s="1423"/>
      <c r="D29" s="1423"/>
      <c r="E29" s="1423"/>
      <c r="F29" s="1423"/>
      <c r="G29" s="1423"/>
      <c r="L29" s="888">
        <f>SUM(L23,N23,U23,W23)</f>
        <v>1080617.8299999998</v>
      </c>
      <c r="M29" s="634" t="s">
        <v>1143</v>
      </c>
      <c r="N29" s="1461" t="s">
        <v>485</v>
      </c>
      <c r="P29" s="888">
        <f>SUM(P23,R23)</f>
        <v>-344630.24</v>
      </c>
      <c r="Q29" s="634" t="s">
        <v>1143</v>
      </c>
      <c r="R29" s="1461" t="s">
        <v>485</v>
      </c>
      <c r="T29" s="888"/>
      <c r="U29" s="634"/>
      <c r="V29" s="634"/>
      <c r="W29" s="634"/>
      <c r="X29" s="1461"/>
      <c r="Y29" s="1117"/>
      <c r="Z29" s="1117"/>
      <c r="AA29" s="1117"/>
      <c r="AB29" s="1425"/>
      <c r="AS29" s="1458">
        <f>SUM(AS10:AS14)</f>
        <v>-243190997.95000002</v>
      </c>
      <c r="AV29" s="1091">
        <v>0.7994</v>
      </c>
      <c r="AZ29" s="1460"/>
      <c r="BJ29" s="1428">
        <v>11</v>
      </c>
      <c r="BK29" s="888">
        <v>-30781.400000000009</v>
      </c>
      <c r="BL29" s="888">
        <v>-86344.879999999888</v>
      </c>
      <c r="BM29" s="888">
        <v>-5700.3500000000022</v>
      </c>
      <c r="BN29" s="888">
        <v>-17851.849999999999</v>
      </c>
      <c r="BO29" s="888">
        <v>-140678.47999999989</v>
      </c>
      <c r="BU29" s="1430"/>
      <c r="BV29" s="1462"/>
      <c r="BW29" s="1463"/>
      <c r="BX29" s="1463"/>
      <c r="BY29" s="1463"/>
      <c r="BZ29" s="1463"/>
      <c r="CA29" s="1464"/>
      <c r="CB29" s="1462"/>
      <c r="CC29" s="1463"/>
      <c r="CD29" s="1463"/>
      <c r="CE29" s="1463"/>
      <c r="CF29" s="1463"/>
      <c r="CG29" s="1464"/>
    </row>
    <row r="30" spans="1:85" ht="13.5" thickBot="1">
      <c r="A30" s="1402" t="s">
        <v>1137</v>
      </c>
      <c r="C30" s="1447">
        <f>C24-C28</f>
        <v>964082.39999999991</v>
      </c>
      <c r="D30" s="1423"/>
      <c r="E30" s="1448">
        <f>E24-E28</f>
        <v>926812.64999999991</v>
      </c>
      <c r="F30" s="1423"/>
      <c r="G30" s="1447">
        <f>G24-G28</f>
        <v>37269.749999999971</v>
      </c>
      <c r="L30" s="1465">
        <f>SUM(M23,O23,V23,X23)</f>
        <v>6808518.0399999991</v>
      </c>
      <c r="M30" s="477" t="s">
        <v>1144</v>
      </c>
      <c r="P30" s="1466">
        <f>SUM(Q23,S23)</f>
        <v>-2583996.4299999997</v>
      </c>
      <c r="Q30" s="477" t="s">
        <v>1144</v>
      </c>
      <c r="T30" s="888"/>
      <c r="Y30" s="1117"/>
      <c r="Z30" s="1117"/>
      <c r="AA30" s="1117"/>
      <c r="AS30" s="1458">
        <f>SUM(AS10:AS15)</f>
        <v>-304065684.68000001</v>
      </c>
      <c r="AV30" s="1091">
        <v>0.74360000000000004</v>
      </c>
      <c r="AZ30" s="1460"/>
      <c r="BJ30" s="1428">
        <v>12</v>
      </c>
      <c r="BK30" s="888">
        <v>-25032.330000000005</v>
      </c>
      <c r="BL30" s="888">
        <v>-1355733.8</v>
      </c>
      <c r="BM30" s="888">
        <v>-4347.3</v>
      </c>
      <c r="BN30" s="888">
        <v>-194247.38999999996</v>
      </c>
      <c r="BO30" s="888">
        <v>-1579360.8199999989</v>
      </c>
      <c r="BU30" s="1209">
        <v>44562</v>
      </c>
      <c r="BV30" s="1467">
        <v>-20357.349999999889</v>
      </c>
      <c r="BW30" s="1468">
        <v>0</v>
      </c>
      <c r="BX30" s="1468">
        <v>0</v>
      </c>
      <c r="BY30" s="1468">
        <v>0</v>
      </c>
      <c r="BZ30" s="1468">
        <v>0</v>
      </c>
      <c r="CA30" s="1469">
        <f t="shared" ref="CA30:CA41" si="13">BV30+BZ30</f>
        <v>-20357.349999999889</v>
      </c>
      <c r="CB30" s="1467">
        <v>7431.9399999999951</v>
      </c>
      <c r="CC30" s="1468">
        <v>0</v>
      </c>
      <c r="CD30" s="1468">
        <v>0</v>
      </c>
      <c r="CE30" s="1468">
        <v>0</v>
      </c>
      <c r="CF30" s="1468">
        <v>0</v>
      </c>
      <c r="CG30" s="1469">
        <f t="shared" ref="CG30:CG41" si="14">CB30+CF30</f>
        <v>7431.9399999999951</v>
      </c>
    </row>
    <row r="31" spans="1:85" ht="13.5" thickTop="1">
      <c r="L31" s="888"/>
      <c r="P31" s="888"/>
      <c r="T31" s="888"/>
      <c r="Y31" s="1117"/>
      <c r="Z31" s="1117"/>
      <c r="AA31" s="1117"/>
      <c r="AS31" s="1458">
        <f>SUM(AS10:AS16)</f>
        <v>-360748474.84000003</v>
      </c>
      <c r="AV31" s="1091">
        <v>0.70909999999999995</v>
      </c>
      <c r="AZ31" s="1460"/>
      <c r="BJ31" s="1428">
        <v>1</v>
      </c>
      <c r="BK31" s="888">
        <v>-29078.800000000007</v>
      </c>
      <c r="BL31" s="888">
        <v>-91978.15</v>
      </c>
      <c r="BM31" s="888">
        <v>-4324.9699999999993</v>
      </c>
      <c r="BN31" s="888">
        <v>-19807.35999999999</v>
      </c>
      <c r="BO31" s="888">
        <v>-145189.28</v>
      </c>
      <c r="BU31" s="1209">
        <v>44593</v>
      </c>
      <c r="BV31" s="1467">
        <v>-5098.4400000001187</v>
      </c>
      <c r="BW31" s="1468">
        <v>0</v>
      </c>
      <c r="BX31" s="1468">
        <v>0</v>
      </c>
      <c r="BY31" s="1468">
        <v>0</v>
      </c>
      <c r="BZ31" s="1468">
        <v>0</v>
      </c>
      <c r="CA31" s="1469">
        <f t="shared" si="13"/>
        <v>-5098.4400000001187</v>
      </c>
      <c r="CB31" s="1467">
        <v>4025.1699999999873</v>
      </c>
      <c r="CC31" s="1468">
        <v>0</v>
      </c>
      <c r="CD31" s="1468">
        <v>0</v>
      </c>
      <c r="CE31" s="1468">
        <v>0</v>
      </c>
      <c r="CF31" s="1468">
        <v>0</v>
      </c>
      <c r="CG31" s="1469">
        <f t="shared" si="14"/>
        <v>4025.1699999999873</v>
      </c>
    </row>
    <row r="32" spans="1:85">
      <c r="A32" s="1402" t="s">
        <v>1145</v>
      </c>
      <c r="C32" s="1449">
        <f>SUM(E32,G32)</f>
        <v>1</v>
      </c>
      <c r="D32" s="1450"/>
      <c r="E32" s="1450">
        <v>0.65400999999999998</v>
      </c>
      <c r="F32" s="1450"/>
      <c r="G32" s="1450">
        <v>0.34599000000000002</v>
      </c>
      <c r="K32" s="1459" t="s">
        <v>1146</v>
      </c>
      <c r="Y32" s="1117"/>
      <c r="Z32" s="1117"/>
      <c r="AA32" s="1117"/>
      <c r="AS32" s="1458">
        <f>SUM(AS10:AS17)</f>
        <v>-409750343.37</v>
      </c>
      <c r="AV32" s="1091">
        <v>0.69059999999999999</v>
      </c>
      <c r="AZ32" s="1460"/>
      <c r="BJ32" s="1428">
        <v>2</v>
      </c>
      <c r="BK32" s="888">
        <v>-16103.090000000002</v>
      </c>
      <c r="BL32" s="888">
        <v>-75816.660000000018</v>
      </c>
      <c r="BM32" s="888">
        <v>-3266.4600000000023</v>
      </c>
      <c r="BN32" s="888">
        <v>-18014.29</v>
      </c>
      <c r="BO32" s="888">
        <v>-113200.50000000003</v>
      </c>
      <c r="BU32" s="1209">
        <v>44621</v>
      </c>
      <c r="BV32" s="1467">
        <v>1157016.49</v>
      </c>
      <c r="BW32" s="1468">
        <v>0</v>
      </c>
      <c r="BX32" s="1470">
        <v>0</v>
      </c>
      <c r="BY32" s="1468">
        <v>0</v>
      </c>
      <c r="BZ32" s="1468">
        <v>0</v>
      </c>
      <c r="CA32" s="1469">
        <f t="shared" si="13"/>
        <v>1157016.49</v>
      </c>
      <c r="CB32" s="1467">
        <v>178159.55000000008</v>
      </c>
      <c r="CC32" s="1468">
        <v>0</v>
      </c>
      <c r="CD32" s="1468">
        <v>0</v>
      </c>
      <c r="CE32" s="1468">
        <v>0</v>
      </c>
      <c r="CF32" s="1468">
        <v>0</v>
      </c>
      <c r="CG32" s="1469">
        <f t="shared" si="14"/>
        <v>178159.55000000008</v>
      </c>
    </row>
    <row r="33" spans="1:85">
      <c r="L33" s="3793" t="s">
        <v>1147</v>
      </c>
      <c r="M33" s="3793"/>
      <c r="N33" s="3793"/>
      <c r="O33" s="1471" t="s">
        <v>1148</v>
      </c>
      <c r="P33" s="3794" t="s">
        <v>1149</v>
      </c>
      <c r="Q33" s="3793"/>
      <c r="R33" s="3793"/>
      <c r="S33" s="1471" t="s">
        <v>1148</v>
      </c>
      <c r="T33" s="3770"/>
      <c r="U33" s="3770"/>
      <c r="V33" s="3770"/>
      <c r="W33" s="3770"/>
      <c r="X33" s="3770"/>
      <c r="Y33" s="1117"/>
      <c r="Z33" s="1117"/>
      <c r="AA33" s="1117"/>
      <c r="AS33" s="1458">
        <f>SUM(AS10:AS18)</f>
        <v>-464688032.57999998</v>
      </c>
      <c r="AV33" s="1091">
        <v>0.68479999999999996</v>
      </c>
      <c r="AZ33" s="1460"/>
      <c r="BJ33" s="1428">
        <v>3</v>
      </c>
      <c r="BK33" s="888">
        <v>-24236.010000000006</v>
      </c>
      <c r="BL33" s="888">
        <v>-77124.390000000029</v>
      </c>
      <c r="BM33" s="888">
        <v>-5252.79</v>
      </c>
      <c r="BN33" s="888">
        <v>-31089.430000000008</v>
      </c>
      <c r="BO33" s="888">
        <v>-137702.62000000005</v>
      </c>
      <c r="BU33" s="1209">
        <v>44652</v>
      </c>
      <c r="BV33" s="1467">
        <v>-9850.3700000005774</v>
      </c>
      <c r="BW33" s="1468">
        <v>0</v>
      </c>
      <c r="BX33" s="1468">
        <v>0</v>
      </c>
      <c r="BY33" s="1468">
        <v>0</v>
      </c>
      <c r="BZ33" s="1468">
        <v>0</v>
      </c>
      <c r="CA33" s="1469">
        <f t="shared" si="13"/>
        <v>-9850.3700000005774</v>
      </c>
      <c r="CB33" s="1467">
        <v>9193.1700000000128</v>
      </c>
      <c r="CC33" s="1468">
        <v>0</v>
      </c>
      <c r="CD33" s="1468">
        <v>0</v>
      </c>
      <c r="CE33" s="1468">
        <v>0</v>
      </c>
      <c r="CF33" s="1468">
        <v>0</v>
      </c>
      <c r="CG33" s="1469">
        <f t="shared" si="14"/>
        <v>9193.1700000000128</v>
      </c>
    </row>
    <row r="34" spans="1:85">
      <c r="A34" s="1402" t="s">
        <v>1150</v>
      </c>
      <c r="L34" s="1472" t="s">
        <v>681</v>
      </c>
      <c r="M34" s="1472"/>
      <c r="N34" s="1472" t="s">
        <v>680</v>
      </c>
      <c r="O34" s="1473"/>
      <c r="P34" s="1474" t="s">
        <v>681</v>
      </c>
      <c r="Q34" s="1472"/>
      <c r="R34" s="1472" t="s">
        <v>680</v>
      </c>
      <c r="S34" s="1473"/>
      <c r="T34" s="1105"/>
      <c r="U34" s="1105"/>
      <c r="V34" s="1105"/>
      <c r="W34" s="1105"/>
      <c r="X34" s="1105"/>
      <c r="Y34" s="888"/>
      <c r="AA34" s="1181"/>
      <c r="AS34" s="1458">
        <f>SUM(AS10:AS19)</f>
        <v>-509687394.87</v>
      </c>
      <c r="AV34" s="1091">
        <v>0.68530000000000002</v>
      </c>
      <c r="AZ34" s="1460"/>
      <c r="BJ34" s="1428">
        <v>4</v>
      </c>
      <c r="BK34" s="888">
        <v>-17740.320000000003</v>
      </c>
      <c r="BL34" s="888">
        <v>-74958.739999999976</v>
      </c>
      <c r="BM34" s="888">
        <v>-3344.9099999999994</v>
      </c>
      <c r="BN34" s="888">
        <v>-17886.420000000006</v>
      </c>
      <c r="BO34" s="888">
        <v>-113930.38999999998</v>
      </c>
      <c r="BU34" s="1209">
        <v>44682</v>
      </c>
      <c r="BV34" s="1467">
        <v>33453.15000000014</v>
      </c>
      <c r="BW34" s="1468">
        <v>0</v>
      </c>
      <c r="BX34" s="1468">
        <v>0</v>
      </c>
      <c r="BY34" s="1468">
        <v>0</v>
      </c>
      <c r="BZ34" s="1468">
        <v>0</v>
      </c>
      <c r="CA34" s="1469">
        <f t="shared" si="13"/>
        <v>33453.15000000014</v>
      </c>
      <c r="CB34" s="1470">
        <v>-8931.6300000000047</v>
      </c>
      <c r="CC34" s="1468">
        <v>0</v>
      </c>
      <c r="CD34" s="1468">
        <v>0</v>
      </c>
      <c r="CE34" s="1468">
        <v>0</v>
      </c>
      <c r="CF34" s="1468">
        <v>0</v>
      </c>
      <c r="CG34" s="1469">
        <f t="shared" si="14"/>
        <v>-8931.6300000000047</v>
      </c>
    </row>
    <row r="35" spans="1:85">
      <c r="A35" s="1402" t="s">
        <v>1151</v>
      </c>
      <c r="K35" s="890" t="str">
        <f t="shared" ref="K35:K46" si="15">K11</f>
        <v>202207</v>
      </c>
      <c r="L35" s="1475">
        <f>SUM($M$11:M11)+SUM($V$11:V11)</f>
        <v>392654.16000000009</v>
      </c>
      <c r="M35" s="1475"/>
      <c r="N35" s="1475">
        <f>SUM($O$11:O11)+SUM($X$11:X11)</f>
        <v>91362.800000000017</v>
      </c>
      <c r="O35" s="888">
        <f t="shared" ref="O35:O46" si="16">SUBTOTAL(9,L35:N35)</f>
        <v>484016.96000000008</v>
      </c>
      <c r="P35" s="1476">
        <f>SUM($Q$11:Q11)</f>
        <v>-59928.960000000006</v>
      </c>
      <c r="Q35" s="1477"/>
      <c r="R35" s="1477">
        <f>SUM($S$11:S11)</f>
        <v>-13986.800000000001</v>
      </c>
      <c r="S35" s="888">
        <f t="shared" ref="S35:S46" si="17">SUBTOTAL(9,P35:R35)</f>
        <v>-73915.760000000009</v>
      </c>
      <c r="T35" s="1478"/>
      <c r="U35" s="1478"/>
      <c r="V35" s="1478"/>
      <c r="W35" s="1478"/>
      <c r="X35" s="1478"/>
      <c r="Y35" s="888"/>
      <c r="Z35" s="531"/>
      <c r="AA35" s="1181"/>
      <c r="AB35" s="531"/>
      <c r="AC35" s="531"/>
      <c r="AD35" s="531"/>
      <c r="AE35" s="531"/>
      <c r="AF35" s="531"/>
      <c r="AS35" s="1458">
        <f>SUM(AS10:AS20)</f>
        <v>-555138199.88999999</v>
      </c>
      <c r="AV35" s="1091">
        <v>0.69469999999999998</v>
      </c>
      <c r="AZ35" s="1460"/>
      <c r="BJ35" s="1428">
        <v>5</v>
      </c>
      <c r="BK35" s="888">
        <v>-24163.260000000006</v>
      </c>
      <c r="BL35" s="888">
        <v>-81153.579999999958</v>
      </c>
      <c r="BM35" s="888">
        <v>-5489.89</v>
      </c>
      <c r="BN35" s="888">
        <v>-23373.299999999988</v>
      </c>
      <c r="BO35" s="888">
        <v>-134180.02999999997</v>
      </c>
      <c r="BU35" s="1209">
        <v>44713</v>
      </c>
      <c r="BV35" s="1467">
        <v>-865387.9700000002</v>
      </c>
      <c r="BW35" s="1468">
        <v>0</v>
      </c>
      <c r="BX35" s="1468">
        <v>0</v>
      </c>
      <c r="BY35" s="1468">
        <v>0</v>
      </c>
      <c r="BZ35" s="1468">
        <v>0</v>
      </c>
      <c r="CA35" s="1469">
        <f t="shared" si="13"/>
        <v>-865387.9700000002</v>
      </c>
      <c r="CB35" s="1467">
        <v>-139758.15000000002</v>
      </c>
      <c r="CC35" s="1468">
        <v>0</v>
      </c>
      <c r="CD35" s="1468">
        <v>0</v>
      </c>
      <c r="CE35" s="1468">
        <v>0</v>
      </c>
      <c r="CF35" s="1468">
        <v>0</v>
      </c>
      <c r="CG35" s="1469">
        <f t="shared" si="14"/>
        <v>-139758.15000000002</v>
      </c>
    </row>
    <row r="36" spans="1:85">
      <c r="K36" s="890">
        <f t="shared" si="15"/>
        <v>202208</v>
      </c>
      <c r="L36" s="1475">
        <f>SUM($M$11:M12)+SUM($V$11:V12)</f>
        <v>993625.9300000004</v>
      </c>
      <c r="M36" s="1475"/>
      <c r="N36" s="1475">
        <f>SUM($O$11:O12)+SUM($X$11:X12)</f>
        <v>224184.21000000008</v>
      </c>
      <c r="O36" s="888">
        <f t="shared" si="16"/>
        <v>1217810.1400000006</v>
      </c>
      <c r="P36" s="1476">
        <f>SUM($Q$11:Q12)</f>
        <v>-134682.54999999999</v>
      </c>
      <c r="Q36" s="1477"/>
      <c r="R36" s="1477">
        <f>SUM($S$11:S12)</f>
        <v>-28464.970000000012</v>
      </c>
      <c r="S36" s="888">
        <f t="shared" si="17"/>
        <v>-163147.51999999999</v>
      </c>
      <c r="T36" s="1478"/>
      <c r="U36" s="1478"/>
      <c r="V36" s="1478"/>
      <c r="W36" s="1478"/>
      <c r="X36" s="1478"/>
      <c r="Y36" s="888"/>
      <c r="Z36" s="531"/>
      <c r="AA36" s="1181"/>
      <c r="AB36" s="531"/>
      <c r="AC36" s="531"/>
      <c r="AD36" s="531"/>
      <c r="AE36" s="531"/>
      <c r="AF36" s="531"/>
      <c r="AS36" s="1458">
        <f>SUM(AS10:AS21)</f>
        <v>-601472946.94999993</v>
      </c>
      <c r="AV36" s="1091">
        <v>0.70499999999999996</v>
      </c>
      <c r="AZ36" s="1460"/>
      <c r="BJ36" s="1428">
        <v>6</v>
      </c>
      <c r="BK36" s="888">
        <v>-23869.969999999994</v>
      </c>
      <c r="BL36" s="888">
        <v>-66513.369999999937</v>
      </c>
      <c r="BM36" s="888">
        <v>-5391.579999999999</v>
      </c>
      <c r="BN36" s="888">
        <v>-18232.299999999996</v>
      </c>
      <c r="BO36" s="888">
        <v>-114007.21999999994</v>
      </c>
      <c r="BU36" s="1209">
        <v>44743</v>
      </c>
      <c r="BV36" s="1467">
        <v>22301.09</v>
      </c>
      <c r="BW36" s="1468">
        <v>0</v>
      </c>
      <c r="BX36" s="1468">
        <v>0</v>
      </c>
      <c r="BY36" s="1468">
        <v>0</v>
      </c>
      <c r="BZ36" s="1468">
        <v>0</v>
      </c>
      <c r="CA36" s="1469">
        <f t="shared" si="13"/>
        <v>22301.09</v>
      </c>
      <c r="CB36" s="1467">
        <v>-14631.73</v>
      </c>
      <c r="CC36" s="1468">
        <v>0</v>
      </c>
      <c r="CD36" s="1468">
        <v>0</v>
      </c>
      <c r="CE36" s="1468">
        <v>0</v>
      </c>
      <c r="CF36" s="1468">
        <v>0</v>
      </c>
      <c r="CG36" s="1469">
        <f t="shared" si="14"/>
        <v>-14631.73</v>
      </c>
    </row>
    <row r="37" spans="1:85">
      <c r="A37" s="1402" t="s">
        <v>1152</v>
      </c>
      <c r="K37" s="890">
        <f t="shared" si="15"/>
        <v>202209</v>
      </c>
      <c r="L37" s="1475">
        <f>SUM($M$11:M13)+SUM($V$11:V13)</f>
        <v>1177949.3000000005</v>
      </c>
      <c r="M37" s="1475"/>
      <c r="N37" s="1475">
        <f>SUM($O$11:O13)+SUM($X$11:X13)</f>
        <v>277407.39</v>
      </c>
      <c r="O37" s="888">
        <f t="shared" si="16"/>
        <v>1455356.6900000004</v>
      </c>
      <c r="P37" s="1476">
        <f>SUM($Q$11:Q13)</f>
        <v>-212292.82999999996</v>
      </c>
      <c r="Q37" s="1477"/>
      <c r="R37" s="1477">
        <f>SUM($S$11:S13)</f>
        <v>-46517.35000000002</v>
      </c>
      <c r="S37" s="888">
        <f t="shared" si="17"/>
        <v>-258810.18</v>
      </c>
      <c r="T37" s="1478"/>
      <c r="U37" s="1478"/>
      <c r="V37" s="1478"/>
      <c r="W37" s="1478"/>
      <c r="X37" s="1478"/>
      <c r="Y37" s="888"/>
      <c r="AA37" s="1181"/>
      <c r="AS37" s="1091"/>
      <c r="AZ37" s="1460"/>
      <c r="BJ37" s="1426" t="s">
        <v>1153</v>
      </c>
      <c r="BK37" s="1427"/>
      <c r="BL37" s="1427"/>
      <c r="BM37" s="1427"/>
      <c r="BN37" s="1427"/>
      <c r="BO37" s="1427"/>
      <c r="BU37" s="1209">
        <v>44774</v>
      </c>
      <c r="BV37" s="1467">
        <v>37370.79</v>
      </c>
      <c r="BW37" s="1468">
        <v>0</v>
      </c>
      <c r="BX37" s="1468">
        <v>0</v>
      </c>
      <c r="BY37" s="1468">
        <v>0</v>
      </c>
      <c r="BZ37" s="1468">
        <v>0</v>
      </c>
      <c r="CA37" s="1469">
        <f t="shared" si="13"/>
        <v>37370.79</v>
      </c>
      <c r="CB37" s="1467">
        <v>-2061.2600000000002</v>
      </c>
      <c r="CC37" s="1468">
        <v>0</v>
      </c>
      <c r="CD37" s="1468">
        <v>0</v>
      </c>
      <c r="CE37" s="1468">
        <v>0</v>
      </c>
      <c r="CF37" s="1468">
        <v>0</v>
      </c>
      <c r="CG37" s="1469">
        <f t="shared" si="14"/>
        <v>-2061.2600000000002</v>
      </c>
    </row>
    <row r="38" spans="1:85">
      <c r="K38" s="890">
        <f t="shared" si="15"/>
        <v>202210</v>
      </c>
      <c r="L38" s="1475">
        <f>SUM($M$11:M14)+SUM($V$11:V14)</f>
        <v>1541467.6300000008</v>
      </c>
      <c r="M38" s="1475"/>
      <c r="N38" s="1475">
        <f>SUM($O$11:O14)+SUM($X$11:X14)</f>
        <v>358771.37</v>
      </c>
      <c r="O38" s="888">
        <f t="shared" si="16"/>
        <v>1900239.0000000009</v>
      </c>
      <c r="P38" s="1476">
        <f>SUM($Q$11:Q14)</f>
        <v>-272646.43</v>
      </c>
      <c r="Q38" s="1477"/>
      <c r="R38" s="1477">
        <f>SUM($S$11:S14)</f>
        <v>-61224.090000000026</v>
      </c>
      <c r="S38" s="888">
        <f t="shared" si="17"/>
        <v>-333870.52</v>
      </c>
      <c r="T38" s="1478"/>
      <c r="U38" s="1478"/>
      <c r="V38" s="1478"/>
      <c r="W38" s="1478"/>
      <c r="X38" s="1478"/>
      <c r="Y38" s="888"/>
      <c r="AA38" s="1181"/>
      <c r="AG38" s="531"/>
      <c r="AH38" s="531"/>
      <c r="AI38" s="531"/>
      <c r="AZ38" s="1460"/>
      <c r="BJ38" s="1428">
        <v>7</v>
      </c>
      <c r="BK38" s="888">
        <v>104031.65000000001</v>
      </c>
      <c r="BL38" s="888">
        <v>392654.16000000009</v>
      </c>
      <c r="BM38" s="888">
        <v>22389.900000000009</v>
      </c>
      <c r="BN38" s="888">
        <v>91362.800000000017</v>
      </c>
      <c r="BO38" s="888">
        <v>610438.51000000013</v>
      </c>
      <c r="BQ38" s="1459" t="s">
        <v>1154</v>
      </c>
      <c r="BU38" s="1209">
        <v>44805</v>
      </c>
      <c r="BV38" s="1467">
        <v>-349964.06</v>
      </c>
      <c r="BW38" s="1468">
        <v>0</v>
      </c>
      <c r="BX38" s="1468">
        <v>0</v>
      </c>
      <c r="BY38" s="1468">
        <v>0</v>
      </c>
      <c r="BZ38" s="1468">
        <v>0</v>
      </c>
      <c r="CA38" s="1469">
        <f t="shared" si="13"/>
        <v>-349964.06</v>
      </c>
      <c r="CB38" s="1467">
        <v>-56782.05</v>
      </c>
      <c r="CC38" s="1468">
        <v>0</v>
      </c>
      <c r="CD38" s="1468">
        <v>0</v>
      </c>
      <c r="CE38" s="1468">
        <v>0</v>
      </c>
      <c r="CF38" s="1468">
        <v>0</v>
      </c>
      <c r="CG38" s="1469">
        <f t="shared" si="14"/>
        <v>-56782.05</v>
      </c>
    </row>
    <row r="39" spans="1:85">
      <c r="K39" s="890">
        <f t="shared" si="15"/>
        <v>202211</v>
      </c>
      <c r="L39" s="1475">
        <f>SUM($M$11:M15)+SUM($V$11:V15)</f>
        <v>1985988.55</v>
      </c>
      <c r="M39" s="1475"/>
      <c r="N39" s="1475">
        <f>SUM($O$11:O15)+SUM($X$11:X15)</f>
        <v>445960.05999999994</v>
      </c>
      <c r="O39" s="888">
        <f t="shared" si="16"/>
        <v>2431948.61</v>
      </c>
      <c r="P39" s="1476">
        <f>SUM($Q$11:Q15)</f>
        <v>-358991.30999999988</v>
      </c>
      <c r="Q39" s="1477"/>
      <c r="R39" s="1477">
        <f>SUM($S$11:S15)</f>
        <v>-79075.940000000031</v>
      </c>
      <c r="S39" s="888">
        <f t="shared" si="17"/>
        <v>-438067.24999999988</v>
      </c>
      <c r="T39" s="1478"/>
      <c r="U39" s="1478"/>
      <c r="V39" s="1478"/>
      <c r="W39" s="1478"/>
      <c r="X39" s="1478"/>
      <c r="Y39" s="888"/>
      <c r="AA39" s="1181"/>
      <c r="AG39" s="531"/>
      <c r="AH39" s="531"/>
      <c r="AI39" s="531"/>
      <c r="AZ39" s="1460"/>
      <c r="BJ39" s="1428">
        <v>8</v>
      </c>
      <c r="BK39" s="888">
        <v>99719.030000000013</v>
      </c>
      <c r="BL39" s="888">
        <v>600971.77000000037</v>
      </c>
      <c r="BM39" s="888">
        <v>22924.62000000001</v>
      </c>
      <c r="BN39" s="888">
        <v>132821.41000000006</v>
      </c>
      <c r="BO39" s="888">
        <v>856436.83000000042</v>
      </c>
      <c r="BU39" s="1209">
        <v>44835</v>
      </c>
      <c r="BV39" s="1467">
        <v>-403325.31</v>
      </c>
      <c r="BW39" s="1468">
        <v>0</v>
      </c>
      <c r="BX39" s="1468">
        <v>0</v>
      </c>
      <c r="BY39" s="1468">
        <v>0</v>
      </c>
      <c r="BZ39" s="1468">
        <v>0</v>
      </c>
      <c r="CA39" s="1469">
        <f t="shared" si="13"/>
        <v>-403325.31</v>
      </c>
      <c r="CB39" s="1467">
        <v>-56880.57</v>
      </c>
      <c r="CC39" s="1468">
        <v>0</v>
      </c>
      <c r="CD39" s="1468">
        <v>0</v>
      </c>
      <c r="CE39" s="1468">
        <v>0</v>
      </c>
      <c r="CF39" s="1468">
        <v>0</v>
      </c>
      <c r="CG39" s="1469">
        <f t="shared" si="14"/>
        <v>-56880.57</v>
      </c>
    </row>
    <row r="40" spans="1:85">
      <c r="A40" s="1401" t="s">
        <v>1155</v>
      </c>
      <c r="K40" s="890">
        <f t="shared" si="15"/>
        <v>202212</v>
      </c>
      <c r="L40" s="1475">
        <f>SUM($M$11:M16)+SUM($V$11:V16)</f>
        <v>2453014.9700000002</v>
      </c>
      <c r="M40" s="1475"/>
      <c r="N40" s="1475">
        <f>SUM($O$11:O16)+SUM($X$11:X16)</f>
        <v>531831.32999999996</v>
      </c>
      <c r="O40" s="888">
        <f t="shared" si="16"/>
        <v>2984846.3000000003</v>
      </c>
      <c r="P40" s="1476">
        <f>SUM($Q$11:Q16)</f>
        <v>-1714725.1099999999</v>
      </c>
      <c r="Q40" s="1477"/>
      <c r="R40" s="1477">
        <f>SUM($S$11:S16)</f>
        <v>-273323.32999999996</v>
      </c>
      <c r="S40" s="888">
        <f t="shared" si="17"/>
        <v>-1988048.44</v>
      </c>
      <c r="T40" s="1478"/>
      <c r="U40" s="1478"/>
      <c r="V40" s="1478"/>
      <c r="W40" s="1478"/>
      <c r="X40" s="1478"/>
      <c r="Y40" s="888"/>
      <c r="AA40" s="1181"/>
      <c r="BJ40" s="1428">
        <v>9</v>
      </c>
      <c r="BK40" s="888">
        <v>34251.69999999999</v>
      </c>
      <c r="BL40" s="888">
        <v>184323.37000000005</v>
      </c>
      <c r="BM40" s="888">
        <v>7932.5599999999995</v>
      </c>
      <c r="BN40" s="888">
        <v>53223.179999999964</v>
      </c>
      <c r="BO40" s="888">
        <v>279730.81</v>
      </c>
      <c r="BU40" s="1209">
        <v>44866</v>
      </c>
      <c r="BV40" s="1467">
        <v>-749615.66</v>
      </c>
      <c r="BW40" s="1468">
        <v>0</v>
      </c>
      <c r="BX40" s="1468">
        <v>0</v>
      </c>
      <c r="BY40" s="1468">
        <v>0</v>
      </c>
      <c r="BZ40" s="1468">
        <v>0</v>
      </c>
      <c r="CA40" s="1469">
        <f t="shared" si="13"/>
        <v>-749615.66</v>
      </c>
      <c r="CB40" s="1467">
        <v>-107378.32</v>
      </c>
      <c r="CC40" s="1468">
        <v>0</v>
      </c>
      <c r="CD40" s="1468">
        <v>0</v>
      </c>
      <c r="CE40" s="1468">
        <v>0</v>
      </c>
      <c r="CF40" s="1468">
        <v>0</v>
      </c>
      <c r="CG40" s="1469">
        <f t="shared" si="14"/>
        <v>-107378.32</v>
      </c>
    </row>
    <row r="41" spans="1:85">
      <c r="A41" s="1401"/>
      <c r="B41" s="1479"/>
      <c r="C41" s="1480" t="s">
        <v>1156</v>
      </c>
      <c r="D41" s="1479"/>
      <c r="E41" s="1480"/>
      <c r="F41" s="1479"/>
      <c r="G41" s="1480" t="s">
        <v>1157</v>
      </c>
      <c r="K41" s="890">
        <f t="shared" si="15"/>
        <v>202301</v>
      </c>
      <c r="L41" s="1475">
        <f>SUM($M$11:M17)+SUM($V$11:V17)</f>
        <v>2846030.54</v>
      </c>
      <c r="M41" s="1475"/>
      <c r="N41" s="1475">
        <f>SUM($O$11:O17)+SUM($X$11:X17)</f>
        <v>617280.89</v>
      </c>
      <c r="O41" s="888">
        <f t="shared" si="16"/>
        <v>3463311.43</v>
      </c>
      <c r="P41" s="1476">
        <f>SUM($Q$11:Q17)</f>
        <v>-1806703.2599999998</v>
      </c>
      <c r="Q41" s="1477"/>
      <c r="R41" s="1477">
        <f>SUM($S$11:S17)</f>
        <v>-293130.68999999994</v>
      </c>
      <c r="S41" s="888">
        <f t="shared" si="17"/>
        <v>-2099833.9499999997</v>
      </c>
      <c r="T41" s="1478"/>
      <c r="U41" s="1478"/>
      <c r="V41" s="1478"/>
      <c r="W41" s="1478"/>
      <c r="X41" s="1478"/>
      <c r="Y41" s="888"/>
      <c r="AA41" s="1181"/>
      <c r="BJ41" s="1428">
        <v>10</v>
      </c>
      <c r="BK41" s="888">
        <v>74623.169999999969</v>
      </c>
      <c r="BL41" s="888">
        <v>363518.33000000019</v>
      </c>
      <c r="BM41" s="888">
        <v>13696.790000000005</v>
      </c>
      <c r="BN41" s="888">
        <v>81363.98000000001</v>
      </c>
      <c r="BO41" s="888">
        <v>533202.27000000014</v>
      </c>
      <c r="BU41" s="1209">
        <v>44896</v>
      </c>
      <c r="BV41" s="1467">
        <v>-1495873.75</v>
      </c>
      <c r="BW41" s="1468">
        <v>0</v>
      </c>
      <c r="BX41" s="1468">
        <v>0</v>
      </c>
      <c r="BY41" s="1468">
        <v>0</v>
      </c>
      <c r="BZ41" s="1468">
        <v>0</v>
      </c>
      <c r="CA41" s="1469">
        <f t="shared" si="13"/>
        <v>-1495873.75</v>
      </c>
      <c r="CB41" s="1467">
        <v>-221950.46</v>
      </c>
      <c r="CC41" s="1468">
        <v>0</v>
      </c>
      <c r="CD41" s="1468">
        <v>0</v>
      </c>
      <c r="CE41" s="1468">
        <v>0</v>
      </c>
      <c r="CF41" s="1468">
        <v>0</v>
      </c>
      <c r="CG41" s="1469">
        <f t="shared" si="14"/>
        <v>-221950.46</v>
      </c>
    </row>
    <row r="42" spans="1:85" ht="15.75" thickBot="1">
      <c r="B42" s="1479"/>
      <c r="C42" s="1481" t="s">
        <v>1158</v>
      </c>
      <c r="D42" s="1479"/>
      <c r="E42" s="1481" t="s">
        <v>772</v>
      </c>
      <c r="F42" s="1479"/>
      <c r="G42" s="1481" t="s">
        <v>1159</v>
      </c>
      <c r="K42" s="890">
        <f t="shared" si="15"/>
        <v>202302</v>
      </c>
      <c r="L42" s="1475">
        <f>SUM($M$11:M18)+SUM($V$11:V18)</f>
        <v>3394485.1800000006</v>
      </c>
      <c r="M42" s="1475"/>
      <c r="N42" s="1475">
        <f>SUM($O$11:O18)+SUM($X$11:X18)</f>
        <v>701769.27</v>
      </c>
      <c r="O42" s="888">
        <f t="shared" si="16"/>
        <v>4096254.4500000007</v>
      </c>
      <c r="P42" s="1476">
        <f>SUM($Q$11:Q18)</f>
        <v>-1882519.9199999997</v>
      </c>
      <c r="Q42" s="1477"/>
      <c r="R42" s="1477">
        <f>SUM($S$11:S18)</f>
        <v>-311144.97999999992</v>
      </c>
      <c r="S42" s="888">
        <f t="shared" si="17"/>
        <v>-2193664.8999999994</v>
      </c>
      <c r="T42" s="1478"/>
      <c r="U42" s="1478"/>
      <c r="V42" s="1478"/>
      <c r="W42" s="1478"/>
      <c r="X42" s="1478"/>
      <c r="Y42" s="888"/>
      <c r="AA42" s="1181"/>
      <c r="BJ42" s="1428">
        <v>11</v>
      </c>
      <c r="BK42" s="888">
        <v>83147.049999999988</v>
      </c>
      <c r="BL42" s="888">
        <v>444520.91999999917</v>
      </c>
      <c r="BM42" s="888">
        <v>11729.769999999999</v>
      </c>
      <c r="BN42" s="888">
        <v>87188.689999999959</v>
      </c>
      <c r="BO42" s="888">
        <v>626586.42999999912</v>
      </c>
      <c r="BU42" s="1430" t="s">
        <v>1160</v>
      </c>
      <c r="BV42" s="1431">
        <f t="shared" ref="BV42:CG42" si="18">SUM(BV30:BV41)</f>
        <v>-2649331.3900000006</v>
      </c>
      <c r="BW42" s="1432">
        <f t="shared" si="18"/>
        <v>0</v>
      </c>
      <c r="BX42" s="1432">
        <f t="shared" si="18"/>
        <v>0</v>
      </c>
      <c r="BY42" s="1432">
        <f t="shared" si="18"/>
        <v>0</v>
      </c>
      <c r="BZ42" s="1432">
        <f t="shared" si="18"/>
        <v>0</v>
      </c>
      <c r="CA42" s="1433">
        <f t="shared" si="18"/>
        <v>-2649331.3900000006</v>
      </c>
      <c r="CB42" s="1431">
        <f t="shared" si="18"/>
        <v>-409564.33999999997</v>
      </c>
      <c r="CC42" s="1432">
        <f t="shared" si="18"/>
        <v>0</v>
      </c>
      <c r="CD42" s="1432">
        <f t="shared" si="18"/>
        <v>0</v>
      </c>
      <c r="CE42" s="1432">
        <f t="shared" si="18"/>
        <v>0</v>
      </c>
      <c r="CF42" s="1432">
        <f t="shared" si="18"/>
        <v>0</v>
      </c>
      <c r="CG42" s="1433">
        <f t="shared" si="18"/>
        <v>-409564.33999999997</v>
      </c>
    </row>
    <row r="43" spans="1:85" ht="13.5" thickTop="1">
      <c r="A43" s="1479"/>
      <c r="B43" s="1479"/>
      <c r="C43" s="1482" t="s">
        <v>922</v>
      </c>
      <c r="D43" s="1479"/>
      <c r="E43" s="1482" t="s">
        <v>923</v>
      </c>
      <c r="F43" s="1479"/>
      <c r="G43" s="1482" t="s">
        <v>924</v>
      </c>
      <c r="K43" s="890">
        <f t="shared" si="15"/>
        <v>202303</v>
      </c>
      <c r="L43" s="1475">
        <f>SUM($M$11:M19)+SUM($V$11:V19)</f>
        <v>3743270.68</v>
      </c>
      <c r="M43" s="1475"/>
      <c r="N43" s="1475">
        <f>SUM($O$11:O19)+SUM($X$11:X19)</f>
        <v>811374.21</v>
      </c>
      <c r="O43" s="888">
        <f t="shared" si="16"/>
        <v>4554644.8900000006</v>
      </c>
      <c r="P43" s="1476">
        <f>SUM($Q$11:Q19)</f>
        <v>-1959644.3099999998</v>
      </c>
      <c r="Q43" s="1477"/>
      <c r="R43" s="1477">
        <f>SUM($S$11:S19)</f>
        <v>-342234.40999999992</v>
      </c>
      <c r="S43" s="888">
        <f t="shared" si="17"/>
        <v>-2301878.7199999997</v>
      </c>
      <c r="T43" s="1478"/>
      <c r="U43" s="1478"/>
      <c r="V43" s="1478"/>
      <c r="W43" s="1478"/>
      <c r="X43" s="1478"/>
      <c r="Y43" s="888"/>
      <c r="AA43" s="1181"/>
      <c r="BJ43" s="1428">
        <v>12</v>
      </c>
      <c r="BK43" s="888">
        <v>68550.330000000016</v>
      </c>
      <c r="BL43" s="888">
        <v>467026.42000000004</v>
      </c>
      <c r="BM43" s="888">
        <v>8999.7299999999977</v>
      </c>
      <c r="BN43" s="888">
        <v>85871.270000000062</v>
      </c>
      <c r="BO43" s="888">
        <v>630447.75</v>
      </c>
      <c r="BU43" s="1209"/>
      <c r="BV43" s="1436"/>
      <c r="BW43" s="1437"/>
      <c r="BX43" s="1437"/>
      <c r="BY43" s="1437"/>
      <c r="BZ43" s="1437"/>
      <c r="CA43" s="1438"/>
      <c r="CB43" s="1436"/>
      <c r="CC43" s="1437"/>
      <c r="CD43" s="1437"/>
      <c r="CE43" s="1437"/>
      <c r="CF43" s="1437"/>
      <c r="CG43" s="1438"/>
    </row>
    <row r="44" spans="1:85">
      <c r="B44" s="1479"/>
      <c r="D44" s="1479"/>
      <c r="E44" s="1483"/>
      <c r="F44" s="1479"/>
      <c r="K44" s="890">
        <f t="shared" si="15"/>
        <v>202304</v>
      </c>
      <c r="L44" s="1475">
        <f>SUM($M$11:M20)+SUM($V$11:V20)</f>
        <v>4316144.4400000004</v>
      </c>
      <c r="M44" s="1475"/>
      <c r="N44" s="1475">
        <f>SUM($O$11:O20)+SUM($X$11:X20)</f>
        <v>976024.3600000001</v>
      </c>
      <c r="O44" s="888">
        <f t="shared" si="16"/>
        <v>5292168.8000000007</v>
      </c>
      <c r="P44" s="1476">
        <f>SUM($Q$11:Q20)</f>
        <v>-2034603.0499999998</v>
      </c>
      <c r="Q44" s="1477"/>
      <c r="R44" s="1477">
        <f>SUM($S$11:S20)</f>
        <v>-360120.8299999999</v>
      </c>
      <c r="S44" s="888">
        <f t="shared" si="17"/>
        <v>-2394723.88</v>
      </c>
      <c r="T44" s="1478"/>
      <c r="U44" s="1478"/>
      <c r="V44" s="1478"/>
      <c r="W44" s="1478"/>
      <c r="X44" s="1478"/>
      <c r="BJ44" s="1428">
        <v>1</v>
      </c>
      <c r="BK44" s="888">
        <v>51342.759999999944</v>
      </c>
      <c r="BL44" s="888">
        <v>393015.56999999995</v>
      </c>
      <c r="BM44" s="888">
        <v>7150.9700000000039</v>
      </c>
      <c r="BN44" s="888">
        <v>85449.560000000056</v>
      </c>
      <c r="BO44" s="888">
        <v>536958.86</v>
      </c>
      <c r="BU44" s="1209">
        <v>44927</v>
      </c>
      <c r="BV44" s="1467">
        <v>0</v>
      </c>
      <c r="BW44" s="1468">
        <v>0</v>
      </c>
      <c r="BX44" s="1468">
        <v>0</v>
      </c>
      <c r="BY44" s="1468">
        <v>0</v>
      </c>
      <c r="BZ44" s="1468">
        <v>0</v>
      </c>
      <c r="CA44" s="1469">
        <f t="shared" ref="CA44:CA49" si="19">BV44+BZ44</f>
        <v>0</v>
      </c>
      <c r="CB44" s="1467">
        <v>0</v>
      </c>
      <c r="CC44" s="1468">
        <v>0</v>
      </c>
      <c r="CD44" s="1468">
        <v>0</v>
      </c>
      <c r="CE44" s="1468">
        <v>0</v>
      </c>
      <c r="CF44" s="1468">
        <v>0</v>
      </c>
      <c r="CG44" s="1469">
        <f t="shared" ref="CG44:CG49" si="20">CB44+CF44</f>
        <v>0</v>
      </c>
    </row>
    <row r="45" spans="1:85">
      <c r="A45" s="1401" t="s">
        <v>1161</v>
      </c>
      <c r="B45" s="1479"/>
      <c r="D45" s="1479"/>
      <c r="E45" s="1483"/>
      <c r="F45" s="1479"/>
      <c r="K45" s="890">
        <f t="shared" si="15"/>
        <v>202305</v>
      </c>
      <c r="L45" s="1475">
        <f>SUM($M$11:M21)+SUM($V$11:V21)</f>
        <v>4777568.9399999995</v>
      </c>
      <c r="M45" s="1475"/>
      <c r="N45" s="1475">
        <f>SUM($O$11:O21)+SUM($X$11:X21)</f>
        <v>1133726.82</v>
      </c>
      <c r="O45" s="888">
        <f t="shared" si="16"/>
        <v>5911295.7599999998</v>
      </c>
      <c r="P45" s="1476">
        <f>SUM($Q$11:Q21)</f>
        <v>-2115756.63</v>
      </c>
      <c r="Q45" s="1477"/>
      <c r="R45" s="1477">
        <f>SUM($S$11:S21)</f>
        <v>-383494.12999999989</v>
      </c>
      <c r="S45" s="888">
        <f t="shared" si="17"/>
        <v>-2499250.7599999998</v>
      </c>
      <c r="T45" s="1478"/>
      <c r="U45" s="1478"/>
      <c r="V45" s="1478"/>
      <c r="W45" s="1478"/>
      <c r="X45" s="1478"/>
      <c r="BJ45" s="1428">
        <v>2</v>
      </c>
      <c r="BK45" s="888">
        <v>47489.049999999981</v>
      </c>
      <c r="BL45" s="888">
        <v>548454.64000000071</v>
      </c>
      <c r="BM45" s="888">
        <v>10381.799999999999</v>
      </c>
      <c r="BN45" s="888">
        <v>84488.380000000063</v>
      </c>
      <c r="BO45" s="888">
        <v>690813.87000000081</v>
      </c>
      <c r="BU45" s="1209">
        <v>44958</v>
      </c>
      <c r="BV45" s="1467">
        <v>0</v>
      </c>
      <c r="BW45" s="1468">
        <v>0</v>
      </c>
      <c r="BX45" s="1468">
        <v>0</v>
      </c>
      <c r="BY45" s="1468">
        <v>0</v>
      </c>
      <c r="BZ45" s="1468">
        <v>0</v>
      </c>
      <c r="CA45" s="1469">
        <f t="shared" si="19"/>
        <v>0</v>
      </c>
      <c r="CB45" s="1467">
        <v>0</v>
      </c>
      <c r="CC45" s="1468">
        <v>0</v>
      </c>
      <c r="CD45" s="1468">
        <v>0</v>
      </c>
      <c r="CE45" s="1468">
        <v>0</v>
      </c>
      <c r="CF45" s="1468">
        <v>0</v>
      </c>
      <c r="CG45" s="1469">
        <f t="shared" si="20"/>
        <v>0</v>
      </c>
    </row>
    <row r="46" spans="1:85">
      <c r="A46" s="1402" t="s">
        <v>1162</v>
      </c>
      <c r="B46" s="1484"/>
      <c r="C46" s="1423">
        <f>-'G-2.03 Uncoll'!AS22</f>
        <v>601472946.94999993</v>
      </c>
      <c r="D46" s="1434" t="s">
        <v>1163</v>
      </c>
      <c r="E46" s="1485">
        <f>ROUND(C46/C48,4)</f>
        <v>0.70499999999999996</v>
      </c>
      <c r="F46" s="1479"/>
      <c r="G46" s="1423">
        <f>ROUND(G48*E46,0)</f>
        <v>2978288</v>
      </c>
      <c r="K46" s="890">
        <f t="shared" si="15"/>
        <v>202306</v>
      </c>
      <c r="L46" s="1475">
        <f>SUM($M$11:M22)+SUM($V$11:V22)</f>
        <v>5467510.2999999989</v>
      </c>
      <c r="M46" s="1475"/>
      <c r="N46" s="1475">
        <f>SUM($O$11:O22)+SUM($X$11:X22)</f>
        <v>1341007.74</v>
      </c>
      <c r="O46" s="888">
        <f t="shared" si="16"/>
        <v>6808518.0399999991</v>
      </c>
      <c r="P46" s="1476">
        <f>SUM($Q$11:Q22)</f>
        <v>-2182270</v>
      </c>
      <c r="Q46" s="1475"/>
      <c r="R46" s="1477">
        <f>SUM($S$11:S22)</f>
        <v>-401726.42999999988</v>
      </c>
      <c r="S46" s="888">
        <f t="shared" si="17"/>
        <v>-2583996.4299999997</v>
      </c>
      <c r="T46" s="1478"/>
      <c r="U46" s="1478"/>
      <c r="V46" s="1478"/>
      <c r="W46" s="1478"/>
      <c r="X46" s="1478"/>
      <c r="BJ46" s="1428">
        <v>3</v>
      </c>
      <c r="BK46" s="888">
        <v>62051.390000000072</v>
      </c>
      <c r="BL46" s="888">
        <v>348785.49999999953</v>
      </c>
      <c r="BM46" s="888">
        <v>17425.949999999993</v>
      </c>
      <c r="BN46" s="888">
        <v>109604.93999999994</v>
      </c>
      <c r="BO46" s="888">
        <v>537867.77999999956</v>
      </c>
      <c r="BU46" s="1209">
        <v>44986</v>
      </c>
      <c r="BV46" s="1467">
        <v>492784.2</v>
      </c>
      <c r="BW46" s="1468">
        <v>0</v>
      </c>
      <c r="BX46" s="1470">
        <v>0</v>
      </c>
      <c r="BY46" s="1468">
        <v>0</v>
      </c>
      <c r="BZ46" s="1468">
        <v>0</v>
      </c>
      <c r="CA46" s="1469">
        <f t="shared" si="19"/>
        <v>492784.2</v>
      </c>
      <c r="CB46" s="1467">
        <v>109522.25</v>
      </c>
      <c r="CC46" s="1468">
        <v>0</v>
      </c>
      <c r="CD46" s="1468">
        <v>0</v>
      </c>
      <c r="CE46" s="1468">
        <v>0</v>
      </c>
      <c r="CF46" s="1468">
        <v>0</v>
      </c>
      <c r="CG46" s="1469">
        <f t="shared" si="20"/>
        <v>109522.25</v>
      </c>
    </row>
    <row r="47" spans="1:85">
      <c r="A47" s="1402" t="s">
        <v>1164</v>
      </c>
      <c r="B47" s="1484"/>
      <c r="C47" s="1486">
        <v>251720333.60999998</v>
      </c>
      <c r="D47" s="1434" t="s">
        <v>1163</v>
      </c>
      <c r="E47" s="1487">
        <f>1-E46</f>
        <v>0.29500000000000004</v>
      </c>
      <c r="F47" s="1479"/>
      <c r="G47" s="1486">
        <f>G48-G46</f>
        <v>1246234</v>
      </c>
      <c r="BJ47" s="1428">
        <v>4</v>
      </c>
      <c r="BK47" s="888">
        <v>79638.139999999985</v>
      </c>
      <c r="BL47" s="888">
        <v>572873.76000000024</v>
      </c>
      <c r="BM47" s="888">
        <v>21055.34</v>
      </c>
      <c r="BN47" s="888">
        <v>164650.15000000008</v>
      </c>
      <c r="BO47" s="888">
        <v>838217.39000000036</v>
      </c>
      <c r="BU47" s="1209">
        <v>45017</v>
      </c>
      <c r="BV47" s="1467">
        <v>-2157.17</v>
      </c>
      <c r="BW47" s="1468">
        <v>0</v>
      </c>
      <c r="BX47" s="1468">
        <v>0</v>
      </c>
      <c r="BY47" s="1468">
        <v>0</v>
      </c>
      <c r="BZ47" s="1468">
        <v>0</v>
      </c>
      <c r="CA47" s="1469">
        <f t="shared" si="19"/>
        <v>-2157.17</v>
      </c>
      <c r="CB47" s="1467">
        <v>23576.02</v>
      </c>
      <c r="CC47" s="1468">
        <v>0</v>
      </c>
      <c r="CD47" s="1468">
        <v>0</v>
      </c>
      <c r="CE47" s="1468">
        <v>0</v>
      </c>
      <c r="CF47" s="1468">
        <v>0</v>
      </c>
      <c r="CG47" s="1469">
        <f t="shared" si="20"/>
        <v>23576.02</v>
      </c>
    </row>
    <row r="48" spans="1:85">
      <c r="A48" s="1402" t="s">
        <v>24</v>
      </c>
      <c r="B48" s="1479"/>
      <c r="C48" s="1488">
        <f>C46+C47</f>
        <v>853193280.55999994</v>
      </c>
      <c r="D48" s="1479"/>
      <c r="E48" s="1485">
        <f>E46+E47</f>
        <v>1</v>
      </c>
      <c r="F48" s="1479"/>
      <c r="G48" s="1488">
        <f>ROUND(C67,0)</f>
        <v>4224522</v>
      </c>
      <c r="BJ48" s="1428">
        <v>5</v>
      </c>
      <c r="BK48" s="888">
        <v>82650.419999999984</v>
      </c>
      <c r="BL48" s="888">
        <v>461424.49999999948</v>
      </c>
      <c r="BM48" s="888">
        <v>26935.069999999985</v>
      </c>
      <c r="BN48" s="888">
        <v>157702.45999999988</v>
      </c>
      <c r="BO48" s="888">
        <v>728712.44999999925</v>
      </c>
      <c r="BU48" s="1209">
        <v>45047</v>
      </c>
      <c r="BV48" s="1467">
        <v>68615.92</v>
      </c>
      <c r="BW48" s="1468">
        <v>0</v>
      </c>
      <c r="BX48" s="1468">
        <v>0</v>
      </c>
      <c r="BY48" s="1468">
        <v>0</v>
      </c>
      <c r="BZ48" s="1468">
        <v>0</v>
      </c>
      <c r="CA48" s="1469">
        <f t="shared" si="19"/>
        <v>68615.92</v>
      </c>
      <c r="CB48" s="1470">
        <v>5650.46</v>
      </c>
      <c r="CC48" s="1468">
        <v>0</v>
      </c>
      <c r="CD48" s="1468">
        <v>0</v>
      </c>
      <c r="CE48" s="1468">
        <v>0</v>
      </c>
      <c r="CF48" s="1468">
        <v>0</v>
      </c>
      <c r="CG48" s="1469">
        <f t="shared" si="20"/>
        <v>5650.46</v>
      </c>
    </row>
    <row r="49" spans="1:85">
      <c r="B49" s="1479"/>
      <c r="C49" s="1423"/>
      <c r="D49" s="1479"/>
      <c r="E49" s="1485"/>
      <c r="F49" s="1479"/>
      <c r="G49" s="1423"/>
      <c r="BJ49" s="1428">
        <v>6</v>
      </c>
      <c r="BK49" s="888">
        <v>89523.840000000011</v>
      </c>
      <c r="BL49" s="888">
        <v>689941.35999999952</v>
      </c>
      <c r="BM49" s="888">
        <v>32976.800000000017</v>
      </c>
      <c r="BN49" s="888">
        <v>207280.91999999984</v>
      </c>
      <c r="BO49" s="888">
        <v>1019722.9199999993</v>
      </c>
      <c r="BU49" s="1209">
        <v>45078</v>
      </c>
      <c r="BV49" s="1467">
        <v>44428.52</v>
      </c>
      <c r="BW49" s="1468">
        <v>0</v>
      </c>
      <c r="BX49" s="1468">
        <v>0</v>
      </c>
      <c r="BY49" s="1468">
        <v>0</v>
      </c>
      <c r="BZ49" s="1468">
        <v>0</v>
      </c>
      <c r="CA49" s="1469">
        <f t="shared" si="19"/>
        <v>44428.52</v>
      </c>
      <c r="CB49" s="1467">
        <v>17225.599999999999</v>
      </c>
      <c r="CC49" s="1468">
        <v>0</v>
      </c>
      <c r="CD49" s="1468">
        <v>0</v>
      </c>
      <c r="CE49" s="1468">
        <v>0</v>
      </c>
      <c r="CF49" s="1468">
        <v>0</v>
      </c>
      <c r="CG49" s="1469">
        <f t="shared" si="20"/>
        <v>17225.599999999999</v>
      </c>
    </row>
    <row r="50" spans="1:85" ht="15.75" thickBot="1">
      <c r="B50" s="1479"/>
      <c r="C50" s="1423"/>
      <c r="D50" s="1479"/>
      <c r="E50" s="1485"/>
      <c r="F50" s="1479"/>
      <c r="G50" s="1423"/>
      <c r="BJ50" s="1489" t="s">
        <v>978</v>
      </c>
      <c r="BK50" s="1490">
        <f>SUBTOTAL(9,BK12:BK49)</f>
        <v>-191741.89000000025</v>
      </c>
      <c r="BL50" s="1490">
        <f>SUBTOTAL(9,BL12:BL49)</f>
        <v>919567.65999999922</v>
      </c>
      <c r="BM50" s="1490">
        <f>SUBTOTAL(9,BM12:BM49)</f>
        <v>24388.910000000011</v>
      </c>
      <c r="BN50" s="1490">
        <f>SUBTOTAL(9,BN12:BN49)</f>
        <v>449511.61</v>
      </c>
      <c r="BO50" s="1490">
        <f>SUBTOTAL(9,BO12:BO49)</f>
        <v>1201726.2899999991</v>
      </c>
      <c r="BU50" s="1430" t="s">
        <v>1165</v>
      </c>
      <c r="BV50" s="1431">
        <f t="shared" ref="BV50:CG50" si="21">SUM(BV44:BV49)</f>
        <v>603671.47000000009</v>
      </c>
      <c r="BW50" s="1432">
        <f t="shared" si="21"/>
        <v>0</v>
      </c>
      <c r="BX50" s="1432">
        <f t="shared" si="21"/>
        <v>0</v>
      </c>
      <c r="BY50" s="1432">
        <f t="shared" si="21"/>
        <v>0</v>
      </c>
      <c r="BZ50" s="1432">
        <f t="shared" si="21"/>
        <v>0</v>
      </c>
      <c r="CA50" s="1433">
        <f t="shared" si="21"/>
        <v>603671.47000000009</v>
      </c>
      <c r="CB50" s="1431">
        <f t="shared" si="21"/>
        <v>155974.32999999999</v>
      </c>
      <c r="CC50" s="1432">
        <f t="shared" si="21"/>
        <v>0</v>
      </c>
      <c r="CD50" s="1432">
        <f t="shared" si="21"/>
        <v>0</v>
      </c>
      <c r="CE50" s="1432">
        <f t="shared" si="21"/>
        <v>0</v>
      </c>
      <c r="CF50" s="1432">
        <f t="shared" si="21"/>
        <v>0</v>
      </c>
      <c r="CG50" s="1433">
        <f t="shared" si="21"/>
        <v>155974.32999999999</v>
      </c>
    </row>
    <row r="51" spans="1:85" ht="13.5" thickTop="1">
      <c r="B51" s="1479"/>
      <c r="C51" s="1423"/>
      <c r="D51" s="1479"/>
      <c r="E51" s="1485"/>
      <c r="F51" s="1479"/>
      <c r="G51" s="1423"/>
      <c r="BU51" s="1209"/>
      <c r="BV51" s="1436"/>
      <c r="BW51" s="1437"/>
      <c r="BX51" s="1437"/>
      <c r="BY51" s="1437"/>
      <c r="BZ51" s="1437"/>
      <c r="CA51" s="1438"/>
      <c r="CB51" s="1436"/>
      <c r="CC51" s="1437"/>
      <c r="CD51" s="1437"/>
      <c r="CE51" s="1437"/>
      <c r="CF51" s="1437"/>
      <c r="CG51" s="1438"/>
    </row>
    <row r="52" spans="1:85" ht="15.75" thickBot="1">
      <c r="A52" s="1401" t="s">
        <v>1166</v>
      </c>
      <c r="B52" s="1479"/>
      <c r="C52" s="1423"/>
      <c r="D52" s="1479"/>
      <c r="E52" s="1485"/>
      <c r="F52" s="1479"/>
      <c r="G52" s="1423"/>
      <c r="BU52" s="1230" t="s">
        <v>978</v>
      </c>
      <c r="BV52" s="1491">
        <f t="shared" ref="BV52:CG52" si="22">BV12+BV28+BV42+BV50</f>
        <v>1223445.255397663</v>
      </c>
      <c r="BW52" s="1492">
        <f t="shared" si="22"/>
        <v>5206446.18</v>
      </c>
      <c r="BX52" s="1492">
        <f t="shared" si="22"/>
        <v>131628.55870129232</v>
      </c>
      <c r="BY52" s="1492">
        <f t="shared" si="22"/>
        <v>156969.17804883517</v>
      </c>
      <c r="BZ52" s="1493">
        <f t="shared" si="22"/>
        <v>5495043.9167501274</v>
      </c>
      <c r="CA52" s="1494">
        <f t="shared" si="22"/>
        <v>6718489.172147789</v>
      </c>
      <c r="CB52" s="1491">
        <f t="shared" si="22"/>
        <v>695878.3984726225</v>
      </c>
      <c r="CC52" s="1492">
        <f t="shared" si="22"/>
        <v>1149893.82</v>
      </c>
      <c r="CD52" s="1492">
        <f t="shared" si="22"/>
        <v>29071.441298707672</v>
      </c>
      <c r="CE52" s="1492">
        <f t="shared" si="22"/>
        <v>34668.145098480243</v>
      </c>
      <c r="CF52" s="1493">
        <f t="shared" si="22"/>
        <v>1213633.4063971878</v>
      </c>
      <c r="CG52" s="1494">
        <f t="shared" si="22"/>
        <v>1909511.8048698111</v>
      </c>
    </row>
    <row r="53" spans="1:85">
      <c r="A53" s="1402" t="s">
        <v>1162</v>
      </c>
      <c r="B53" s="1484"/>
      <c r="C53" s="1423">
        <f>-'G-2.03 Uncoll'!BE22</f>
        <v>282503665.85000002</v>
      </c>
      <c r="D53" s="1434" t="s">
        <v>1163</v>
      </c>
      <c r="E53" s="1485">
        <f>ROUND(C53/C55,4)</f>
        <v>0.72640000000000005</v>
      </c>
      <c r="F53" s="1479"/>
      <c r="G53" s="1423">
        <f>ROUND(G55*E53,0)</f>
        <v>534622</v>
      </c>
      <c r="BU53" s="477"/>
      <c r="BV53" s="477"/>
      <c r="BW53" s="477"/>
      <c r="BX53" s="477"/>
      <c r="BY53" s="477"/>
      <c r="BZ53" s="477"/>
      <c r="CA53" s="477"/>
      <c r="CB53" s="477"/>
      <c r="CC53" s="477"/>
      <c r="CD53" s="477"/>
      <c r="CE53" s="477"/>
      <c r="CF53" s="477"/>
      <c r="CG53" s="477"/>
    </row>
    <row r="54" spans="1:85" ht="15.75" thickBot="1">
      <c r="A54" s="1402" t="s">
        <v>1164</v>
      </c>
      <c r="B54" s="1484"/>
      <c r="C54" s="1486">
        <v>106386482.02</v>
      </c>
      <c r="D54" s="1434" t="s">
        <v>1163</v>
      </c>
      <c r="E54" s="1487">
        <f>1-E53</f>
        <v>0.27359999999999995</v>
      </c>
      <c r="F54" s="1479"/>
      <c r="G54" s="1486">
        <f>G55-G53</f>
        <v>201366</v>
      </c>
      <c r="BU54" s="1495" t="s">
        <v>1167</v>
      </c>
      <c r="BV54" s="1496">
        <v>4864714.43</v>
      </c>
      <c r="BW54" s="1496">
        <v>0</v>
      </c>
      <c r="BX54" s="1496">
        <v>0</v>
      </c>
      <c r="BY54" s="1496">
        <v>0</v>
      </c>
      <c r="BZ54" s="1496">
        <v>0</v>
      </c>
      <c r="CA54" s="1496">
        <v>4864714.4299999988</v>
      </c>
      <c r="CB54" s="1496">
        <v>1311657.7799999998</v>
      </c>
      <c r="CC54" s="1496">
        <v>0</v>
      </c>
      <c r="CD54" s="1496">
        <v>0</v>
      </c>
      <c r="CE54" s="1496">
        <v>0</v>
      </c>
      <c r="CF54" s="1496">
        <v>0</v>
      </c>
      <c r="CG54" s="1496">
        <v>1311657.7799999998</v>
      </c>
    </row>
    <row r="55" spans="1:85" ht="15.75" thickTop="1">
      <c r="A55" s="1402" t="s">
        <v>24</v>
      </c>
      <c r="B55" s="1479"/>
      <c r="C55" s="1488">
        <f>C53+C54</f>
        <v>388890147.87</v>
      </c>
      <c r="D55" s="1479"/>
      <c r="E55" s="1485">
        <f>E53+E54</f>
        <v>1</v>
      </c>
      <c r="F55" s="1479"/>
      <c r="G55" s="1488">
        <f>C71</f>
        <v>735988</v>
      </c>
      <c r="BJ55" s="1418" t="str">
        <f>BJ8</f>
        <v>TWELVE MONTHS ENDED JUNE 30, 2023</v>
      </c>
      <c r="BK55" s="1418"/>
      <c r="BU55" s="1230"/>
      <c r="BV55" s="477"/>
      <c r="BW55" s="477"/>
      <c r="BX55" s="477"/>
      <c r="BY55" s="477"/>
      <c r="BZ55" s="477"/>
      <c r="CA55" s="477"/>
      <c r="CB55" s="477"/>
      <c r="CC55" s="477"/>
      <c r="CD55" s="477"/>
      <c r="CE55" s="477"/>
      <c r="CF55" s="477"/>
      <c r="CG55" s="477"/>
    </row>
    <row r="56" spans="1:85" ht="15.75" thickBot="1">
      <c r="B56" s="1479"/>
      <c r="C56" s="1423"/>
      <c r="D56" s="1479"/>
      <c r="F56" s="1479"/>
      <c r="G56" s="1423"/>
      <c r="BJ56" s="1418"/>
      <c r="BK56" s="1418" t="s">
        <v>682</v>
      </c>
      <c r="BU56" s="1497" t="s">
        <v>1168</v>
      </c>
      <c r="BV56" s="1498">
        <v>-1595609.25460233</v>
      </c>
      <c r="BW56" s="1498">
        <v>5206446.18</v>
      </c>
      <c r="BX56" s="1498">
        <v>131628.55870129232</v>
      </c>
      <c r="BY56" s="1498">
        <v>156969.17804883517</v>
      </c>
      <c r="BZ56" s="1498">
        <v>5495043.9167501274</v>
      </c>
      <c r="CA56" s="1498">
        <v>3899434.662147793</v>
      </c>
      <c r="CB56" s="1498">
        <v>-362189.37152737728</v>
      </c>
      <c r="CC56" s="1498">
        <v>1149893.82</v>
      </c>
      <c r="CD56" s="1498">
        <v>29071.441298707672</v>
      </c>
      <c r="CE56" s="1498">
        <v>34668.145098480243</v>
      </c>
      <c r="CF56" s="1498">
        <v>1213633.4063971878</v>
      </c>
      <c r="CG56" s="1498">
        <v>851444.03486981068</v>
      </c>
    </row>
    <row r="57" spans="1:85" ht="14.25" thickTop="1" thickBot="1">
      <c r="A57" s="1401" t="s">
        <v>1169</v>
      </c>
      <c r="B57" s="1479"/>
      <c r="C57" s="1499">
        <f>C55+C48</f>
        <v>1242083428.4299998</v>
      </c>
      <c r="D57" s="1479"/>
      <c r="F57" s="1479"/>
      <c r="G57" s="1499">
        <f>G55+G48</f>
        <v>4960510</v>
      </c>
      <c r="BJ57" s="1421" t="s">
        <v>1170</v>
      </c>
      <c r="BK57" s="1421" t="s">
        <v>678</v>
      </c>
      <c r="BU57" s="477"/>
      <c r="BV57" s="929">
        <v>0</v>
      </c>
      <c r="BW57" s="929">
        <v>0</v>
      </c>
      <c r="BX57" s="929">
        <v>0</v>
      </c>
      <c r="BY57" s="929">
        <v>0</v>
      </c>
      <c r="BZ57" s="929">
        <v>0</v>
      </c>
      <c r="CA57" s="929">
        <v>0</v>
      </c>
      <c r="CB57" s="929">
        <v>0</v>
      </c>
      <c r="CC57" s="929">
        <v>0</v>
      </c>
      <c r="CD57" s="929">
        <v>0</v>
      </c>
      <c r="CE57" s="929">
        <v>0</v>
      </c>
      <c r="CF57" s="929">
        <v>0</v>
      </c>
      <c r="CG57" s="929">
        <v>0</v>
      </c>
    </row>
    <row r="58" spans="1:85" ht="13.5" thickTop="1">
      <c r="C58" s="1423"/>
      <c r="Y58" s="531"/>
      <c r="Z58" s="531"/>
      <c r="AA58" s="531"/>
      <c r="AB58" s="531"/>
      <c r="AC58" s="531"/>
      <c r="AD58" s="531"/>
      <c r="AE58" s="531"/>
      <c r="AF58" s="531"/>
      <c r="BJ58" s="1426" t="s">
        <v>1128</v>
      </c>
      <c r="BK58" s="1427"/>
      <c r="BQ58" s="1459" t="s">
        <v>1171</v>
      </c>
    </row>
    <row r="59" spans="1:85">
      <c r="A59" s="1402" t="s">
        <v>1172</v>
      </c>
      <c r="Y59" s="531"/>
      <c r="Z59" s="531"/>
      <c r="AA59" s="531"/>
      <c r="AB59" s="531"/>
      <c r="AC59" s="531"/>
      <c r="AD59" s="531"/>
      <c r="AE59" s="531"/>
      <c r="AF59" s="531"/>
      <c r="BJ59" s="1428">
        <v>7</v>
      </c>
      <c r="BK59" s="888">
        <v>613130.38000000024</v>
      </c>
      <c r="BX59" s="1500" t="s">
        <v>1173</v>
      </c>
      <c r="BY59" s="634" t="s">
        <v>1174</v>
      </c>
      <c r="BZ59" s="634" t="s">
        <v>1175</v>
      </c>
      <c r="CA59" s="634" t="s">
        <v>1176</v>
      </c>
    </row>
    <row r="60" spans="1:85">
      <c r="BJ60" s="1428">
        <v>8</v>
      </c>
      <c r="BK60" s="888">
        <v>400295.71000000025</v>
      </c>
      <c r="BX60" s="1500" t="s">
        <v>1177</v>
      </c>
      <c r="BY60" s="515">
        <f>SUM(BV44:BV49,BV36:BV41)</f>
        <v>-2335435.4299999997</v>
      </c>
      <c r="BZ60" s="515">
        <f>SUM(CB44:CB49,CB36:CB41)</f>
        <v>-303710.06000000006</v>
      </c>
      <c r="CA60" s="515">
        <f>SUM(CC38:CC43,CC46:CC49)</f>
        <v>0</v>
      </c>
    </row>
    <row r="61" spans="1:85">
      <c r="A61" s="1402" t="s">
        <v>1178</v>
      </c>
      <c r="K61" s="531"/>
      <c r="L61" s="531"/>
      <c r="M61" s="531"/>
      <c r="N61" s="531"/>
      <c r="O61" s="531"/>
      <c r="P61" s="531"/>
      <c r="Q61" s="531"/>
      <c r="R61" s="531"/>
      <c r="S61" s="531"/>
      <c r="T61" s="531"/>
      <c r="U61" s="531"/>
      <c r="V61" s="531"/>
      <c r="W61" s="531"/>
      <c r="X61" s="531"/>
      <c r="AG61" s="531"/>
      <c r="AH61" s="531"/>
      <c r="AI61" s="531"/>
      <c r="BJ61" s="1428">
        <v>9</v>
      </c>
      <c r="BK61" s="888">
        <v>333690.08999999962</v>
      </c>
      <c r="BX61" s="1500" t="s">
        <v>1179</v>
      </c>
      <c r="BY61" s="929">
        <f>SUM(BW44:BW49,BW36:BW41)</f>
        <v>0</v>
      </c>
      <c r="BZ61" s="929">
        <f>SUM(CC44:CC49,CC36:CC41)</f>
        <v>0</v>
      </c>
      <c r="CA61" s="477"/>
    </row>
    <row r="62" spans="1:85">
      <c r="K62" s="531"/>
      <c r="L62" s="531"/>
      <c r="M62" s="531"/>
      <c r="N62" s="531"/>
      <c r="O62" s="531"/>
      <c r="P62" s="531"/>
      <c r="Q62" s="531"/>
      <c r="R62" s="531"/>
      <c r="S62" s="531"/>
      <c r="T62" s="531"/>
      <c r="U62" s="531"/>
      <c r="V62" s="531"/>
      <c r="W62" s="531"/>
      <c r="X62" s="531"/>
      <c r="AG62" s="531"/>
      <c r="AH62" s="531"/>
      <c r="AI62" s="531"/>
      <c r="BJ62" s="1428">
        <v>10</v>
      </c>
      <c r="BK62" s="888">
        <v>341404.77999999974</v>
      </c>
      <c r="BX62" s="1500" t="s">
        <v>1180</v>
      </c>
      <c r="BY62" s="515">
        <f>SUM(BX44:BY49,BX36:BY41)</f>
        <v>0</v>
      </c>
      <c r="BZ62" s="515">
        <f>SUM(CD44:CE49,CD36:CE41)</f>
        <v>0</v>
      </c>
      <c r="CA62" s="477" t="s">
        <v>1181</v>
      </c>
    </row>
    <row r="63" spans="1:85">
      <c r="B63" s="1419" t="s">
        <v>1182</v>
      </c>
      <c r="C63" s="1501" t="s">
        <v>1183</v>
      </c>
      <c r="BJ63" s="1428">
        <v>11</v>
      </c>
      <c r="BK63" s="888">
        <v>211048.30999999971</v>
      </c>
      <c r="BX63" s="477"/>
      <c r="BY63" s="1142">
        <f>SUM(BY60:BY62)</f>
        <v>-2335435.4299999997</v>
      </c>
      <c r="BZ63" s="1142">
        <f>SUM(BZ60:BZ62)</f>
        <v>-303710.06000000006</v>
      </c>
      <c r="CA63" s="1336" t="s">
        <v>485</v>
      </c>
    </row>
    <row r="64" spans="1:85">
      <c r="A64" s="1502" t="s">
        <v>80</v>
      </c>
      <c r="BJ64" s="1428">
        <v>12</v>
      </c>
      <c r="BK64" s="888">
        <v>231156.85000000027</v>
      </c>
    </row>
    <row r="65" spans="1:69">
      <c r="A65" s="1402" t="s">
        <v>1184</v>
      </c>
      <c r="B65" s="1503"/>
      <c r="C65" s="1504">
        <f>ROUND('G-2.03 Uncoll'!L30,0)</f>
        <v>6808518</v>
      </c>
      <c r="D65" s="1434" t="s">
        <v>1133</v>
      </c>
      <c r="E65" s="1505"/>
      <c r="F65" s="477"/>
      <c r="G65" s="477"/>
      <c r="BJ65" s="1428">
        <v>1</v>
      </c>
      <c r="BK65" s="888">
        <v>265993.34000000003</v>
      </c>
    </row>
    <row r="66" spans="1:69">
      <c r="A66" s="1402" t="s">
        <v>1185</v>
      </c>
      <c r="B66" s="1503"/>
      <c r="C66" s="1504">
        <f>'G-2.03 Uncoll'!P30</f>
        <v>-2583996.4299999997</v>
      </c>
      <c r="D66" s="1434" t="s">
        <v>1133</v>
      </c>
      <c r="E66" s="477"/>
      <c r="F66" s="477"/>
      <c r="G66" s="477"/>
      <c r="BJ66" s="1428">
        <v>2</v>
      </c>
      <c r="BK66" s="888">
        <v>208995.60999999964</v>
      </c>
    </row>
    <row r="67" spans="1:69">
      <c r="B67" s="1503"/>
      <c r="C67" s="1506">
        <f>SUM(C65:C66)</f>
        <v>4224521.57</v>
      </c>
      <c r="D67" s="1435"/>
      <c r="E67" s="477"/>
      <c r="F67" s="477"/>
      <c r="G67" s="477"/>
      <c r="BJ67" s="1428">
        <v>3</v>
      </c>
      <c r="BK67" s="888">
        <v>228521.90000000002</v>
      </c>
    </row>
    <row r="68" spans="1:69">
      <c r="A68" s="1502" t="s">
        <v>81</v>
      </c>
      <c r="B68" s="1503"/>
      <c r="C68" s="1507"/>
      <c r="D68" s="1435"/>
      <c r="E68" s="477"/>
      <c r="F68" s="477"/>
      <c r="G68" s="477"/>
      <c r="BJ68" s="1428">
        <v>4</v>
      </c>
      <c r="BK68" s="888">
        <v>422975.90999999951</v>
      </c>
    </row>
    <row r="69" spans="1:69">
      <c r="A69" s="1402" t="s">
        <v>1186</v>
      </c>
      <c r="B69" s="1503"/>
      <c r="C69" s="1504">
        <f>ROUND('G-2.03 Uncoll'!L29,0)</f>
        <v>1080618</v>
      </c>
      <c r="D69" s="1434" t="s">
        <v>1133</v>
      </c>
      <c r="E69" s="477"/>
      <c r="F69" s="477"/>
      <c r="G69" s="477"/>
      <c r="BJ69" s="1428">
        <v>5</v>
      </c>
      <c r="BK69" s="888">
        <v>419135.15999999974</v>
      </c>
    </row>
    <row r="70" spans="1:69">
      <c r="A70" s="1402" t="s">
        <v>1187</v>
      </c>
      <c r="B70" s="1503"/>
      <c r="C70" s="1504">
        <f>ROUND('G-2.03 Uncoll'!P29,0)</f>
        <v>-344630</v>
      </c>
      <c r="D70" s="1434" t="s">
        <v>1133</v>
      </c>
      <c r="E70" s="477"/>
      <c r="F70" s="477"/>
      <c r="G70" s="477"/>
      <c r="BJ70" s="1428">
        <v>6</v>
      </c>
      <c r="BK70" s="888">
        <v>537113.00000000023</v>
      </c>
    </row>
    <row r="71" spans="1:69">
      <c r="C71" s="1506">
        <f>SUM(C69:C70)</f>
        <v>735988</v>
      </c>
      <c r="E71" s="477"/>
      <c r="F71" s="477"/>
      <c r="G71" s="477"/>
      <c r="BJ71" s="1426" t="s">
        <v>1153</v>
      </c>
      <c r="BK71" s="1427"/>
      <c r="BQ71" s="1459" t="s">
        <v>1188</v>
      </c>
    </row>
    <row r="72" spans="1:69">
      <c r="C72" s="1507"/>
      <c r="E72" s="477"/>
      <c r="F72" s="477"/>
      <c r="G72" s="477"/>
      <c r="BJ72" s="1428">
        <v>7</v>
      </c>
      <c r="BK72" s="888">
        <v>0</v>
      </c>
    </row>
    <row r="73" spans="1:69">
      <c r="C73" s="1507">
        <f>C67+C71</f>
        <v>4960509.57</v>
      </c>
      <c r="E73" s="1508">
        <f>ROUND(G57-C73,0)</f>
        <v>0</v>
      </c>
      <c r="F73" s="1509" t="s">
        <v>1189</v>
      </c>
      <c r="BJ73" s="1428">
        <v>8</v>
      </c>
      <c r="BK73" s="888">
        <v>0</v>
      </c>
    </row>
    <row r="74" spans="1:69">
      <c r="BJ74" s="1428">
        <v>9</v>
      </c>
      <c r="BK74" s="888">
        <v>0</v>
      </c>
    </row>
    <row r="75" spans="1:69">
      <c r="A75" s="1510"/>
      <c r="BJ75" s="1428">
        <v>10</v>
      </c>
      <c r="BK75" s="888">
        <v>0</v>
      </c>
    </row>
    <row r="76" spans="1:69">
      <c r="BJ76" s="1428">
        <v>11</v>
      </c>
      <c r="BK76" s="888">
        <v>0</v>
      </c>
    </row>
    <row r="77" spans="1:69">
      <c r="BJ77" s="1428">
        <v>12</v>
      </c>
      <c r="BK77" s="888">
        <v>0</v>
      </c>
    </row>
    <row r="78" spans="1:69">
      <c r="BJ78" s="1428">
        <v>1</v>
      </c>
      <c r="BK78" s="888">
        <v>0</v>
      </c>
    </row>
    <row r="79" spans="1:69">
      <c r="Y79" s="531"/>
      <c r="Z79" s="531"/>
      <c r="AA79" s="531"/>
      <c r="AB79" s="531"/>
      <c r="AC79" s="531"/>
      <c r="AD79" s="531"/>
      <c r="AE79" s="531"/>
      <c r="AF79" s="531"/>
      <c r="BJ79" s="1428">
        <v>2</v>
      </c>
      <c r="BK79" s="888">
        <v>0</v>
      </c>
    </row>
    <row r="80" spans="1:69">
      <c r="BJ80" s="1428">
        <v>3</v>
      </c>
      <c r="BK80" s="888">
        <v>0</v>
      </c>
    </row>
    <row r="81" spans="11:63">
      <c r="BJ81" s="1428">
        <v>4</v>
      </c>
      <c r="BK81" s="888">
        <v>0</v>
      </c>
    </row>
    <row r="82" spans="11:63">
      <c r="K82" s="531"/>
      <c r="L82" s="531"/>
      <c r="M82" s="531"/>
      <c r="N82" s="531"/>
      <c r="O82" s="531"/>
      <c r="P82" s="531"/>
      <c r="Q82" s="531"/>
      <c r="R82" s="531"/>
      <c r="S82" s="531"/>
      <c r="T82" s="531"/>
      <c r="U82" s="531"/>
      <c r="V82" s="531"/>
      <c r="W82" s="531"/>
      <c r="X82" s="531"/>
      <c r="AG82" s="531"/>
      <c r="AH82" s="531"/>
      <c r="AI82" s="531"/>
      <c r="BJ82" s="1428">
        <v>5</v>
      </c>
      <c r="BK82" s="888">
        <v>0</v>
      </c>
    </row>
    <row r="83" spans="11:63">
      <c r="BJ83" s="1428">
        <v>6</v>
      </c>
      <c r="BK83" s="888">
        <v>0</v>
      </c>
    </row>
    <row r="84" spans="11:63">
      <c r="BJ84" s="1489" t="s">
        <v>978</v>
      </c>
      <c r="BK84" s="1511">
        <f>SUM(BK59:BK83)</f>
        <v>4213461.0399999991</v>
      </c>
    </row>
    <row r="85" spans="11:63">
      <c r="BJ85" s="1512"/>
      <c r="BK85" s="1513"/>
    </row>
    <row r="86" spans="11:63">
      <c r="BI86" s="1408" t="s">
        <v>1190</v>
      </c>
      <c r="BK86" s="1514"/>
    </row>
    <row r="87" spans="11:63">
      <c r="BK87" s="1514"/>
    </row>
    <row r="88" spans="11:63">
      <c r="BK88" s="1514"/>
    </row>
    <row r="89" spans="11:63">
      <c r="BK89" s="1514"/>
    </row>
    <row r="106" spans="11:35">
      <c r="Y106" s="531"/>
      <c r="Z106" s="531"/>
      <c r="AA106" s="531"/>
      <c r="AB106" s="531"/>
      <c r="AC106" s="531"/>
      <c r="AD106" s="531"/>
      <c r="AE106" s="531"/>
      <c r="AF106" s="531"/>
    </row>
    <row r="107" spans="11:35">
      <c r="Y107" s="531"/>
      <c r="Z107" s="531"/>
      <c r="AA107" s="531"/>
      <c r="AB107" s="531"/>
      <c r="AC107" s="531"/>
      <c r="AD107" s="531"/>
      <c r="AE107" s="531"/>
      <c r="AF107" s="531"/>
    </row>
    <row r="109" spans="11:35">
      <c r="K109" s="531"/>
      <c r="L109" s="531"/>
      <c r="M109" s="531"/>
      <c r="N109" s="531"/>
      <c r="O109" s="531"/>
      <c r="P109" s="531"/>
      <c r="Q109" s="531"/>
      <c r="R109" s="531"/>
      <c r="S109" s="531"/>
      <c r="T109" s="531"/>
      <c r="U109" s="531"/>
      <c r="V109" s="531"/>
      <c r="W109" s="531"/>
      <c r="X109" s="531"/>
      <c r="AG109" s="531"/>
      <c r="AH109" s="531"/>
      <c r="AI109" s="531"/>
    </row>
    <row r="110" spans="11:35">
      <c r="K110" s="531"/>
      <c r="L110" s="531"/>
      <c r="M110" s="531"/>
      <c r="N110" s="531"/>
      <c r="O110" s="531"/>
      <c r="P110" s="531"/>
      <c r="Q110" s="531"/>
      <c r="R110" s="531"/>
      <c r="S110" s="531"/>
      <c r="T110" s="531"/>
      <c r="U110" s="531"/>
      <c r="V110" s="531"/>
      <c r="W110" s="531"/>
      <c r="X110" s="531"/>
      <c r="AG110" s="531"/>
      <c r="AH110" s="531"/>
      <c r="AI110" s="531"/>
    </row>
    <row r="128" spans="25:32">
      <c r="Y128" s="531"/>
      <c r="Z128" s="531"/>
      <c r="AA128" s="531"/>
      <c r="AB128" s="531"/>
      <c r="AC128" s="531"/>
      <c r="AD128" s="531"/>
      <c r="AE128" s="531"/>
      <c r="AF128" s="531"/>
    </row>
    <row r="129" spans="11:35">
      <c r="Y129" s="531"/>
      <c r="Z129" s="531"/>
      <c r="AA129" s="531"/>
      <c r="AB129" s="531"/>
      <c r="AC129" s="531"/>
      <c r="AD129" s="531"/>
      <c r="AE129" s="531"/>
      <c r="AF129" s="531"/>
    </row>
    <row r="131" spans="11:35">
      <c r="K131" s="531"/>
      <c r="L131" s="531"/>
      <c r="M131" s="531"/>
      <c r="N131" s="531"/>
      <c r="O131" s="531"/>
      <c r="P131" s="531"/>
      <c r="Q131" s="531"/>
      <c r="R131" s="531"/>
      <c r="S131" s="531"/>
      <c r="T131" s="531"/>
      <c r="U131" s="531"/>
      <c r="V131" s="531"/>
      <c r="W131" s="531"/>
      <c r="X131" s="531"/>
      <c r="AG131" s="531"/>
      <c r="AH131" s="531"/>
      <c r="AI131" s="531"/>
    </row>
    <row r="132" spans="11:35">
      <c r="K132" s="531"/>
      <c r="L132" s="531"/>
      <c r="M132" s="531"/>
      <c r="N132" s="531"/>
      <c r="O132" s="531"/>
      <c r="P132" s="531"/>
      <c r="Q132" s="531"/>
      <c r="R132" s="531"/>
      <c r="S132" s="531"/>
      <c r="T132" s="531"/>
      <c r="U132" s="531"/>
      <c r="V132" s="531"/>
      <c r="W132" s="531"/>
      <c r="X132" s="531"/>
      <c r="AG132" s="531"/>
      <c r="AH132" s="531"/>
      <c r="AI132" s="531"/>
    </row>
    <row r="151" spans="11:35">
      <c r="Y151" s="531"/>
      <c r="Z151" s="531"/>
      <c r="AA151" s="531"/>
      <c r="AB151" s="531"/>
      <c r="AC151" s="531"/>
      <c r="AD151" s="531"/>
      <c r="AE151" s="531"/>
      <c r="AF151" s="531"/>
    </row>
    <row r="153" spans="11:35">
      <c r="K153" s="531"/>
    </row>
    <row r="154" spans="11:35">
      <c r="L154" s="531"/>
      <c r="M154" s="531"/>
      <c r="N154" s="531"/>
      <c r="O154" s="531"/>
      <c r="P154" s="531"/>
      <c r="Q154" s="531"/>
      <c r="R154" s="531"/>
      <c r="S154" s="531"/>
      <c r="T154" s="531"/>
      <c r="U154" s="531"/>
      <c r="V154" s="531"/>
      <c r="W154" s="531"/>
      <c r="X154" s="531"/>
      <c r="AG154" s="531"/>
      <c r="AH154" s="531"/>
      <c r="AI154" s="531"/>
    </row>
  </sheetData>
  <mergeCells count="12">
    <mergeCell ref="L33:N33"/>
    <mergeCell ref="P33:R33"/>
    <mergeCell ref="T33:X33"/>
    <mergeCell ref="BU2:CG2"/>
    <mergeCell ref="BV3:CA3"/>
    <mergeCell ref="CB3:CG3"/>
    <mergeCell ref="L6:S6"/>
    <mergeCell ref="AB6:AF6"/>
    <mergeCell ref="L7:O7"/>
    <mergeCell ref="P7:S7"/>
    <mergeCell ref="T7:Y7"/>
    <mergeCell ref="AB7:AF7"/>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FD37-E140-42B7-965B-7A325139624C}">
  <dimension ref="A1:BA55"/>
  <sheetViews>
    <sheetView workbookViewId="0"/>
  </sheetViews>
  <sheetFormatPr defaultRowHeight="12.75"/>
  <cols>
    <col min="1" max="1" width="33.140625" style="1515" customWidth="1"/>
    <col min="2" max="3" width="13.140625" style="1515" customWidth="1"/>
    <col min="4" max="4" width="11.85546875" style="1515" customWidth="1"/>
    <col min="6" max="6" width="1.5703125" style="1008" customWidth="1"/>
    <col min="8" max="8" width="5.140625" style="1525" customWidth="1"/>
    <col min="9" max="9" width="9.85546875" style="1525" customWidth="1"/>
    <col min="10" max="10" width="10.85546875" style="1525" customWidth="1"/>
    <col min="11" max="11" width="13.140625" style="1525" customWidth="1"/>
    <col min="12" max="12" width="14.140625" style="1525" customWidth="1"/>
    <col min="13" max="14" width="13.140625" style="1525" customWidth="1"/>
    <col min="16" max="16" width="1.5703125" style="1008" customWidth="1"/>
    <col min="18" max="28" width="8.85546875" style="477"/>
    <col min="29" max="29" width="11.7109375" style="477" customWidth="1"/>
    <col min="30" max="30" width="13.140625" style="477" customWidth="1"/>
    <col min="31" max="31" width="11.28515625" style="477" bestFit="1" customWidth="1"/>
    <col min="32" max="32" width="8.85546875" style="477"/>
    <col min="33" max="33" width="10.28515625" style="477" bestFit="1" customWidth="1"/>
    <col min="34" max="34" width="8.85546875" style="477"/>
    <col min="35" max="35" width="11.28515625" style="477" bestFit="1" customWidth="1"/>
    <col min="36" max="36" width="8.85546875" style="477"/>
    <col min="37" max="37" width="1.7109375" style="1008" customWidth="1"/>
    <col min="38" max="38" width="8.85546875" style="477"/>
    <col min="39" max="39" width="13.42578125" style="511" bestFit="1" customWidth="1"/>
    <col min="40" max="40" width="10.140625" style="511" bestFit="1" customWidth="1"/>
    <col min="41" max="41" width="19.42578125" style="511" bestFit="1" customWidth="1"/>
    <col min="42" max="44" width="12.28515625" style="511" bestFit="1" customWidth="1"/>
    <col min="45" max="50" width="13.5703125" style="511" bestFit="1" customWidth="1"/>
    <col min="51" max="52" width="12.28515625" style="511" bestFit="1" customWidth="1"/>
    <col min="53" max="53" width="17" style="511" customWidth="1"/>
  </cols>
  <sheetData>
    <row r="1" spans="1:53" ht="15.75">
      <c r="A1" s="1524" t="s">
        <v>1204</v>
      </c>
      <c r="B1" s="1523"/>
      <c r="C1" s="1523"/>
      <c r="D1" s="1523"/>
      <c r="H1" s="1546" t="s">
        <v>1204</v>
      </c>
      <c r="I1" s="1544"/>
      <c r="J1" s="1544"/>
      <c r="K1" s="1544"/>
      <c r="L1" s="1544"/>
      <c r="M1" s="1544"/>
      <c r="N1" s="1544"/>
      <c r="R1" s="1547" t="s">
        <v>1232</v>
      </c>
      <c r="S1" s="1548" t="s">
        <v>1233</v>
      </c>
      <c r="T1" s="1548" t="s">
        <v>1234</v>
      </c>
      <c r="U1" s="1548" t="s">
        <v>1235</v>
      </c>
      <c r="AM1" s="1582" t="s">
        <v>1232</v>
      </c>
      <c r="AN1" s="1582" t="s">
        <v>1236</v>
      </c>
      <c r="AO1" s="1582" t="s">
        <v>1237</v>
      </c>
      <c r="AP1" s="1582" t="s">
        <v>865</v>
      </c>
    </row>
    <row r="2" spans="1:53" ht="15.75">
      <c r="A2" s="1524" t="s">
        <v>1203</v>
      </c>
      <c r="B2" s="1523"/>
      <c r="C2" s="1523"/>
      <c r="D2" s="1523"/>
      <c r="H2" s="1546" t="s">
        <v>1231</v>
      </c>
      <c r="I2" s="1544"/>
      <c r="J2" s="1544"/>
      <c r="K2" s="1544"/>
      <c r="L2" s="1544"/>
      <c r="M2" s="1544"/>
      <c r="N2" s="1544"/>
      <c r="AV2" s="1583">
        <v>-1</v>
      </c>
    </row>
    <row r="3" spans="1:53" ht="15.75">
      <c r="A3" s="1524" t="s">
        <v>1060</v>
      </c>
      <c r="B3" s="1523"/>
      <c r="C3" s="1523"/>
      <c r="D3" s="1523"/>
      <c r="H3" s="1546" t="s">
        <v>1060</v>
      </c>
      <c r="I3" s="1544"/>
      <c r="J3" s="1544"/>
      <c r="K3" s="1544"/>
      <c r="L3" s="1544"/>
      <c r="M3" s="1544"/>
      <c r="N3" s="1544"/>
      <c r="R3" s="1549"/>
      <c r="S3" s="1550"/>
      <c r="T3" s="1551"/>
      <c r="U3" s="1552"/>
      <c r="V3" s="1553"/>
      <c r="W3" s="1553"/>
      <c r="X3" s="1553"/>
      <c r="Y3" s="1553"/>
      <c r="Z3" s="1553"/>
      <c r="AA3" s="1553"/>
      <c r="AB3" s="1553"/>
      <c r="AC3" s="1553"/>
      <c r="AD3" s="1553"/>
      <c r="AE3" s="1553"/>
      <c r="AF3" s="1553"/>
      <c r="AG3" s="1554"/>
      <c r="AM3" s="1584"/>
      <c r="AN3" s="1585"/>
      <c r="AO3" s="1586"/>
      <c r="AP3" s="1587"/>
      <c r="AQ3" s="1587"/>
      <c r="AR3" s="1587"/>
      <c r="AS3" s="1587"/>
      <c r="AT3" s="1587"/>
      <c r="AU3" s="1587"/>
      <c r="AV3" s="1587"/>
      <c r="AW3" s="1587"/>
      <c r="AX3" s="1587"/>
      <c r="AY3" s="1587"/>
      <c r="AZ3" s="1587"/>
      <c r="BA3" s="1588"/>
    </row>
    <row r="4" spans="1:53" ht="15.75">
      <c r="H4" s="1545"/>
      <c r="I4" s="1544"/>
      <c r="J4" s="1544"/>
      <c r="K4" s="1544"/>
      <c r="L4" s="1544"/>
      <c r="M4" s="1544"/>
      <c r="N4" s="1544"/>
      <c r="R4" s="1556"/>
      <c r="S4" s="1557"/>
      <c r="T4" s="1558"/>
      <c r="U4" s="1559">
        <v>0</v>
      </c>
      <c r="V4" s="1559">
        <f>U4+1</f>
        <v>1</v>
      </c>
      <c r="W4" s="1559">
        <f>V4+1</f>
        <v>2</v>
      </c>
      <c r="X4" s="1559">
        <f>W4+1</f>
        <v>3</v>
      </c>
      <c r="Y4" s="1559">
        <f>X4+1</f>
        <v>4</v>
      </c>
      <c r="Z4" s="1559">
        <f>Y4+1</f>
        <v>5</v>
      </c>
      <c r="AA4" s="1559">
        <v>202301</v>
      </c>
      <c r="AB4" s="1559">
        <f>AA4+1</f>
        <v>202302</v>
      </c>
      <c r="AC4" s="1559">
        <f>AB4+1</f>
        <v>202303</v>
      </c>
      <c r="AD4" s="1559">
        <f>AC4+1</f>
        <v>202304</v>
      </c>
      <c r="AE4" s="1559">
        <f>AD4+1</f>
        <v>202305</v>
      </c>
      <c r="AF4" s="1559">
        <f>AE4+1</f>
        <v>202306</v>
      </c>
      <c r="AG4" s="1560" t="s">
        <v>1238</v>
      </c>
      <c r="AM4" s="1589"/>
      <c r="AN4" s="1590"/>
      <c r="AO4" s="1591">
        <v>202207</v>
      </c>
      <c r="AP4" s="1591">
        <f>AO4+1</f>
        <v>202208</v>
      </c>
      <c r="AQ4" s="1591">
        <f>AP4+1</f>
        <v>202209</v>
      </c>
      <c r="AR4" s="1591">
        <f>AQ4+1</f>
        <v>202210</v>
      </c>
      <c r="AS4" s="1591">
        <f>AR4+1</f>
        <v>202211</v>
      </c>
      <c r="AT4" s="1591">
        <f>AS4+1</f>
        <v>202212</v>
      </c>
      <c r="AU4" s="1591">
        <v>202301</v>
      </c>
      <c r="AV4" s="1591">
        <f>AU4+1</f>
        <v>202302</v>
      </c>
      <c r="AW4" s="1591">
        <f>AV4+1</f>
        <v>202303</v>
      </c>
      <c r="AX4" s="1591">
        <f>AW4+1</f>
        <v>202304</v>
      </c>
      <c r="AY4" s="1591">
        <f>AX4+1</f>
        <v>202305</v>
      </c>
      <c r="AZ4" s="1591">
        <f>AY4+1</f>
        <v>202306</v>
      </c>
      <c r="BA4" s="1592" t="s">
        <v>1238</v>
      </c>
    </row>
    <row r="5" spans="1:53" ht="14.25">
      <c r="M5" s="1543" t="s">
        <v>1230</v>
      </c>
      <c r="N5" s="1543" t="s">
        <v>1229</v>
      </c>
      <c r="R5" s="1562" t="s">
        <v>681</v>
      </c>
      <c r="S5" s="1548" t="s">
        <v>1239</v>
      </c>
      <c r="T5" s="1563" t="s">
        <v>763</v>
      </c>
      <c r="U5" s="1564">
        <v>95276.46</v>
      </c>
      <c r="V5" s="1564">
        <v>95276.46</v>
      </c>
      <c r="W5" s="1564">
        <v>95276.45</v>
      </c>
      <c r="X5" s="1564">
        <v>95276.46</v>
      </c>
      <c r="Y5" s="1564">
        <v>95276.45</v>
      </c>
      <c r="Z5" s="1564">
        <v>95276.45</v>
      </c>
      <c r="AA5" s="1564">
        <v>198091.67</v>
      </c>
      <c r="AB5" s="1564">
        <v>198091.67</v>
      </c>
      <c r="AC5" s="1564">
        <v>198091.67</v>
      </c>
      <c r="AD5" s="1564">
        <v>198075.42</v>
      </c>
      <c r="AE5" s="1564">
        <v>198075.42</v>
      </c>
      <c r="AF5" s="1564">
        <v>198075.42</v>
      </c>
      <c r="AG5" s="1564">
        <f t="shared" ref="AG5:AG10" si="0">SUM(U5:AF5)</f>
        <v>1760159.9999999998</v>
      </c>
      <c r="AM5" s="1591" t="s">
        <v>683</v>
      </c>
      <c r="AN5" s="1593" t="s">
        <v>1041</v>
      </c>
      <c r="AO5" s="1583">
        <v>1677673.2999999998</v>
      </c>
      <c r="AP5" s="1583">
        <v>1419655.71</v>
      </c>
      <c r="AQ5" s="1583">
        <v>1577274.98</v>
      </c>
      <c r="AR5" s="1583">
        <v>2195889.66</v>
      </c>
      <c r="AS5" s="1583">
        <v>6676175.129999999</v>
      </c>
      <c r="AT5" s="1583">
        <v>11824263.41</v>
      </c>
      <c r="AU5" s="1583">
        <v>11957155.77</v>
      </c>
      <c r="AV5" s="1583">
        <v>9896180.7299999967</v>
      </c>
      <c r="AW5" s="1583">
        <v>10489168.610000001</v>
      </c>
      <c r="AX5" s="1583">
        <v>6839565.5500000017</v>
      </c>
      <c r="AY5" s="1583">
        <v>3881309.75</v>
      </c>
      <c r="AZ5" s="1583">
        <v>2027409.5200000003</v>
      </c>
      <c r="BA5" s="1565">
        <f t="shared" ref="BA5:BA13" si="1">SUM(AO5:AZ5)</f>
        <v>70461722.11999999</v>
      </c>
    </row>
    <row r="6" spans="1:53" ht="14.25">
      <c r="A6" s="1522"/>
      <c r="B6" s="1521" t="s">
        <v>79</v>
      </c>
      <c r="C6" s="1521" t="s">
        <v>80</v>
      </c>
      <c r="D6" s="1521" t="s">
        <v>81</v>
      </c>
      <c r="L6" s="1542" t="s">
        <v>24</v>
      </c>
      <c r="M6" s="1542" t="s">
        <v>80</v>
      </c>
      <c r="N6" s="1542" t="s">
        <v>81</v>
      </c>
      <c r="R6" s="1566"/>
      <c r="S6" s="1548" t="s">
        <v>1240</v>
      </c>
      <c r="T6" s="1563" t="s">
        <v>683</v>
      </c>
      <c r="U6" s="1564">
        <v>43878.11</v>
      </c>
      <c r="V6" s="1564">
        <v>43878.11</v>
      </c>
      <c r="W6" s="1564">
        <v>43878.1</v>
      </c>
      <c r="X6" s="1564">
        <v>43878.11</v>
      </c>
      <c r="Y6" s="1564">
        <v>43878.11</v>
      </c>
      <c r="Z6" s="1564">
        <v>43878.1</v>
      </c>
      <c r="AA6" s="1564">
        <v>53025</v>
      </c>
      <c r="AB6" s="1564">
        <v>53025</v>
      </c>
      <c r="AC6" s="1564">
        <v>53025</v>
      </c>
      <c r="AD6" s="1564">
        <v>53025</v>
      </c>
      <c r="AE6" s="1564">
        <v>45741.37</v>
      </c>
      <c r="AF6" s="1564">
        <v>45741.37</v>
      </c>
      <c r="AG6" s="1564">
        <f t="shared" si="0"/>
        <v>566851.38</v>
      </c>
      <c r="AM6" s="1594"/>
      <c r="AN6" s="1593" t="s">
        <v>1038</v>
      </c>
      <c r="AO6" s="1583">
        <v>828274.74</v>
      </c>
      <c r="AP6" s="1583">
        <v>895432.59</v>
      </c>
      <c r="AQ6" s="1583">
        <v>815476.93999999983</v>
      </c>
      <c r="AR6" s="1583">
        <v>1055340.8800000001</v>
      </c>
      <c r="AS6" s="1583">
        <v>2868698.06</v>
      </c>
      <c r="AT6" s="1583">
        <v>5659144.6400000006</v>
      </c>
      <c r="AU6" s="1583">
        <v>5737561.8899999987</v>
      </c>
      <c r="AV6" s="1583">
        <v>4026142.2199999997</v>
      </c>
      <c r="AW6" s="1583">
        <v>5221921.4000000013</v>
      </c>
      <c r="AX6" s="1583">
        <v>3081652.7600000002</v>
      </c>
      <c r="AY6" s="1583">
        <v>2047685.8599999999</v>
      </c>
      <c r="AZ6" s="1583">
        <v>1219119.22</v>
      </c>
      <c r="BA6" s="1565">
        <f t="shared" si="1"/>
        <v>33456451.200000003</v>
      </c>
    </row>
    <row r="7" spans="1:53" ht="14.25">
      <c r="H7" s="1535" t="s">
        <v>1228</v>
      </c>
      <c r="K7" s="1541"/>
      <c r="L7" s="1538"/>
      <c r="M7" s="1538"/>
      <c r="N7" s="1538"/>
      <c r="R7" s="1567"/>
      <c r="S7" s="1548" t="s">
        <v>1241</v>
      </c>
      <c r="T7" s="1563" t="s">
        <v>677</v>
      </c>
      <c r="U7" s="1564">
        <v>3120892.48</v>
      </c>
      <c r="V7" s="1564">
        <v>-2386995.7399999998</v>
      </c>
      <c r="W7" s="1564">
        <v>366948.4</v>
      </c>
      <c r="X7" s="1564">
        <v>270776.67000000004</v>
      </c>
      <c r="Y7" s="1564">
        <v>270776.67000000004</v>
      </c>
      <c r="Z7" s="1564">
        <v>270776.67000000004</v>
      </c>
      <c r="AA7" s="1564">
        <v>270776.67000000004</v>
      </c>
      <c r="AB7" s="1564">
        <v>270776.67000000004</v>
      </c>
      <c r="AC7" s="1564">
        <v>270776.67000000004</v>
      </c>
      <c r="AD7" s="1564">
        <v>270776.67000000004</v>
      </c>
      <c r="AE7" s="1564">
        <v>270776.67000000004</v>
      </c>
      <c r="AF7" s="1564">
        <v>322056.67000000004</v>
      </c>
      <c r="AG7" s="1568">
        <f t="shared" si="0"/>
        <v>3589115.1699999995</v>
      </c>
      <c r="AM7" s="1594"/>
      <c r="AN7" s="1593" t="s">
        <v>1033</v>
      </c>
      <c r="AO7" s="1583">
        <v>72191.23</v>
      </c>
      <c r="AP7" s="1583">
        <v>96771.87999999999</v>
      </c>
      <c r="AQ7" s="1583">
        <v>87112.189999999988</v>
      </c>
      <c r="AR7" s="1583">
        <v>96601.22</v>
      </c>
      <c r="AS7" s="1583">
        <v>140474.30000000002</v>
      </c>
      <c r="AT7" s="1583">
        <v>260612.48000000001</v>
      </c>
      <c r="AU7" s="1583">
        <v>239736.12999999998</v>
      </c>
      <c r="AV7" s="1583">
        <v>201533.77</v>
      </c>
      <c r="AW7" s="1583">
        <v>225528.53000000003</v>
      </c>
      <c r="AX7" s="1583">
        <v>142223.84000000003</v>
      </c>
      <c r="AY7" s="1583">
        <v>103327.55</v>
      </c>
      <c r="AZ7" s="1583">
        <v>61799.810000000005</v>
      </c>
      <c r="BA7" s="1565">
        <f t="shared" si="1"/>
        <v>1727912.9300000002</v>
      </c>
    </row>
    <row r="8" spans="1:53" ht="14.25">
      <c r="A8" s="1515" t="s">
        <v>1202</v>
      </c>
      <c r="L8" s="1538"/>
      <c r="M8" s="1538"/>
      <c r="N8" s="1538"/>
      <c r="R8" s="1562" t="s">
        <v>680</v>
      </c>
      <c r="S8" s="1548" t="s">
        <v>1242</v>
      </c>
      <c r="T8" s="1563" t="s">
        <v>763</v>
      </c>
      <c r="U8" s="1564">
        <v>27512.52</v>
      </c>
      <c r="V8" s="1564">
        <v>27512.52</v>
      </c>
      <c r="W8" s="1564">
        <v>27512.52</v>
      </c>
      <c r="X8" s="1564">
        <v>27512.52</v>
      </c>
      <c r="Y8" s="1564">
        <v>27512.52</v>
      </c>
      <c r="Z8" s="1564">
        <v>27562.53</v>
      </c>
      <c r="AA8" s="1564">
        <v>73966.67</v>
      </c>
      <c r="AB8" s="1564">
        <v>73966.67</v>
      </c>
      <c r="AC8" s="1564">
        <v>73966.67</v>
      </c>
      <c r="AD8" s="1564">
        <v>73950.789999999994</v>
      </c>
      <c r="AE8" s="1564">
        <v>73950.789999999994</v>
      </c>
      <c r="AF8" s="1564">
        <v>73950.789999999994</v>
      </c>
      <c r="AG8" s="1564">
        <f t="shared" si="0"/>
        <v>608877.51</v>
      </c>
      <c r="AM8" s="1594"/>
      <c r="AN8" s="1593" t="s">
        <v>1031</v>
      </c>
      <c r="AO8" s="1583">
        <v>1023.3900000000001</v>
      </c>
      <c r="AP8" s="1583">
        <v>764.64999999999986</v>
      </c>
      <c r="AQ8" s="1583">
        <v>980.08999999999992</v>
      </c>
      <c r="AR8" s="1583">
        <v>1423.6299999999999</v>
      </c>
      <c r="AS8" s="1583">
        <v>3998.2999999999997</v>
      </c>
      <c r="AT8" s="1583">
        <v>7882.64</v>
      </c>
      <c r="AU8" s="1583">
        <v>8499.4</v>
      </c>
      <c r="AV8" s="1583">
        <v>6257</v>
      </c>
      <c r="AW8" s="1583">
        <v>7211.86</v>
      </c>
      <c r="AX8" s="1583">
        <v>4518.5599999999995</v>
      </c>
      <c r="AY8" s="1583">
        <v>2259.21</v>
      </c>
      <c r="AZ8" s="1583">
        <v>1120.99</v>
      </c>
      <c r="BA8" s="1565">
        <f t="shared" si="1"/>
        <v>45939.719999999994</v>
      </c>
    </row>
    <row r="9" spans="1:53" ht="14.25">
      <c r="A9" s="1515" t="s">
        <v>1201</v>
      </c>
      <c r="B9" s="1518">
        <f>C9</f>
        <v>1006744</v>
      </c>
      <c r="C9" s="1518">
        <f>'G-2.04 Reg Exp'!M28</f>
        <v>1006744</v>
      </c>
      <c r="D9" s="1518"/>
      <c r="H9" s="1525" t="s">
        <v>1227</v>
      </c>
      <c r="L9" s="1538"/>
      <c r="M9" s="1538"/>
      <c r="N9" s="1538"/>
      <c r="R9" s="1566"/>
      <c r="S9" s="1548" t="s">
        <v>1243</v>
      </c>
      <c r="T9" s="1563" t="s">
        <v>683</v>
      </c>
      <c r="U9" s="1564">
        <v>10460.33</v>
      </c>
      <c r="V9" s="1564">
        <v>10460.33</v>
      </c>
      <c r="W9" s="1564">
        <v>10460.32</v>
      </c>
      <c r="X9" s="1564">
        <v>10460.33</v>
      </c>
      <c r="Y9" s="1564">
        <v>10460.33</v>
      </c>
      <c r="Z9" s="1564">
        <v>10460.32</v>
      </c>
      <c r="AA9" s="1564">
        <v>16491.669999999998</v>
      </c>
      <c r="AB9" s="1564">
        <v>16491.669999999998</v>
      </c>
      <c r="AC9" s="1564">
        <v>16491.669999999998</v>
      </c>
      <c r="AD9" s="1564">
        <v>16491.669999999998</v>
      </c>
      <c r="AE9" s="1564">
        <v>14238.2</v>
      </c>
      <c r="AF9" s="1564">
        <v>14238.2</v>
      </c>
      <c r="AG9" s="1564">
        <f t="shared" si="0"/>
        <v>157205.04</v>
      </c>
      <c r="AM9" s="1594"/>
      <c r="AN9" s="1593" t="s">
        <v>1276</v>
      </c>
      <c r="AO9" s="1583">
        <v>248</v>
      </c>
      <c r="AP9" s="1583">
        <v>268</v>
      </c>
      <c r="AQ9" s="1583">
        <v>292</v>
      </c>
      <c r="AR9" s="1583">
        <v>720</v>
      </c>
      <c r="AS9" s="1583">
        <v>428</v>
      </c>
      <c r="AT9" s="1583">
        <v>232</v>
      </c>
      <c r="AU9" s="1583">
        <v>408</v>
      </c>
      <c r="AV9" s="1583">
        <v>236</v>
      </c>
      <c r="AW9" s="1583">
        <v>564</v>
      </c>
      <c r="AX9" s="1583">
        <v>648</v>
      </c>
      <c r="AY9" s="1583">
        <v>648</v>
      </c>
      <c r="AZ9" s="1583">
        <v>396</v>
      </c>
      <c r="BA9" s="1565">
        <f t="shared" si="1"/>
        <v>5088</v>
      </c>
    </row>
    <row r="10" spans="1:53" ht="14.25">
      <c r="A10" s="1515" t="s">
        <v>1200</v>
      </c>
      <c r="B10" s="1518">
        <f>D10</f>
        <v>207782.73624905999</v>
      </c>
      <c r="C10" s="1518"/>
      <c r="D10" s="1518">
        <f>'G-2.04 Reg Exp'!N28</f>
        <v>207782.73624905999</v>
      </c>
      <c r="I10" s="1525" t="s">
        <v>1226</v>
      </c>
      <c r="L10" s="1518">
        <f>M10+N10</f>
        <v>231115080.48999995</v>
      </c>
      <c r="M10" s="1518">
        <f>'G-2.04 Reg Exp'!BA30</f>
        <v>160653358.36999997</v>
      </c>
      <c r="N10" s="1518">
        <f>'G-2.04 Reg Exp'!BA5</f>
        <v>70461722.11999999</v>
      </c>
      <c r="R10" s="1567"/>
      <c r="S10" s="1548" t="s">
        <v>1244</v>
      </c>
      <c r="T10" s="1563" t="s">
        <v>676</v>
      </c>
      <c r="U10" s="1564">
        <v>67282.67</v>
      </c>
      <c r="V10" s="1564">
        <v>67282.66</v>
      </c>
      <c r="W10" s="1564">
        <v>67282.66</v>
      </c>
      <c r="X10" s="1564">
        <v>67282.66</v>
      </c>
      <c r="Y10" s="1564">
        <v>67282.66</v>
      </c>
      <c r="Z10" s="1564">
        <v>67282.66</v>
      </c>
      <c r="AA10" s="1564">
        <v>83816</v>
      </c>
      <c r="AB10" s="1564">
        <v>83816</v>
      </c>
      <c r="AC10" s="1564">
        <v>80256.91</v>
      </c>
      <c r="AD10" s="1564">
        <v>80256.91</v>
      </c>
      <c r="AE10" s="1564">
        <v>80256.91</v>
      </c>
      <c r="AF10" s="1564">
        <v>80256.91</v>
      </c>
      <c r="AG10" s="1564">
        <f t="shared" si="0"/>
        <v>892355.61000000022</v>
      </c>
      <c r="AM10" s="1594"/>
      <c r="AN10" s="1593" t="s">
        <v>1028</v>
      </c>
      <c r="AO10" s="1583">
        <v>48238.55</v>
      </c>
      <c r="AP10" s="1583">
        <v>38601.530000000006</v>
      </c>
      <c r="AQ10" s="1583">
        <v>34615.19</v>
      </c>
      <c r="AR10" s="1583">
        <v>45374.03</v>
      </c>
      <c r="AS10" s="1583">
        <v>41800.370000000003</v>
      </c>
      <c r="AT10" s="1583">
        <v>50517.760000000002</v>
      </c>
      <c r="AU10" s="1583">
        <v>46365.96</v>
      </c>
      <c r="AV10" s="1583">
        <v>48548.439999999995</v>
      </c>
      <c r="AW10" s="1583">
        <v>40621.24</v>
      </c>
      <c r="AX10" s="1583">
        <v>43718.27</v>
      </c>
      <c r="AY10" s="1583">
        <v>53247.700000000004</v>
      </c>
      <c r="AZ10" s="1583">
        <v>75309.010000000009</v>
      </c>
      <c r="BA10" s="1565">
        <f t="shared" si="1"/>
        <v>566958.05000000005</v>
      </c>
    </row>
    <row r="11" spans="1:53" ht="14.25">
      <c r="A11" s="1515" t="s">
        <v>1199</v>
      </c>
      <c r="B11" s="1519">
        <f>SUM(B9:B10)</f>
        <v>1214526.7362490599</v>
      </c>
      <c r="C11" s="1519">
        <f>SUM(C9:C10)</f>
        <v>1006744</v>
      </c>
      <c r="D11" s="1519">
        <f>SUM(D9:D10)</f>
        <v>207782.73624905999</v>
      </c>
      <c r="I11" s="1525" t="s">
        <v>1225</v>
      </c>
      <c r="L11" s="1518">
        <f>M11+N11</f>
        <v>120728310.10999998</v>
      </c>
      <c r="M11" s="1518">
        <f>('G-2.04 Reg Exp'!BA31+'G-2.04 Reg Exp'!BA32+'G-2.04 Reg Exp'!BA33)</f>
        <v>85543945.979999989</v>
      </c>
      <c r="N11" s="1518">
        <f>('G-2.04 Reg Exp'!BA6+'G-2.04 Reg Exp'!BA7)</f>
        <v>35184364.130000003</v>
      </c>
      <c r="AM11" s="1594"/>
      <c r="AN11" s="1593" t="s">
        <v>1247</v>
      </c>
      <c r="AO11" s="1583">
        <v>-101035</v>
      </c>
      <c r="AP11" s="1583">
        <v>-64549</v>
      </c>
      <c r="AQ11" s="1583">
        <v>191899</v>
      </c>
      <c r="AR11" s="1583">
        <v>1028997</v>
      </c>
      <c r="AS11" s="1583">
        <v>2985615</v>
      </c>
      <c r="AT11" s="1583">
        <v>-53274</v>
      </c>
      <c r="AU11" s="1583">
        <v>187051.45999999996</v>
      </c>
      <c r="AV11" s="1583">
        <v>964418.54</v>
      </c>
      <c r="AW11" s="1583">
        <v>-2378189</v>
      </c>
      <c r="AX11" s="1583">
        <v>-991236</v>
      </c>
      <c r="AY11" s="1583">
        <v>-1542355</v>
      </c>
      <c r="AZ11" s="1583">
        <v>-203112</v>
      </c>
      <c r="BA11" s="1565">
        <f t="shared" si="1"/>
        <v>24231</v>
      </c>
    </row>
    <row r="12" spans="1:53" ht="14.25">
      <c r="B12" s="1518"/>
      <c r="C12" s="1518"/>
      <c r="D12" s="1518"/>
      <c r="I12" s="1525" t="s">
        <v>1224</v>
      </c>
      <c r="L12" s="1518">
        <f>M12+N12</f>
        <v>489512.19</v>
      </c>
      <c r="M12" s="1518">
        <f>'G-2.04 Reg Exp'!BA34</f>
        <v>443572.47000000003</v>
      </c>
      <c r="N12" s="1518">
        <f>'G-2.04 Reg Exp'!BA8</f>
        <v>45939.719999999994</v>
      </c>
      <c r="AM12" s="1594"/>
      <c r="AN12" s="1593" t="s">
        <v>1250</v>
      </c>
      <c r="AO12" s="1583">
        <v>-59653</v>
      </c>
      <c r="AP12" s="1583">
        <v>43308</v>
      </c>
      <c r="AQ12" s="1583">
        <v>32629</v>
      </c>
      <c r="AR12" s="1583">
        <v>459568</v>
      </c>
      <c r="AS12" s="1583">
        <v>1018331</v>
      </c>
      <c r="AT12" s="1583">
        <v>154933</v>
      </c>
      <c r="AU12" s="1583">
        <v>79563.530000000028</v>
      </c>
      <c r="AV12" s="1583">
        <v>210563.46999999997</v>
      </c>
      <c r="AW12" s="1583">
        <v>-624404</v>
      </c>
      <c r="AX12" s="1583">
        <v>-582461</v>
      </c>
      <c r="AY12" s="1583">
        <v>-632204</v>
      </c>
      <c r="AZ12" s="1583">
        <v>3697</v>
      </c>
      <c r="BA12" s="1565">
        <f t="shared" si="1"/>
        <v>103871</v>
      </c>
    </row>
    <row r="13" spans="1:53" ht="14.25">
      <c r="A13" s="1520"/>
      <c r="B13" s="1518"/>
      <c r="C13" s="1518"/>
      <c r="D13" s="1518"/>
      <c r="I13" s="1525" t="s">
        <v>1223</v>
      </c>
      <c r="L13" s="1518">
        <f>M13+N13</f>
        <v>27394</v>
      </c>
      <c r="M13" s="1518">
        <f>('G-2.04 Reg Exp'!BA39+'G-2.04 Reg Exp'!BA40+'G-2.04 Reg Exp'!BA41)</f>
        <v>-100104</v>
      </c>
      <c r="N13" s="1518">
        <f>('G-2.04 Reg Exp'!BA11+'G-2.04 Reg Exp'!BA12+'G-2.04 Reg Exp'!BA13)</f>
        <v>127498</v>
      </c>
      <c r="AM13" s="1594"/>
      <c r="AN13" s="1593" t="s">
        <v>1277</v>
      </c>
      <c r="AO13" s="1583">
        <v>-9728</v>
      </c>
      <c r="AP13" s="1583">
        <v>-3911</v>
      </c>
      <c r="AQ13" s="1583">
        <v>8577</v>
      </c>
      <c r="AR13" s="1583">
        <v>-3425</v>
      </c>
      <c r="AS13" s="1583">
        <v>8098</v>
      </c>
      <c r="AT13" s="1583">
        <v>-4091</v>
      </c>
      <c r="AU13" s="1583">
        <v>3880</v>
      </c>
      <c r="AV13" s="1583">
        <v>-7709</v>
      </c>
      <c r="AW13" s="1583">
        <v>3142</v>
      </c>
      <c r="AX13" s="1583">
        <v>14973</v>
      </c>
      <c r="AY13" s="1583">
        <v>10334</v>
      </c>
      <c r="AZ13" s="1583">
        <v>-20744</v>
      </c>
      <c r="BA13" s="1565">
        <f t="shared" si="1"/>
        <v>-604</v>
      </c>
    </row>
    <row r="14" spans="1:53" ht="14.25">
      <c r="A14" s="1515" t="s">
        <v>1198</v>
      </c>
      <c r="B14" s="1518"/>
      <c r="C14" s="1518"/>
      <c r="D14" s="1518"/>
      <c r="H14" s="1525" t="s">
        <v>1222</v>
      </c>
      <c r="L14" s="1540">
        <f>SUM(L10:L13)</f>
        <v>352360296.7899999</v>
      </c>
      <c r="M14" s="1540">
        <f>SUM(M10:M13)</f>
        <v>246540772.81999996</v>
      </c>
      <c r="N14" s="1540">
        <f>SUM(N10:N13)</f>
        <v>105819523.97</v>
      </c>
      <c r="AM14" s="1595"/>
      <c r="AN14" s="1586" t="s">
        <v>1238</v>
      </c>
      <c r="AO14" s="1565">
        <f t="shared" ref="AO14:BA14" si="2">SUM(AO5:AO13)</f>
        <v>2457233.21</v>
      </c>
      <c r="AP14" s="1565">
        <f t="shared" si="2"/>
        <v>2426342.3599999994</v>
      </c>
      <c r="AQ14" s="1565">
        <f t="shared" si="2"/>
        <v>2748856.3899999997</v>
      </c>
      <c r="AR14" s="1565">
        <f t="shared" si="2"/>
        <v>4880489.42</v>
      </c>
      <c r="AS14" s="1565">
        <f t="shared" si="2"/>
        <v>13743618.16</v>
      </c>
      <c r="AT14" s="1565">
        <f t="shared" si="2"/>
        <v>17900220.930000003</v>
      </c>
      <c r="AU14" s="1565">
        <f t="shared" si="2"/>
        <v>18260222.139999997</v>
      </c>
      <c r="AV14" s="1565">
        <f t="shared" si="2"/>
        <v>15346171.169999996</v>
      </c>
      <c r="AW14" s="1565">
        <f t="shared" si="2"/>
        <v>12985564.640000001</v>
      </c>
      <c r="AX14" s="1565">
        <f t="shared" si="2"/>
        <v>8553602.9800000023</v>
      </c>
      <c r="AY14" s="1565">
        <f t="shared" si="2"/>
        <v>3924253.0699999994</v>
      </c>
      <c r="AZ14" s="1565">
        <f t="shared" si="2"/>
        <v>3164995.5500000007</v>
      </c>
      <c r="BA14" s="1565">
        <f t="shared" si="2"/>
        <v>106391570.02</v>
      </c>
    </row>
    <row r="15" spans="1:53" ht="14.25">
      <c r="A15" s="1515" t="s">
        <v>1197</v>
      </c>
      <c r="B15" s="1518">
        <f>C15</f>
        <v>608877.51</v>
      </c>
      <c r="C15" s="1518">
        <f>AG8</f>
        <v>608877.51</v>
      </c>
      <c r="D15" s="1518"/>
      <c r="L15" s="1518"/>
      <c r="M15" s="1518"/>
      <c r="N15" s="1518"/>
      <c r="AM15" s="1591" t="s">
        <v>676</v>
      </c>
      <c r="AN15" s="1593" t="s">
        <v>1041</v>
      </c>
      <c r="AO15" s="1583">
        <v>2649550.06</v>
      </c>
      <c r="AP15" s="1583">
        <v>2203043.16</v>
      </c>
      <c r="AQ15" s="1583">
        <v>2269521.2400000002</v>
      </c>
      <c r="AR15" s="1583">
        <v>2707138.5300000003</v>
      </c>
      <c r="AS15" s="1583">
        <v>7300694.1899999976</v>
      </c>
      <c r="AT15" s="1583">
        <v>14154517.110000001</v>
      </c>
      <c r="AU15" s="1583">
        <v>14492230.76</v>
      </c>
      <c r="AV15" s="1583">
        <v>11711390.259999998</v>
      </c>
      <c r="AW15" s="1583">
        <v>14418438.199999999</v>
      </c>
      <c r="AX15" s="1583">
        <v>9915991.5099999998</v>
      </c>
      <c r="AY15" s="1583">
        <v>6284721.2000000002</v>
      </c>
      <c r="AZ15" s="1583">
        <v>3102733.09</v>
      </c>
      <c r="BA15" s="1565">
        <f t="shared" ref="BA15:BA28" si="3">SUM(AO15:AZ15)</f>
        <v>91209969.310000002</v>
      </c>
    </row>
    <row r="16" spans="1:53" ht="14.25">
      <c r="A16" s="1515" t="s">
        <v>1196</v>
      </c>
      <c r="B16" s="1518">
        <f>D16</f>
        <v>157205.04</v>
      </c>
      <c r="C16" s="1518"/>
      <c r="D16" s="1518">
        <f>AG9</f>
        <v>157205.04</v>
      </c>
      <c r="H16" s="1525" t="s">
        <v>1221</v>
      </c>
      <c r="L16" s="1518"/>
      <c r="M16" s="1518"/>
      <c r="N16" s="1518"/>
      <c r="R16" s="1569" t="s">
        <v>1245</v>
      </c>
      <c r="S16" s="1569" t="s">
        <v>1246</v>
      </c>
      <c r="AM16" s="1594"/>
      <c r="AN16" s="1593" t="s">
        <v>1038</v>
      </c>
      <c r="AO16" s="1583">
        <v>1421291.13</v>
      </c>
      <c r="AP16" s="1583">
        <v>1196126.9499999997</v>
      </c>
      <c r="AQ16" s="1583">
        <v>1216331.8399999999</v>
      </c>
      <c r="AR16" s="1583">
        <v>1419250.5599999998</v>
      </c>
      <c r="AS16" s="1583">
        <v>3554532.0100000002</v>
      </c>
      <c r="AT16" s="1583">
        <v>7337128.0999999996</v>
      </c>
      <c r="AU16" s="1583">
        <v>7647359.3200000003</v>
      </c>
      <c r="AV16" s="1583">
        <v>6367522.080000001</v>
      </c>
      <c r="AW16" s="1583">
        <v>7620027.2799999993</v>
      </c>
      <c r="AX16" s="1583">
        <v>5452348.7199999997</v>
      </c>
      <c r="AY16" s="1583">
        <v>3468109.7600000002</v>
      </c>
      <c r="AZ16" s="1583">
        <v>1799236.8800000001</v>
      </c>
      <c r="BA16" s="1565">
        <f t="shared" si="3"/>
        <v>48499264.630000003</v>
      </c>
    </row>
    <row r="17" spans="1:53" ht="14.25">
      <c r="A17" s="1515" t="s">
        <v>1195</v>
      </c>
      <c r="B17" s="1519">
        <f>SUM(B15:B16)</f>
        <v>766082.55</v>
      </c>
      <c r="C17" s="1519">
        <f>SUM(C15:C16)</f>
        <v>608877.51</v>
      </c>
      <c r="D17" s="1519">
        <f>SUM(D15:D16)</f>
        <v>157205.04</v>
      </c>
      <c r="I17" s="1525" t="s">
        <v>1220</v>
      </c>
      <c r="L17" s="1518">
        <f>M17+N17</f>
        <v>8163</v>
      </c>
      <c r="M17" s="1518">
        <f>'G-2.04 Reg Exp'!BA35</f>
        <v>3075</v>
      </c>
      <c r="N17" s="1518">
        <f>'G-2.04 Reg Exp'!BA9</f>
        <v>5088</v>
      </c>
      <c r="R17" s="1570" t="s">
        <v>1248</v>
      </c>
      <c r="S17" s="1571" t="s">
        <v>1249</v>
      </c>
      <c r="AM17" s="1594"/>
      <c r="AN17" s="1593" t="s">
        <v>1036</v>
      </c>
      <c r="AO17" s="1583">
        <v>81852.02</v>
      </c>
      <c r="AP17" s="1583">
        <v>78033.33</v>
      </c>
      <c r="AQ17" s="1583">
        <v>77998.5</v>
      </c>
      <c r="AR17" s="1583">
        <v>79984.36</v>
      </c>
      <c r="AS17" s="1583">
        <v>108559.75</v>
      </c>
      <c r="AT17" s="1583">
        <v>244472.74</v>
      </c>
      <c r="AU17" s="1583">
        <v>280891.31</v>
      </c>
      <c r="AV17" s="1583">
        <v>505718.14999999997</v>
      </c>
      <c r="AW17" s="1583">
        <v>477594.40000000014</v>
      </c>
      <c r="AX17" s="1583">
        <v>488678.10000000009</v>
      </c>
      <c r="AY17" s="1583">
        <v>444602.94</v>
      </c>
      <c r="AZ17" s="1583">
        <v>351679.90000000008</v>
      </c>
      <c r="BA17" s="1565">
        <f t="shared" si="3"/>
        <v>3220065.5</v>
      </c>
    </row>
    <row r="18" spans="1:53" ht="14.25">
      <c r="B18" s="1518"/>
      <c r="C18" s="1518"/>
      <c r="D18" s="1518"/>
      <c r="I18" s="1525" t="s">
        <v>1219</v>
      </c>
      <c r="L18" s="1518">
        <f>M18+N18</f>
        <v>5746518.8399999999</v>
      </c>
      <c r="M18" s="1518">
        <f>('G-2.04 Reg Exp'!BA36+'G-2.04 Reg Exp'!BA37)</f>
        <v>5179560.79</v>
      </c>
      <c r="N18" s="1518">
        <f>'G-2.04 Reg Exp'!BA10</f>
        <v>566958.05000000005</v>
      </c>
      <c r="AM18" s="1594"/>
      <c r="AN18" s="1593" t="s">
        <v>1033</v>
      </c>
      <c r="AO18" s="1583">
        <v>22215.18</v>
      </c>
      <c r="AP18" s="1583">
        <v>22038.270000000004</v>
      </c>
      <c r="AQ18" s="1583">
        <v>35109.550000000003</v>
      </c>
      <c r="AR18" s="1583">
        <v>31769.359999999997</v>
      </c>
      <c r="AS18" s="1583">
        <v>53473.69</v>
      </c>
      <c r="AT18" s="1583">
        <v>42589.149999999994</v>
      </c>
      <c r="AU18" s="1583">
        <v>33955</v>
      </c>
      <c r="AV18" s="1583">
        <v>28964.409999999996</v>
      </c>
      <c r="AW18" s="1583">
        <v>45754.68</v>
      </c>
      <c r="AX18" s="1583">
        <v>31870.1</v>
      </c>
      <c r="AY18" s="1583">
        <v>26514.510000000002</v>
      </c>
      <c r="AZ18" s="1583">
        <v>53314.68</v>
      </c>
      <c r="BA18" s="1565">
        <f t="shared" si="3"/>
        <v>427568.57999999996</v>
      </c>
    </row>
    <row r="19" spans="1:53" ht="14.25">
      <c r="B19" s="1518"/>
      <c r="C19" s="1518"/>
      <c r="D19" s="1518"/>
      <c r="I19" s="1525" t="s">
        <v>1218</v>
      </c>
      <c r="L19" s="1518">
        <f>M19+N19</f>
        <v>0</v>
      </c>
      <c r="M19" s="1518">
        <v>0</v>
      </c>
      <c r="N19" s="1518">
        <v>0</v>
      </c>
      <c r="R19" s="1572" t="s">
        <v>1251</v>
      </c>
      <c r="S19" s="1572" t="s">
        <v>1252</v>
      </c>
      <c r="AM19" s="1594"/>
      <c r="AN19" s="1593" t="s">
        <v>1278</v>
      </c>
      <c r="AO19" s="1583">
        <v>303237.77999999997</v>
      </c>
      <c r="AP19" s="1583">
        <v>302919.27</v>
      </c>
      <c r="AQ19" s="1583">
        <v>265442.8</v>
      </c>
      <c r="AR19" s="1583">
        <v>272426.5</v>
      </c>
      <c r="AS19" s="1583">
        <v>312627.21999999997</v>
      </c>
      <c r="AT19" s="1583">
        <v>466271.06000000006</v>
      </c>
      <c r="AU19" s="1583">
        <v>525869.49000000011</v>
      </c>
      <c r="AV19" s="1583">
        <v>566342.67999999993</v>
      </c>
      <c r="AW19" s="1583">
        <v>581292.24</v>
      </c>
      <c r="AX19" s="1583">
        <v>630374.87</v>
      </c>
      <c r="AY19" s="1583">
        <v>591871.01</v>
      </c>
      <c r="AZ19" s="1583">
        <v>531645.36</v>
      </c>
      <c r="BA19" s="1565">
        <f t="shared" si="3"/>
        <v>5350320.28</v>
      </c>
    </row>
    <row r="20" spans="1:53" ht="15" thickBot="1">
      <c r="A20" s="1515" t="s">
        <v>19</v>
      </c>
      <c r="B20" s="1516">
        <f>B11-B17</f>
        <v>448444.18624905986</v>
      </c>
      <c r="C20" s="1517">
        <f>C11-C17</f>
        <v>397866.49</v>
      </c>
      <c r="D20" s="1516">
        <f>D11-D17</f>
        <v>50577.696249059984</v>
      </c>
      <c r="H20" s="1525" t="s">
        <v>1217</v>
      </c>
      <c r="L20" s="1540">
        <f>SUM(L17:L19)</f>
        <v>5754681.8399999999</v>
      </c>
      <c r="M20" s="1540">
        <f>SUM(M17:M19)</f>
        <v>5182635.79</v>
      </c>
      <c r="N20" s="1540">
        <f>SUM(N17:N19)</f>
        <v>572046.05000000005</v>
      </c>
      <c r="R20" s="477" t="s">
        <v>1170</v>
      </c>
      <c r="S20" s="477" t="s">
        <v>1126</v>
      </c>
      <c r="T20" s="477" t="s">
        <v>1253</v>
      </c>
      <c r="U20" s="477" t="s">
        <v>1254</v>
      </c>
      <c r="V20" s="477" t="s">
        <v>1255</v>
      </c>
      <c r="W20" s="477" t="s">
        <v>1256</v>
      </c>
      <c r="X20" s="477" t="s">
        <v>1257</v>
      </c>
      <c r="Y20" s="477" t="s">
        <v>1053</v>
      </c>
      <c r="Z20" s="477" t="s">
        <v>1258</v>
      </c>
      <c r="AA20" s="477" t="s">
        <v>1259</v>
      </c>
      <c r="AB20" s="477" t="s">
        <v>1260</v>
      </c>
      <c r="AC20" s="477" t="s">
        <v>1261</v>
      </c>
      <c r="AD20" s="477" t="s">
        <v>1262</v>
      </c>
      <c r="AE20" s="477" t="s">
        <v>978</v>
      </c>
      <c r="AM20" s="1594"/>
      <c r="AN20" s="1593" t="s">
        <v>1031</v>
      </c>
      <c r="AO20" s="1583">
        <v>455.94</v>
      </c>
      <c r="AP20" s="1583">
        <v>400.72</v>
      </c>
      <c r="AQ20" s="1583">
        <v>427.29999999999995</v>
      </c>
      <c r="AR20" s="1583">
        <v>334.87</v>
      </c>
      <c r="AS20" s="1583">
        <v>1772.8200000000002</v>
      </c>
      <c r="AT20" s="1583">
        <v>4222.45</v>
      </c>
      <c r="AU20" s="1583">
        <v>4885.1400000000003</v>
      </c>
      <c r="AV20" s="1583">
        <v>4070.07</v>
      </c>
      <c r="AW20" s="1583">
        <v>4036.1800000000003</v>
      </c>
      <c r="AX20" s="1583">
        <v>3023.69</v>
      </c>
      <c r="AY20" s="1583">
        <v>1328.21</v>
      </c>
      <c r="AZ20" s="1583">
        <v>446.72</v>
      </c>
      <c r="BA20" s="1565">
        <f t="shared" si="3"/>
        <v>25404.11</v>
      </c>
    </row>
    <row r="21" spans="1:53" ht="15.75" thickTop="1" thickBot="1">
      <c r="L21" s="1539"/>
      <c r="M21" s="1539"/>
      <c r="N21" s="1539"/>
      <c r="R21" s="182" t="s">
        <v>1263</v>
      </c>
      <c r="S21" s="199">
        <v>73967</v>
      </c>
      <c r="T21" s="199">
        <v>73967</v>
      </c>
      <c r="U21" s="199">
        <v>73967</v>
      </c>
      <c r="V21" s="199">
        <v>41610</v>
      </c>
      <c r="W21" s="199">
        <v>41610</v>
      </c>
      <c r="X21" s="199">
        <v>41610</v>
      </c>
      <c r="Y21" s="199">
        <v>41610</v>
      </c>
      <c r="Z21" s="199">
        <v>41610</v>
      </c>
      <c r="AA21" s="199">
        <v>41610</v>
      </c>
      <c r="AB21" s="199">
        <v>41610</v>
      </c>
      <c r="AC21" s="199">
        <v>41610</v>
      </c>
      <c r="AD21" s="199">
        <v>92890</v>
      </c>
      <c r="AE21" s="199">
        <v>647671</v>
      </c>
      <c r="AM21" s="1594"/>
      <c r="AN21" s="1593" t="s">
        <v>1276</v>
      </c>
      <c r="AO21" s="1583">
        <v>1405</v>
      </c>
      <c r="AP21" s="1583">
        <v>1725</v>
      </c>
      <c r="AQ21" s="1583">
        <v>1725</v>
      </c>
      <c r="AR21" s="1583">
        <v>2190</v>
      </c>
      <c r="AS21" s="1583">
        <v>2080</v>
      </c>
      <c r="AT21" s="1583">
        <v>2440</v>
      </c>
      <c r="AU21" s="1583">
        <v>2565</v>
      </c>
      <c r="AV21" s="1583">
        <v>1825</v>
      </c>
      <c r="AW21" s="1583">
        <v>5660</v>
      </c>
      <c r="AX21" s="1583">
        <v>6035</v>
      </c>
      <c r="AY21" s="1583">
        <v>7228</v>
      </c>
      <c r="AZ21" s="1583">
        <v>6485</v>
      </c>
      <c r="BA21" s="1565">
        <f t="shared" si="3"/>
        <v>41363</v>
      </c>
    </row>
    <row r="22" spans="1:53" ht="15" thickBot="1">
      <c r="H22" s="1535" t="s">
        <v>1216</v>
      </c>
      <c r="L22" s="1518">
        <f>L14+L20</f>
        <v>358114978.62999988</v>
      </c>
      <c r="M22" s="1518">
        <f>M14+M20</f>
        <v>251723408.60999995</v>
      </c>
      <c r="N22" s="1518">
        <f>N14+N20</f>
        <v>106391570.02</v>
      </c>
      <c r="R22" s="182" t="s">
        <v>978</v>
      </c>
      <c r="S22" s="199">
        <v>73967</v>
      </c>
      <c r="T22" s="199">
        <v>73967</v>
      </c>
      <c r="U22" s="199">
        <v>73967</v>
      </c>
      <c r="V22" s="199">
        <v>41610</v>
      </c>
      <c r="W22" s="199">
        <v>41610</v>
      </c>
      <c r="X22" s="199">
        <v>41610</v>
      </c>
      <c r="Y22" s="199">
        <v>41610</v>
      </c>
      <c r="Z22" s="199">
        <v>41610</v>
      </c>
      <c r="AA22" s="199">
        <v>41610</v>
      </c>
      <c r="AB22" s="199">
        <v>41610</v>
      </c>
      <c r="AC22" s="199">
        <v>41610</v>
      </c>
      <c r="AD22" s="199">
        <v>92890</v>
      </c>
      <c r="AE22" s="1573">
        <v>647671</v>
      </c>
      <c r="AM22" s="1594"/>
      <c r="AN22" s="1593">
        <v>489300</v>
      </c>
      <c r="AO22" s="1583">
        <v>236625.94999999998</v>
      </c>
      <c r="AP22" s="1583">
        <v>200475.65999999997</v>
      </c>
      <c r="AQ22" s="1583">
        <v>205018.88</v>
      </c>
      <c r="AR22" s="1583">
        <v>197561.03</v>
      </c>
      <c r="AS22" s="1583">
        <v>225089.18</v>
      </c>
      <c r="AT22" s="1583">
        <v>236980.33</v>
      </c>
      <c r="AU22" s="1583">
        <v>231651.54</v>
      </c>
      <c r="AV22" s="1583">
        <v>238687.04</v>
      </c>
      <c r="AW22" s="1583">
        <v>216837.84000000003</v>
      </c>
      <c r="AX22" s="1583">
        <v>231752.81</v>
      </c>
      <c r="AY22" s="1583">
        <v>216391.1</v>
      </c>
      <c r="AZ22" s="1583">
        <v>200524.46</v>
      </c>
      <c r="BA22" s="1565">
        <f t="shared" si="3"/>
        <v>2637595.8200000003</v>
      </c>
    </row>
    <row r="23" spans="1:53" ht="14.25">
      <c r="A23" s="1515" t="s">
        <v>482</v>
      </c>
      <c r="L23" s="1515"/>
      <c r="M23" s="1515"/>
      <c r="N23" s="1515"/>
      <c r="AE23" s="1574">
        <f>AE22</f>
        <v>647671</v>
      </c>
      <c r="AM23" s="1594"/>
      <c r="AN23" s="1593" t="s">
        <v>1279</v>
      </c>
      <c r="AO23" s="1583">
        <v>1000</v>
      </c>
      <c r="AP23" s="1583">
        <v>1000</v>
      </c>
      <c r="AQ23" s="1583">
        <v>1000</v>
      </c>
      <c r="AR23" s="1583">
        <v>1000</v>
      </c>
      <c r="AS23" s="1583">
        <v>1000</v>
      </c>
      <c r="AT23" s="1583">
        <v>1000</v>
      </c>
      <c r="AU23" s="1583">
        <v>1000</v>
      </c>
      <c r="AV23" s="1583">
        <v>1000</v>
      </c>
      <c r="AW23" s="1583">
        <v>1000</v>
      </c>
      <c r="AX23" s="1583">
        <v>1000</v>
      </c>
      <c r="AY23" s="1583">
        <v>1000</v>
      </c>
      <c r="AZ23" s="1583">
        <v>1000</v>
      </c>
      <c r="BA23" s="1565">
        <f t="shared" si="3"/>
        <v>12000</v>
      </c>
    </row>
    <row r="24" spans="1:53" ht="14.25">
      <c r="A24" s="1515" t="s">
        <v>1194</v>
      </c>
      <c r="H24" s="1535" t="s">
        <v>1215</v>
      </c>
      <c r="L24" s="1515"/>
      <c r="M24" s="1515"/>
      <c r="N24" s="1515"/>
      <c r="R24" s="1569" t="s">
        <v>1245</v>
      </c>
      <c r="S24" s="1569" t="s">
        <v>1264</v>
      </c>
      <c r="AM24" s="1594"/>
      <c r="AN24" s="1593" t="s">
        <v>1247</v>
      </c>
      <c r="AO24" s="1583">
        <v>-328769</v>
      </c>
      <c r="AP24" s="1583">
        <v>-190201</v>
      </c>
      <c r="AQ24" s="1583">
        <v>203595</v>
      </c>
      <c r="AR24" s="1583">
        <v>1244716</v>
      </c>
      <c r="AS24" s="1583">
        <v>3689144</v>
      </c>
      <c r="AT24" s="1583">
        <v>79189</v>
      </c>
      <c r="AU24" s="1583">
        <v>330848.33000000007</v>
      </c>
      <c r="AV24" s="1583">
        <v>519222.66999999993</v>
      </c>
      <c r="AW24" s="1583">
        <v>-1293223</v>
      </c>
      <c r="AX24" s="1583">
        <v>-2289837</v>
      </c>
      <c r="AY24" s="1583">
        <v>-1899218</v>
      </c>
      <c r="AZ24" s="1583">
        <v>-670730</v>
      </c>
      <c r="BA24" s="1565">
        <f t="shared" si="3"/>
        <v>-605263</v>
      </c>
    </row>
    <row r="25" spans="1:53" ht="14.25">
      <c r="A25" s="1515" t="s">
        <v>1193</v>
      </c>
      <c r="H25" s="1525" t="s">
        <v>1214</v>
      </c>
      <c r="L25" s="1515"/>
      <c r="M25" s="1537">
        <v>1E-3</v>
      </c>
      <c r="N25" s="1537">
        <v>0</v>
      </c>
      <c r="R25" s="1570" t="s">
        <v>1248</v>
      </c>
      <c r="S25" s="1570" t="s">
        <v>1265</v>
      </c>
      <c r="AM25" s="1594"/>
      <c r="AN25" s="1593" t="s">
        <v>1250</v>
      </c>
      <c r="AO25" s="1583">
        <v>-206951</v>
      </c>
      <c r="AP25" s="1583">
        <v>-8926</v>
      </c>
      <c r="AQ25" s="1583">
        <v>120931</v>
      </c>
      <c r="AR25" s="1583">
        <v>746976</v>
      </c>
      <c r="AS25" s="1583">
        <v>1675643</v>
      </c>
      <c r="AT25" s="1583">
        <v>103766</v>
      </c>
      <c r="AU25" s="1583">
        <v>242917.06000000006</v>
      </c>
      <c r="AV25" s="1583">
        <v>412258.93999999994</v>
      </c>
      <c r="AW25" s="1583">
        <v>-813315</v>
      </c>
      <c r="AX25" s="1583">
        <v>-1176839</v>
      </c>
      <c r="AY25" s="1583">
        <v>-1126287</v>
      </c>
      <c r="AZ25" s="1583">
        <v>-223352</v>
      </c>
      <c r="BA25" s="1565">
        <f t="shared" si="3"/>
        <v>-253178</v>
      </c>
    </row>
    <row r="26" spans="1:53" ht="14.25">
      <c r="A26" s="1515" t="s">
        <v>1192</v>
      </c>
      <c r="H26" s="1525" t="s">
        <v>1213</v>
      </c>
      <c r="K26" s="1538"/>
      <c r="L26" s="1515"/>
      <c r="M26" s="1537">
        <v>4.0000000000000001E-3</v>
      </c>
      <c r="N26" s="1537">
        <v>1.9530000000000001E-3</v>
      </c>
      <c r="AM26" s="1594"/>
      <c r="AN26" s="1593" t="s">
        <v>1280</v>
      </c>
      <c r="AO26" s="1583">
        <v>-13084</v>
      </c>
      <c r="AP26" s="1583">
        <v>4982</v>
      </c>
      <c r="AQ26" s="1583">
        <v>8163</v>
      </c>
      <c r="AR26" s="1583">
        <v>42954</v>
      </c>
      <c r="AS26" s="1583">
        <v>-408</v>
      </c>
      <c r="AT26" s="1583">
        <v>7202</v>
      </c>
      <c r="AU26" s="1583">
        <v>48699</v>
      </c>
      <c r="AV26" s="1583">
        <v>159518</v>
      </c>
      <c r="AW26" s="1583">
        <v>-110090</v>
      </c>
      <c r="AX26" s="1583">
        <v>-32516</v>
      </c>
      <c r="AY26" s="1583">
        <v>-90930</v>
      </c>
      <c r="AZ26" s="1583">
        <v>-1175</v>
      </c>
      <c r="BA26" s="1565">
        <f t="shared" si="3"/>
        <v>23315</v>
      </c>
    </row>
    <row r="27" spans="1:53" ht="14.25">
      <c r="L27" s="1515"/>
      <c r="M27" s="1515"/>
      <c r="N27" s="1536"/>
      <c r="R27" s="1572" t="s">
        <v>1251</v>
      </c>
      <c r="S27" s="1572" t="s">
        <v>1252</v>
      </c>
      <c r="AM27" s="1594"/>
      <c r="AN27" s="1593">
        <v>499400</v>
      </c>
      <c r="AO27" s="1583">
        <v>-19405</v>
      </c>
      <c r="AP27" s="1583">
        <v>22210</v>
      </c>
      <c r="AQ27" s="1583">
        <v>18640</v>
      </c>
      <c r="AR27" s="1583">
        <v>148914</v>
      </c>
      <c r="AS27" s="1583">
        <v>28439</v>
      </c>
      <c r="AT27" s="1583">
        <v>-127190</v>
      </c>
      <c r="AU27" s="1583">
        <v>96573</v>
      </c>
      <c r="AV27" s="1583">
        <v>79624</v>
      </c>
      <c r="AW27" s="1583">
        <v>-107446</v>
      </c>
      <c r="AX27" s="1583">
        <v>-29559</v>
      </c>
      <c r="AY27" s="1583">
        <v>-115418</v>
      </c>
      <c r="AZ27" s="1583">
        <v>7602</v>
      </c>
      <c r="BA27" s="1565">
        <f t="shared" si="3"/>
        <v>2984</v>
      </c>
    </row>
    <row r="28" spans="1:53" ht="15" thickBot="1">
      <c r="A28" s="1515" t="s">
        <v>1191</v>
      </c>
      <c r="H28" s="1535" t="s">
        <v>1212</v>
      </c>
      <c r="I28" s="1535"/>
      <c r="J28" s="1535"/>
      <c r="K28" s="1535"/>
      <c r="L28" s="1534">
        <f>M28+N28</f>
        <v>1214526.7362490599</v>
      </c>
      <c r="M28" s="1533">
        <f>ROUND(M25*50000+(M22-50000)*M26,0)</f>
        <v>1006744</v>
      </c>
      <c r="N28" s="1532">
        <f>N22*N26</f>
        <v>207782.73624905999</v>
      </c>
      <c r="R28" s="477" t="s">
        <v>1170</v>
      </c>
      <c r="S28" s="477" t="s">
        <v>1126</v>
      </c>
      <c r="T28" s="477" t="s">
        <v>1253</v>
      </c>
      <c r="U28" s="477" t="s">
        <v>1254</v>
      </c>
      <c r="V28" s="477" t="s">
        <v>1255</v>
      </c>
      <c r="W28" s="477" t="s">
        <v>1256</v>
      </c>
      <c r="X28" s="477" t="s">
        <v>1257</v>
      </c>
      <c r="Y28" s="477" t="s">
        <v>1053</v>
      </c>
      <c r="Z28" s="477" t="s">
        <v>1258</v>
      </c>
      <c r="AA28" s="477" t="s">
        <v>1259</v>
      </c>
      <c r="AB28" s="477" t="s">
        <v>1260</v>
      </c>
      <c r="AC28" s="477" t="s">
        <v>1261</v>
      </c>
      <c r="AD28" s="477" t="s">
        <v>1262</v>
      </c>
      <c r="AE28" s="477" t="s">
        <v>978</v>
      </c>
      <c r="AM28" s="1594"/>
      <c r="AN28" s="1593" t="s">
        <v>1277</v>
      </c>
      <c r="AO28" s="1583">
        <v>-15271</v>
      </c>
      <c r="AP28" s="1583">
        <v>4205</v>
      </c>
      <c r="AQ28" s="1583">
        <v>-4323</v>
      </c>
      <c r="AR28" s="1583">
        <v>12987</v>
      </c>
      <c r="AS28" s="1583">
        <v>3380</v>
      </c>
      <c r="AT28" s="1583">
        <v>-2555</v>
      </c>
      <c r="AU28" s="1583">
        <v>-6296</v>
      </c>
      <c r="AV28" s="1583">
        <v>-6981</v>
      </c>
      <c r="AW28" s="1583">
        <v>13874</v>
      </c>
      <c r="AX28" s="1583">
        <v>-8409</v>
      </c>
      <c r="AY28" s="1583">
        <v>-7531</v>
      </c>
      <c r="AZ28" s="1583">
        <v>-6982</v>
      </c>
      <c r="BA28" s="1565">
        <f t="shared" si="3"/>
        <v>-23902</v>
      </c>
    </row>
    <row r="29" spans="1:53" ht="15.75" thickTop="1" thickBot="1">
      <c r="K29" s="1531"/>
      <c r="L29" s="1518"/>
      <c r="M29" s="1530"/>
      <c r="N29" s="1518"/>
      <c r="R29" s="182" t="s">
        <v>1263</v>
      </c>
      <c r="S29" s="199">
        <v>292981.37</v>
      </c>
      <c r="T29" s="199">
        <v>292981.37</v>
      </c>
      <c r="U29" s="199">
        <v>292981.40000000002</v>
      </c>
      <c r="V29" s="199">
        <v>229166.67</v>
      </c>
      <c r="W29" s="199">
        <v>229166.67</v>
      </c>
      <c r="X29" s="199">
        <v>229166.67</v>
      </c>
      <c r="Y29" s="199">
        <v>229166.67</v>
      </c>
      <c r="Z29" s="199">
        <v>229166.67</v>
      </c>
      <c r="AA29" s="199">
        <v>229166.67</v>
      </c>
      <c r="AB29" s="199">
        <v>229166.67</v>
      </c>
      <c r="AC29" s="199">
        <v>229166.67</v>
      </c>
      <c r="AD29" s="199">
        <v>229166.67</v>
      </c>
      <c r="AE29" s="199">
        <v>2941444.1699999995</v>
      </c>
      <c r="AM29" s="1595"/>
      <c r="AN29" s="1586" t="s">
        <v>1238</v>
      </c>
      <c r="AO29" s="1565">
        <f t="shared" ref="AO29:BA29" si="4">SUM(AO15:AO28)</f>
        <v>4134153.0600000005</v>
      </c>
      <c r="AP29" s="1565">
        <f t="shared" si="4"/>
        <v>3838032.3600000003</v>
      </c>
      <c r="AQ29" s="1565">
        <f t="shared" si="4"/>
        <v>4419581.1099999994</v>
      </c>
      <c r="AR29" s="1565">
        <f t="shared" si="4"/>
        <v>6908202.2100000009</v>
      </c>
      <c r="AS29" s="1565">
        <f t="shared" si="4"/>
        <v>16956026.859999999</v>
      </c>
      <c r="AT29" s="1565">
        <f t="shared" si="4"/>
        <v>22550032.939999994</v>
      </c>
      <c r="AU29" s="1565">
        <f t="shared" si="4"/>
        <v>23933148.949999992</v>
      </c>
      <c r="AV29" s="1565">
        <f t="shared" si="4"/>
        <v>20589162.300000001</v>
      </c>
      <c r="AW29" s="1565">
        <f t="shared" si="4"/>
        <v>21060440.819999993</v>
      </c>
      <c r="AX29" s="1565">
        <f t="shared" si="4"/>
        <v>13223914.799999999</v>
      </c>
      <c r="AY29" s="1565">
        <f t="shared" si="4"/>
        <v>7802382.7300000004</v>
      </c>
      <c r="AZ29" s="1565">
        <f t="shared" si="4"/>
        <v>5152429.09</v>
      </c>
      <c r="BA29" s="1565">
        <f t="shared" si="4"/>
        <v>150567507.23000002</v>
      </c>
    </row>
    <row r="30" spans="1:53" ht="15" thickBot="1">
      <c r="L30" s="1515"/>
      <c r="M30" s="1515"/>
      <c r="N30" s="1515"/>
      <c r="R30" s="182" t="s">
        <v>978</v>
      </c>
      <c r="S30" s="199">
        <v>292981.37</v>
      </c>
      <c r="T30" s="199">
        <v>292981.37</v>
      </c>
      <c r="U30" s="199">
        <v>292981.40000000002</v>
      </c>
      <c r="V30" s="199">
        <v>229166.67</v>
      </c>
      <c r="W30" s="199">
        <v>229166.67</v>
      </c>
      <c r="X30" s="199">
        <v>229166.67</v>
      </c>
      <c r="Y30" s="199">
        <v>229166.67</v>
      </c>
      <c r="Z30" s="199">
        <v>229166.67</v>
      </c>
      <c r="AA30" s="199">
        <v>229166.67</v>
      </c>
      <c r="AB30" s="199">
        <v>229166.67</v>
      </c>
      <c r="AC30" s="199">
        <v>229166.67</v>
      </c>
      <c r="AD30" s="199">
        <v>229166.67</v>
      </c>
      <c r="AE30" s="1573">
        <v>2941444.1699999995</v>
      </c>
      <c r="AM30" s="1591" t="s">
        <v>763</v>
      </c>
      <c r="AN30" s="1593" t="s">
        <v>1041</v>
      </c>
      <c r="AO30" s="1583">
        <v>4016587.7400000007</v>
      </c>
      <c r="AP30" s="1583">
        <v>3597628.4799999995</v>
      </c>
      <c r="AQ30" s="1583">
        <v>3775216.8100000005</v>
      </c>
      <c r="AR30" s="1583">
        <v>4674363.5900000008</v>
      </c>
      <c r="AS30" s="1583">
        <v>13971809.529999999</v>
      </c>
      <c r="AT30" s="1583">
        <v>27486833.150000006</v>
      </c>
      <c r="AU30" s="1583">
        <v>27920329.57</v>
      </c>
      <c r="AV30" s="1583">
        <v>21827859.5</v>
      </c>
      <c r="AW30" s="1583">
        <v>23698897.84</v>
      </c>
      <c r="AX30" s="1583">
        <v>15108002.949999997</v>
      </c>
      <c r="AY30" s="1583">
        <v>9349449.2899999991</v>
      </c>
      <c r="AZ30" s="1583">
        <v>5226379.9200000009</v>
      </c>
      <c r="BA30" s="1565">
        <f t="shared" ref="BA30:BA37" si="5">SUM(AO30:AZ30)</f>
        <v>160653358.36999997</v>
      </c>
    </row>
    <row r="31" spans="1:53" ht="14.25">
      <c r="I31" s="1529" t="s">
        <v>1208</v>
      </c>
      <c r="J31" s="1525" t="s">
        <v>1211</v>
      </c>
      <c r="L31" s="1515"/>
      <c r="M31" s="1515"/>
      <c r="N31" s="1515"/>
      <c r="AE31" s="1574">
        <f>AE30</f>
        <v>2941444.1699999995</v>
      </c>
      <c r="AM31" s="1594"/>
      <c r="AN31" s="1593" t="s">
        <v>1038</v>
      </c>
      <c r="AO31" s="1583">
        <v>1941161.8900000001</v>
      </c>
      <c r="AP31" s="1583">
        <v>1802327.1800000002</v>
      </c>
      <c r="AQ31" s="1583">
        <v>1881024.5099999998</v>
      </c>
      <c r="AR31" s="1583">
        <v>2492901.5299999998</v>
      </c>
      <c r="AS31" s="1583">
        <v>7165629.6000000015</v>
      </c>
      <c r="AT31" s="1583">
        <v>13745470.26</v>
      </c>
      <c r="AU31" s="1583">
        <v>14303772.699999997</v>
      </c>
      <c r="AV31" s="1583">
        <v>10685152.649999999</v>
      </c>
      <c r="AW31" s="1583">
        <v>12502754.830000002</v>
      </c>
      <c r="AX31" s="1583">
        <v>7688309.1600000011</v>
      </c>
      <c r="AY31" s="1583">
        <v>4732093.01</v>
      </c>
      <c r="AZ31" s="1583">
        <v>2536517.71</v>
      </c>
      <c r="BA31" s="1565">
        <f t="shared" si="5"/>
        <v>81477115.029999986</v>
      </c>
    </row>
    <row r="32" spans="1:53" ht="14.25">
      <c r="I32" s="1529"/>
      <c r="J32" s="1525" t="s">
        <v>1210</v>
      </c>
      <c r="L32" s="1515"/>
      <c r="M32" s="1515"/>
      <c r="N32" s="1515"/>
      <c r="AM32" s="1594"/>
      <c r="AN32" s="1593" t="s">
        <v>1036</v>
      </c>
      <c r="AO32" s="1583">
        <v>29208.83</v>
      </c>
      <c r="AP32" s="1583">
        <v>29276.980000000003</v>
      </c>
      <c r="AQ32" s="1583">
        <v>30259.42</v>
      </c>
      <c r="AR32" s="1583">
        <v>36541.089999999997</v>
      </c>
      <c r="AS32" s="1583">
        <v>117432.92</v>
      </c>
      <c r="AT32" s="1583">
        <v>179958.16999999998</v>
      </c>
      <c r="AU32" s="1583">
        <v>336967.94</v>
      </c>
      <c r="AV32" s="1583">
        <v>163809.08000000002</v>
      </c>
      <c r="AW32" s="1583">
        <v>251624.42</v>
      </c>
      <c r="AX32" s="1583">
        <v>176414.22999999998</v>
      </c>
      <c r="AY32" s="1583">
        <v>140493.90000000002</v>
      </c>
      <c r="AZ32" s="1583">
        <v>110004.89</v>
      </c>
      <c r="BA32" s="1565">
        <f t="shared" si="5"/>
        <v>1601991.8699999999</v>
      </c>
    </row>
    <row r="33" spans="8:53" ht="14.25">
      <c r="I33" s="1529"/>
      <c r="J33" s="1525" t="s">
        <v>1209</v>
      </c>
      <c r="L33" s="1515"/>
      <c r="M33" s="1515"/>
      <c r="N33" s="1515"/>
      <c r="AM33" s="1594"/>
      <c r="AN33" s="1593" t="s">
        <v>1033</v>
      </c>
      <c r="AO33" s="1583">
        <v>137053.62</v>
      </c>
      <c r="AP33" s="1583">
        <v>125886.73999999998</v>
      </c>
      <c r="AQ33" s="1583">
        <v>111801.1</v>
      </c>
      <c r="AR33" s="1583">
        <v>134001.08000000002</v>
      </c>
      <c r="AS33" s="1583">
        <v>230170.87999999998</v>
      </c>
      <c r="AT33" s="1583">
        <v>325414.72000000003</v>
      </c>
      <c r="AU33" s="1583">
        <v>332954.64999999997</v>
      </c>
      <c r="AV33" s="1583">
        <v>265631.41999999993</v>
      </c>
      <c r="AW33" s="1583">
        <v>297106.60000000003</v>
      </c>
      <c r="AX33" s="1583">
        <v>209881.87</v>
      </c>
      <c r="AY33" s="1583">
        <v>164642.19</v>
      </c>
      <c r="AZ33" s="1583">
        <v>130294.20999999999</v>
      </c>
      <c r="BA33" s="1565">
        <f t="shared" si="5"/>
        <v>2464839.0799999996</v>
      </c>
    </row>
    <row r="34" spans="8:53" ht="14.25">
      <c r="L34" s="1515"/>
      <c r="M34" s="1515"/>
      <c r="N34" s="1515"/>
      <c r="AM34" s="1594"/>
      <c r="AN34" s="1593" t="s">
        <v>1031</v>
      </c>
      <c r="AO34" s="1583">
        <v>15666.999999999998</v>
      </c>
      <c r="AP34" s="1583">
        <v>16176.3</v>
      </c>
      <c r="AQ34" s="1583">
        <v>16119.160000000003</v>
      </c>
      <c r="AR34" s="1583">
        <v>21500.000000000004</v>
      </c>
      <c r="AS34" s="1583">
        <v>34084.639999999992</v>
      </c>
      <c r="AT34" s="1583">
        <v>71952.289999999994</v>
      </c>
      <c r="AU34" s="1583">
        <v>77782.679999999993</v>
      </c>
      <c r="AV34" s="1583">
        <v>60766.429999999993</v>
      </c>
      <c r="AW34" s="1583">
        <v>56534.77</v>
      </c>
      <c r="AX34" s="1583">
        <v>47390.130000000005</v>
      </c>
      <c r="AY34" s="1583">
        <v>21034.39</v>
      </c>
      <c r="AZ34" s="1583">
        <v>4564.6799999999994</v>
      </c>
      <c r="BA34" s="1565">
        <f t="shared" si="5"/>
        <v>443572.47000000003</v>
      </c>
    </row>
    <row r="35" spans="8:53" ht="14.25">
      <c r="I35" s="1529" t="s">
        <v>1208</v>
      </c>
      <c r="J35" s="1525" t="s">
        <v>1207</v>
      </c>
      <c r="L35" s="1515"/>
      <c r="M35" s="1515"/>
      <c r="N35" s="1515"/>
      <c r="AM35" s="1594"/>
      <c r="AN35" s="1593" t="s">
        <v>1276</v>
      </c>
      <c r="AO35" s="1583">
        <v>270</v>
      </c>
      <c r="AP35" s="1583">
        <v>135</v>
      </c>
      <c r="AQ35" s="1583">
        <v>120</v>
      </c>
      <c r="AR35" s="1583">
        <v>180</v>
      </c>
      <c r="AS35" s="1583">
        <v>240</v>
      </c>
      <c r="AT35" s="1583">
        <v>270</v>
      </c>
      <c r="AU35" s="1583">
        <v>255</v>
      </c>
      <c r="AV35" s="1583">
        <v>315</v>
      </c>
      <c r="AW35" s="1583">
        <v>420</v>
      </c>
      <c r="AX35" s="1583">
        <v>300</v>
      </c>
      <c r="AY35" s="1583">
        <v>360</v>
      </c>
      <c r="AZ35" s="1583">
        <v>210</v>
      </c>
      <c r="BA35" s="1565">
        <f t="shared" si="5"/>
        <v>3075</v>
      </c>
    </row>
    <row r="36" spans="8:53" ht="14.25">
      <c r="I36" s="1529"/>
      <c r="J36" s="1525" t="s">
        <v>1206</v>
      </c>
      <c r="L36" s="1515"/>
      <c r="M36" s="1515"/>
      <c r="N36" s="1515"/>
      <c r="AH36" s="477">
        <v>92890</v>
      </c>
      <c r="AI36" s="1574">
        <f>AH36*12</f>
        <v>1114680</v>
      </c>
      <c r="AM36" s="1594"/>
      <c r="AN36" s="1593" t="s">
        <v>1028</v>
      </c>
      <c r="AO36" s="1583">
        <v>370924.58999999997</v>
      </c>
      <c r="AP36" s="1583">
        <v>335608.27999999997</v>
      </c>
      <c r="AQ36" s="1583">
        <v>378515.02</v>
      </c>
      <c r="AR36" s="1583">
        <v>348015.34</v>
      </c>
      <c r="AS36" s="1583">
        <v>386231.66000000003</v>
      </c>
      <c r="AT36" s="1583">
        <v>489848.36999999994</v>
      </c>
      <c r="AU36" s="1583">
        <v>502582.81</v>
      </c>
      <c r="AV36" s="1583">
        <v>477260.85</v>
      </c>
      <c r="AW36" s="1583">
        <v>462108.43</v>
      </c>
      <c r="AX36" s="1583">
        <v>443403.24000000005</v>
      </c>
      <c r="AY36" s="1583">
        <v>412468.71000000008</v>
      </c>
      <c r="AZ36" s="1583">
        <v>362507.02</v>
      </c>
      <c r="BA36" s="1565">
        <f t="shared" si="5"/>
        <v>4969474.32</v>
      </c>
    </row>
    <row r="37" spans="8:53" ht="14.25">
      <c r="I37" s="1529"/>
      <c r="L37" s="1515"/>
      <c r="M37" s="1515"/>
      <c r="N37" s="1515"/>
      <c r="AB37" s="1203" t="s">
        <v>1266</v>
      </c>
      <c r="AC37" s="531"/>
      <c r="AD37" s="1575">
        <f>AG7</f>
        <v>3589115.1699999995</v>
      </c>
      <c r="AH37" s="477">
        <v>327645</v>
      </c>
      <c r="AI37" s="1574">
        <f>AH37*12</f>
        <v>3931740</v>
      </c>
      <c r="AM37" s="1594"/>
      <c r="AN37" s="1593" t="s">
        <v>1281</v>
      </c>
      <c r="AO37" s="1583">
        <v>2417.0100000000002</v>
      </c>
      <c r="AP37" s="1583">
        <v>10383.330000000002</v>
      </c>
      <c r="AQ37" s="1583">
        <v>19449.23</v>
      </c>
      <c r="AR37" s="1583">
        <v>27595.41</v>
      </c>
      <c r="AS37" s="1583">
        <v>31638.52</v>
      </c>
      <c r="AT37" s="1583">
        <v>24778.7</v>
      </c>
      <c r="AU37" s="1583">
        <v>24049.469999999998</v>
      </c>
      <c r="AV37" s="1583">
        <v>7035.86</v>
      </c>
      <c r="AW37" s="1583">
        <v>7718.59</v>
      </c>
      <c r="AX37" s="1583">
        <v>18134.3</v>
      </c>
      <c r="AY37" s="1583">
        <v>32185.54</v>
      </c>
      <c r="AZ37" s="1583">
        <v>4700.51</v>
      </c>
      <c r="BA37" s="1565">
        <f t="shared" si="5"/>
        <v>210086.46999999997</v>
      </c>
    </row>
    <row r="38" spans="8:53" ht="14.25">
      <c r="H38" s="1525" t="s">
        <v>1150</v>
      </c>
      <c r="L38" s="1515"/>
      <c r="M38" s="1515"/>
      <c r="N38" s="1515"/>
      <c r="AM38" s="1594"/>
      <c r="AN38" s="1593">
        <v>493000</v>
      </c>
      <c r="AO38" s="1583">
        <v>-208.83</v>
      </c>
      <c r="AP38" s="1583">
        <v>0</v>
      </c>
      <c r="AQ38" s="1583">
        <v>0</v>
      </c>
      <c r="AR38" s="1583">
        <v>0</v>
      </c>
      <c r="AS38" s="1583">
        <v>0</v>
      </c>
      <c r="AT38" s="1583">
        <v>0</v>
      </c>
      <c r="AU38" s="1583">
        <v>0</v>
      </c>
      <c r="AV38" s="1583">
        <v>0</v>
      </c>
      <c r="AW38" s="1583">
        <v>0</v>
      </c>
      <c r="AX38" s="1583">
        <v>0</v>
      </c>
      <c r="AY38" s="1583">
        <v>0</v>
      </c>
      <c r="AZ38" s="1583">
        <v>0</v>
      </c>
      <c r="BA38" s="1565"/>
    </row>
    <row r="39" spans="8:53" ht="14.25">
      <c r="H39" s="1528">
        <v>1</v>
      </c>
      <c r="I39" s="1525" t="s">
        <v>1205</v>
      </c>
      <c r="AB39" s="890" t="s">
        <v>1267</v>
      </c>
      <c r="AD39" s="1576">
        <f>AE23</f>
        <v>647671</v>
      </c>
      <c r="AM39" s="1594"/>
      <c r="AN39" s="1593" t="s">
        <v>1247</v>
      </c>
      <c r="AO39" s="1583">
        <v>-231796</v>
      </c>
      <c r="AP39" s="1583">
        <v>-158046</v>
      </c>
      <c r="AQ39" s="1583">
        <v>453631</v>
      </c>
      <c r="AR39" s="1583">
        <v>2128772</v>
      </c>
      <c r="AS39" s="1583">
        <v>6579809</v>
      </c>
      <c r="AT39" s="1583">
        <v>1121722</v>
      </c>
      <c r="AU39" s="1583">
        <v>-511612.80000000075</v>
      </c>
      <c r="AV39" s="1583">
        <v>1586008.8000000007</v>
      </c>
      <c r="AW39" s="1583">
        <v>-4979878</v>
      </c>
      <c r="AX39" s="1583">
        <v>-2325026</v>
      </c>
      <c r="AY39" s="1583">
        <v>-3303111</v>
      </c>
      <c r="AZ39" s="1583">
        <v>-506660</v>
      </c>
      <c r="BA39" s="1565">
        <f>SUM(AO39:AZ39)</f>
        <v>-146187</v>
      </c>
    </row>
    <row r="40" spans="8:53" ht="14.25">
      <c r="H40" s="1528"/>
      <c r="AB40" s="890" t="s">
        <v>1268</v>
      </c>
      <c r="AD40" s="1116">
        <f>AE31</f>
        <v>2941444.1699999995</v>
      </c>
      <c r="AM40" s="1594"/>
      <c r="AN40" s="1593" t="s">
        <v>1250</v>
      </c>
      <c r="AO40" s="1583">
        <v>-117615</v>
      </c>
      <c r="AP40" s="1583">
        <v>-7877</v>
      </c>
      <c r="AQ40" s="1583">
        <v>184991</v>
      </c>
      <c r="AR40" s="1583">
        <v>1159466</v>
      </c>
      <c r="AS40" s="1583">
        <v>2585179</v>
      </c>
      <c r="AT40" s="1583">
        <v>386575</v>
      </c>
      <c r="AU40" s="1583">
        <v>127734.95999999996</v>
      </c>
      <c r="AV40" s="1583">
        <v>568591.04</v>
      </c>
      <c r="AW40" s="1583">
        <v>-1991622</v>
      </c>
      <c r="AX40" s="1583">
        <v>-1196635</v>
      </c>
      <c r="AY40" s="1583">
        <v>-1536642</v>
      </c>
      <c r="AZ40" s="1583">
        <v>-76978</v>
      </c>
      <c r="BA40" s="1565">
        <f>SUM(AO40:AZ40)</f>
        <v>85168</v>
      </c>
    </row>
    <row r="41" spans="8:53" ht="14.25">
      <c r="I41" s="1527"/>
      <c r="J41" s="1526"/>
      <c r="K41" s="1526"/>
      <c r="L41" s="1526"/>
      <c r="M41" s="1526"/>
      <c r="N41" s="1526"/>
      <c r="AD41" s="1577">
        <f>SUM(AD39:AD40)</f>
        <v>3589115.1699999995</v>
      </c>
      <c r="AM41" s="1594"/>
      <c r="AN41" s="1593" t="s">
        <v>1277</v>
      </c>
      <c r="AO41" s="1583">
        <v>-39287</v>
      </c>
      <c r="AP41" s="1583">
        <v>1251</v>
      </c>
      <c r="AQ41" s="1583">
        <v>9746</v>
      </c>
      <c r="AR41" s="1583">
        <v>37940</v>
      </c>
      <c r="AS41" s="1583">
        <v>127819</v>
      </c>
      <c r="AT41" s="1583">
        <v>10466</v>
      </c>
      <c r="AU41" s="1583">
        <v>-14934</v>
      </c>
      <c r="AV41" s="1583">
        <v>-9080</v>
      </c>
      <c r="AW41" s="1583">
        <v>-10388</v>
      </c>
      <c r="AX41" s="1583">
        <v>-54449</v>
      </c>
      <c r="AY41" s="1583">
        <v>-62295</v>
      </c>
      <c r="AZ41" s="1583">
        <v>-35874</v>
      </c>
      <c r="BA41" s="1565">
        <f>SUM(AO41:AZ41)</f>
        <v>-39085</v>
      </c>
    </row>
    <row r="42" spans="8:53" ht="14.25">
      <c r="I42" s="1526"/>
      <c r="J42" s="1526"/>
      <c r="K42" s="1526"/>
      <c r="L42" s="1526"/>
      <c r="M42" s="1526"/>
      <c r="N42" s="1526"/>
      <c r="AM42" s="1595"/>
      <c r="AN42" s="1586" t="s">
        <v>1238</v>
      </c>
      <c r="AO42" s="1565">
        <f t="shared" ref="AO42:BA42" si="6">SUM(AO30:AO41)</f>
        <v>6124383.8500000006</v>
      </c>
      <c r="AP42" s="1565">
        <f t="shared" si="6"/>
        <v>5752750.290000001</v>
      </c>
      <c r="AQ42" s="1565">
        <f t="shared" si="6"/>
        <v>6860873.25</v>
      </c>
      <c r="AR42" s="1565">
        <f t="shared" si="6"/>
        <v>11061276.040000001</v>
      </c>
      <c r="AS42" s="1565">
        <f t="shared" si="6"/>
        <v>31230044.750000004</v>
      </c>
      <c r="AT42" s="1565">
        <f t="shared" si="6"/>
        <v>43843288.660000004</v>
      </c>
      <c r="AU42" s="1565">
        <f t="shared" si="6"/>
        <v>43099882.979999997</v>
      </c>
      <c r="AV42" s="1565">
        <f t="shared" si="6"/>
        <v>35633350.630000003</v>
      </c>
      <c r="AW42" s="1565">
        <f t="shared" si="6"/>
        <v>30295277.480000012</v>
      </c>
      <c r="AX42" s="1565">
        <f t="shared" si="6"/>
        <v>20115725.879999999</v>
      </c>
      <c r="AY42" s="1565">
        <f t="shared" si="6"/>
        <v>9950679.0299999993</v>
      </c>
      <c r="AZ42" s="1565">
        <f t="shared" si="6"/>
        <v>7755666.9399999995</v>
      </c>
      <c r="BA42" s="1565">
        <f t="shared" si="6"/>
        <v>251723408.60999998</v>
      </c>
    </row>
    <row r="43" spans="8:53">
      <c r="AB43" s="890" t="s">
        <v>1269</v>
      </c>
      <c r="AC43" s="1082">
        <v>921981</v>
      </c>
    </row>
    <row r="44" spans="8:53" ht="13.5" thickBot="1">
      <c r="AB44" s="890" t="s">
        <v>1268</v>
      </c>
      <c r="AC44" s="1116">
        <f>AD40</f>
        <v>2941444.1699999995</v>
      </c>
      <c r="BA44" s="1596">
        <f>SUM(BA42,BA29,BA14)</f>
        <v>508682485.86000001</v>
      </c>
    </row>
    <row r="45" spans="8:53" ht="13.5" thickBot="1">
      <c r="AD45" s="1578">
        <f>AC43+AC44</f>
        <v>3863425.1699999995</v>
      </c>
    </row>
    <row r="46" spans="8:53">
      <c r="AB46" s="890"/>
      <c r="AD46" s="1576"/>
    </row>
    <row r="47" spans="8:53" ht="13.5" thickBot="1">
      <c r="AB47" s="890"/>
      <c r="AC47" s="890" t="s">
        <v>1270</v>
      </c>
      <c r="AD47" s="1579">
        <f>AD45-AD41</f>
        <v>274310</v>
      </c>
    </row>
    <row r="48" spans="8:53" ht="13.5" thickTop="1"/>
    <row r="51" spans="18:30" ht="15">
      <c r="R51" s="1580" t="s">
        <v>1271</v>
      </c>
    </row>
    <row r="52" spans="18:30" ht="15">
      <c r="R52" s="3806" t="s">
        <v>1272</v>
      </c>
      <c r="S52" s="3806"/>
      <c r="T52" s="3806"/>
      <c r="U52" s="3806"/>
      <c r="V52" s="3806"/>
      <c r="W52" s="3806"/>
      <c r="X52" s="3806"/>
      <c r="Y52" s="3806"/>
      <c r="Z52" s="3806"/>
      <c r="AA52" s="3806"/>
      <c r="AB52" s="3806"/>
      <c r="AC52" s="3806"/>
      <c r="AD52" s="3806"/>
    </row>
    <row r="53" spans="18:30" ht="15.75" thickBot="1">
      <c r="R53" s="1580" t="s">
        <v>1273</v>
      </c>
    </row>
    <row r="54" spans="18:30" ht="15.75" thickBot="1">
      <c r="R54" s="1581" t="s">
        <v>1274</v>
      </c>
    </row>
    <row r="55" spans="18:30">
      <c r="R55" s="477" t="s">
        <v>1275</v>
      </c>
    </row>
  </sheetData>
  <mergeCells count="1">
    <mergeCell ref="R52:AD5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D6BC-2237-408A-A10C-7FD0302125D1}">
  <dimension ref="A1:AP39"/>
  <sheetViews>
    <sheetView workbookViewId="0">
      <selection sqref="A1:F1"/>
    </sheetView>
  </sheetViews>
  <sheetFormatPr defaultRowHeight="12.75"/>
  <cols>
    <col min="1" max="1" width="32.42578125" style="477" customWidth="1"/>
    <col min="2" max="2" width="8.85546875" style="477"/>
    <col min="3" max="3" width="9.28515625" style="477" bestFit="1" customWidth="1"/>
    <col min="4" max="4" width="10.7109375" style="477" bestFit="1" customWidth="1"/>
    <col min="5" max="6" width="8.85546875" style="477"/>
    <col min="8" max="8" width="1.7109375" style="1008" customWidth="1"/>
    <col min="9" max="9" width="8.85546875" style="477"/>
    <col min="10" max="10" width="20.140625" style="477" customWidth="1"/>
    <col min="11" max="11" width="9.28515625" style="477" bestFit="1" customWidth="1"/>
    <col min="12" max="17" width="8.85546875" style="477"/>
    <col min="18" max="18" width="1.7109375" style="1008" customWidth="1"/>
    <col min="19" max="19" width="8.85546875" style="477"/>
    <col min="20" max="20" width="10" style="477" customWidth="1"/>
    <col min="21" max="21" width="12.85546875" style="477" customWidth="1"/>
    <col min="22" max="22" width="11.85546875" style="477" bestFit="1" customWidth="1"/>
    <col min="23" max="23" width="13" style="477" customWidth="1"/>
    <col min="24" max="24" width="1.28515625" style="477" customWidth="1"/>
    <col min="25" max="25" width="10.140625" style="477" customWidth="1"/>
    <col min="26" max="26" width="10.7109375" style="477" customWidth="1"/>
    <col min="27" max="27" width="8.85546875" style="477"/>
    <col min="28" max="28" width="8.85546875" style="477" bestFit="1"/>
    <col min="29" max="29" width="11.140625" style="477" bestFit="1" customWidth="1"/>
    <col min="30" max="30" width="12.5703125" style="477" customWidth="1"/>
    <col min="31" max="31" width="8.85546875" style="477"/>
    <col min="32" max="32" width="9.28515625" style="477" bestFit="1" customWidth="1"/>
    <col min="33" max="33" width="8.85546875" style="477"/>
    <col min="34" max="34" width="1.7109375" style="1008" customWidth="1"/>
    <col min="35" max="35" width="8.85546875" style="477"/>
    <col min="36" max="36" width="22.7109375" style="477" bestFit="1" customWidth="1"/>
    <col min="37" max="37" width="16.140625" style="477" bestFit="1" customWidth="1"/>
    <col min="38" max="38" width="11.5703125" style="477" bestFit="1" customWidth="1"/>
    <col min="39" max="39" width="12.42578125" style="477" customWidth="1"/>
    <col min="40" max="40" width="10.7109375" style="477" customWidth="1"/>
    <col min="41" max="41" width="9.85546875" style="477" customWidth="1"/>
    <col min="42" max="42" width="11.7109375" style="477" customWidth="1"/>
  </cols>
  <sheetData>
    <row r="1" spans="1:42" ht="13.5" thickBot="1">
      <c r="A1" s="3807" t="s">
        <v>1204</v>
      </c>
      <c r="B1" s="3807"/>
      <c r="C1" s="3807"/>
      <c r="D1" s="3807"/>
      <c r="E1" s="3807"/>
      <c r="F1" s="3807"/>
      <c r="J1" s="3811" t="s">
        <v>1282</v>
      </c>
      <c r="K1" s="3811"/>
      <c r="L1" s="3811"/>
      <c r="M1" s="3811"/>
      <c r="N1" s="3811"/>
      <c r="O1" s="3811"/>
      <c r="P1" s="3811"/>
    </row>
    <row r="2" spans="1:42" ht="13.5" thickBot="1">
      <c r="A2" s="3807" t="s">
        <v>1314</v>
      </c>
      <c r="B2" s="3807"/>
      <c r="C2" s="3807"/>
      <c r="D2" s="3807"/>
      <c r="E2" s="3807"/>
      <c r="F2" s="3807"/>
      <c r="J2" s="3811" t="s">
        <v>1283</v>
      </c>
      <c r="K2" s="3811"/>
      <c r="L2" s="3811"/>
      <c r="M2" s="3811"/>
      <c r="N2" s="3811"/>
      <c r="O2" s="3811"/>
      <c r="P2" s="3811"/>
      <c r="U2" s="3812" t="s">
        <v>1284</v>
      </c>
      <c r="V2" s="3813"/>
      <c r="W2" s="3814"/>
      <c r="Y2" s="3812" t="s">
        <v>1285</v>
      </c>
      <c r="Z2" s="3813"/>
      <c r="AA2" s="3813"/>
      <c r="AB2" s="3813"/>
      <c r="AC2" s="3813"/>
      <c r="AD2" s="3814"/>
    </row>
    <row r="3" spans="1:42">
      <c r="A3" s="3807" t="s">
        <v>1283</v>
      </c>
      <c r="B3" s="3807"/>
      <c r="C3" s="3807"/>
      <c r="D3" s="3807"/>
      <c r="E3" s="3807"/>
      <c r="F3" s="3807"/>
      <c r="J3" s="3811" t="s">
        <v>1060</v>
      </c>
      <c r="K3" s="3811"/>
      <c r="L3" s="3811"/>
      <c r="M3" s="3811"/>
      <c r="N3" s="3811"/>
      <c r="O3" s="3811"/>
      <c r="P3" s="3811"/>
      <c r="T3" s="531"/>
      <c r="U3" s="1117">
        <v>228200</v>
      </c>
      <c r="V3" s="1117">
        <v>228200</v>
      </c>
      <c r="W3" s="1117">
        <v>228200</v>
      </c>
      <c r="X3" s="531"/>
      <c r="Y3" s="1117">
        <v>228210</v>
      </c>
      <c r="Z3" s="1117">
        <v>228210</v>
      </c>
      <c r="AA3" s="1117">
        <v>228210</v>
      </c>
      <c r="AB3" s="1117">
        <v>228210</v>
      </c>
      <c r="AC3" s="1117">
        <v>228210</v>
      </c>
      <c r="AD3" s="1117">
        <v>228210</v>
      </c>
      <c r="AM3" s="477" t="s">
        <v>1057</v>
      </c>
      <c r="AN3" s="987" t="s">
        <v>1058</v>
      </c>
      <c r="AO3" s="987"/>
      <c r="AP3" s="987"/>
    </row>
    <row r="4" spans="1:42">
      <c r="A4" s="3807" t="s">
        <v>1313</v>
      </c>
      <c r="B4" s="3807"/>
      <c r="C4" s="3807"/>
      <c r="D4" s="3807"/>
      <c r="E4" s="3807"/>
      <c r="F4" s="3807"/>
      <c r="J4" s="1597"/>
      <c r="K4" s="1598"/>
      <c r="L4" s="1598"/>
      <c r="M4" s="1598"/>
      <c r="N4" s="1598"/>
      <c r="O4" s="1598"/>
      <c r="P4" s="1598"/>
      <c r="T4" s="531"/>
      <c r="U4" s="1117" t="s">
        <v>681</v>
      </c>
      <c r="V4" s="1117" t="s">
        <v>680</v>
      </c>
      <c r="W4" s="1117" t="s">
        <v>680</v>
      </c>
      <c r="X4" s="531"/>
      <c r="Y4" s="1117" t="s">
        <v>681</v>
      </c>
      <c r="Z4" s="1117" t="s">
        <v>681</v>
      </c>
      <c r="AA4" s="1117" t="s">
        <v>681</v>
      </c>
      <c r="AB4" s="1117" t="s">
        <v>680</v>
      </c>
      <c r="AC4" s="1117" t="s">
        <v>680</v>
      </c>
      <c r="AD4" s="1117" t="s">
        <v>680</v>
      </c>
      <c r="AM4" s="477" t="s">
        <v>677</v>
      </c>
      <c r="AN4" s="1599"/>
      <c r="AO4" s="1599" t="s">
        <v>676</v>
      </c>
      <c r="AP4" s="1599" t="s">
        <v>978</v>
      </c>
    </row>
    <row r="5" spans="1:42" ht="15">
      <c r="A5" s="3808" t="s">
        <v>1060</v>
      </c>
      <c r="B5" s="3808"/>
      <c r="C5" s="3808"/>
      <c r="D5" s="3808"/>
      <c r="E5" s="3808"/>
      <c r="F5" s="3808"/>
      <c r="J5" s="3809" t="s">
        <v>1286</v>
      </c>
      <c r="K5" s="3810"/>
      <c r="L5" s="3810"/>
      <c r="M5" s="3810"/>
      <c r="N5" s="3810"/>
      <c r="O5" s="3810"/>
      <c r="P5" s="3810"/>
      <c r="T5" s="1600" t="s">
        <v>1103</v>
      </c>
      <c r="U5" s="1117" t="s">
        <v>677</v>
      </c>
      <c r="V5" s="1117" t="s">
        <v>677</v>
      </c>
      <c r="W5" s="1117" t="s">
        <v>676</v>
      </c>
      <c r="X5" s="531"/>
      <c r="Y5" s="1117" t="s">
        <v>683</v>
      </c>
      <c r="Z5" s="1117" t="s">
        <v>763</v>
      </c>
      <c r="AA5" s="1117" t="s">
        <v>1067</v>
      </c>
      <c r="AB5" s="1117" t="s">
        <v>683</v>
      </c>
      <c r="AC5" s="1117" t="s">
        <v>763</v>
      </c>
      <c r="AD5" s="1117" t="s">
        <v>676</v>
      </c>
      <c r="AJ5" s="477" t="s">
        <v>1287</v>
      </c>
      <c r="AK5" s="950" t="s">
        <v>679</v>
      </c>
      <c r="AL5" s="950" t="s">
        <v>1288</v>
      </c>
      <c r="AM5" s="950" t="s">
        <v>681</v>
      </c>
      <c r="AN5" s="1601" t="s">
        <v>680</v>
      </c>
      <c r="AO5" s="1601" t="s">
        <v>680</v>
      </c>
      <c r="AP5" s="1601"/>
    </row>
    <row r="6" spans="1:42">
      <c r="J6" s="1602"/>
      <c r="K6" s="1602"/>
      <c r="L6" s="1602"/>
      <c r="M6" s="1602"/>
      <c r="N6" s="1602"/>
      <c r="O6" s="1602"/>
      <c r="P6" s="1602"/>
      <c r="T6" s="1603">
        <v>202207</v>
      </c>
      <c r="U6" s="1604">
        <v>-7348.21</v>
      </c>
      <c r="V6" s="1604"/>
      <c r="W6" s="1604"/>
      <c r="X6" s="531"/>
      <c r="Y6" s="1605">
        <v>1894</v>
      </c>
      <c r="Z6" s="1605">
        <v>5454.2099999999991</v>
      </c>
      <c r="AA6" s="1605"/>
      <c r="AB6" s="1605"/>
      <c r="AC6" s="1605"/>
      <c r="AD6" s="1605"/>
      <c r="AF6" s="888">
        <f t="shared" ref="AF6:AF19" si="0">SUM(U6:AD6)</f>
        <v>0</v>
      </c>
      <c r="AJ6" s="477" t="s">
        <v>1289</v>
      </c>
      <c r="AK6" s="182" t="s">
        <v>1126</v>
      </c>
      <c r="AL6" s="477" t="s">
        <v>1290</v>
      </c>
      <c r="AM6" s="1082">
        <v>7348.21</v>
      </c>
      <c r="AN6" s="1606"/>
      <c r="AO6" s="1606"/>
      <c r="AP6" s="1606">
        <f t="shared" ref="AP6:AP11" si="1">SUM(AM6:AO6)</f>
        <v>7348.21</v>
      </c>
    </row>
    <row r="7" spans="1:42">
      <c r="A7" s="1639"/>
      <c r="B7" s="1639"/>
      <c r="C7" s="3807"/>
      <c r="D7" s="3807"/>
      <c r="E7" s="3807"/>
      <c r="F7" s="1639"/>
      <c r="J7" s="1598"/>
      <c r="K7" s="1598"/>
      <c r="L7" s="1598"/>
      <c r="M7" s="1607"/>
      <c r="N7" s="1598"/>
      <c r="O7" s="1607"/>
      <c r="P7" s="1607"/>
      <c r="T7" s="1603">
        <v>202208</v>
      </c>
      <c r="U7" s="1604">
        <v>-18013.23</v>
      </c>
      <c r="V7" s="1604"/>
      <c r="W7" s="1604"/>
      <c r="X7" s="531"/>
      <c r="Y7" s="1605"/>
      <c r="Z7" s="1605">
        <v>18013.23</v>
      </c>
      <c r="AA7" s="1605"/>
      <c r="AB7" s="1605"/>
      <c r="AC7" s="1605"/>
      <c r="AD7" s="1605"/>
      <c r="AF7" s="888">
        <f t="shared" si="0"/>
        <v>0</v>
      </c>
      <c r="AK7" s="182" t="s">
        <v>1253</v>
      </c>
      <c r="AL7" s="477" t="s">
        <v>1290</v>
      </c>
      <c r="AM7" s="1082">
        <v>18013.23</v>
      </c>
      <c r="AN7" s="1606"/>
      <c r="AO7" s="1606"/>
      <c r="AP7" s="1606">
        <f t="shared" si="1"/>
        <v>18013.23</v>
      </c>
    </row>
    <row r="8" spans="1:42">
      <c r="A8" s="1639"/>
      <c r="B8" s="1639"/>
      <c r="C8" s="1641"/>
      <c r="D8" s="1641"/>
      <c r="E8" s="1641"/>
      <c r="F8" s="1644"/>
      <c r="J8" s="1598"/>
      <c r="K8" s="1608" t="s">
        <v>729</v>
      </c>
      <c r="L8" s="1609"/>
      <c r="M8" s="1610"/>
      <c r="N8" s="1608" t="s">
        <v>787</v>
      </c>
      <c r="O8" s="1609"/>
      <c r="P8" s="1610"/>
      <c r="T8" s="1603">
        <v>202209</v>
      </c>
      <c r="U8" s="1604">
        <v>-9945.92</v>
      </c>
      <c r="V8" s="1604">
        <v>-15338.83</v>
      </c>
      <c r="W8" s="1604">
        <v>-1582</v>
      </c>
      <c r="X8" s="531"/>
      <c r="Y8" s="1605">
        <v>8800.57</v>
      </c>
      <c r="Z8" s="1605">
        <v>1145.3500000000001</v>
      </c>
      <c r="AA8" s="1605"/>
      <c r="AB8" s="1605">
        <v>1918.98</v>
      </c>
      <c r="AC8" s="1605">
        <v>13419.85</v>
      </c>
      <c r="AD8" s="1605">
        <v>1582</v>
      </c>
      <c r="AF8" s="888">
        <f t="shared" si="0"/>
        <v>-1.8189894035458565E-12</v>
      </c>
      <c r="AK8" s="182" t="s">
        <v>1254</v>
      </c>
      <c r="AL8" s="477" t="s">
        <v>1290</v>
      </c>
      <c r="AM8" s="1082">
        <v>9945.92</v>
      </c>
      <c r="AN8" s="1606">
        <v>15338.83</v>
      </c>
      <c r="AO8" s="1606">
        <v>1582</v>
      </c>
      <c r="AP8" s="1606">
        <f t="shared" si="1"/>
        <v>26866.75</v>
      </c>
    </row>
    <row r="9" spans="1:42">
      <c r="A9" s="1641"/>
      <c r="B9" s="1641"/>
      <c r="C9" s="1653" t="s">
        <v>1312</v>
      </c>
      <c r="D9" s="1653" t="s">
        <v>80</v>
      </c>
      <c r="E9" s="1652" t="s">
        <v>81</v>
      </c>
      <c r="F9" s="1644"/>
      <c r="J9" s="1611" t="s">
        <v>1291</v>
      </c>
      <c r="K9" s="1612" t="s">
        <v>80</v>
      </c>
      <c r="L9" s="1613" t="s">
        <v>81</v>
      </c>
      <c r="M9" s="1614" t="s">
        <v>24</v>
      </c>
      <c r="N9" s="1612" t="s">
        <v>80</v>
      </c>
      <c r="O9" s="1613" t="s">
        <v>81</v>
      </c>
      <c r="P9" s="1614" t="s">
        <v>24</v>
      </c>
      <c r="T9" s="1603">
        <v>202210</v>
      </c>
      <c r="U9" s="1604">
        <v>-3424.23</v>
      </c>
      <c r="V9" s="1604">
        <v>-3372.8</v>
      </c>
      <c r="W9" s="1604">
        <v>-734</v>
      </c>
      <c r="X9" s="531"/>
      <c r="Y9" s="1605">
        <v>2915.62</v>
      </c>
      <c r="Z9" s="1605">
        <v>508.61</v>
      </c>
      <c r="AA9" s="1605"/>
      <c r="AB9" s="1605"/>
      <c r="AC9" s="1605">
        <v>3372.8</v>
      </c>
      <c r="AD9" s="1605">
        <v>734</v>
      </c>
      <c r="AF9" s="888">
        <f t="shared" si="0"/>
        <v>-9.0949470177292824E-13</v>
      </c>
      <c r="AK9" s="182" t="s">
        <v>1255</v>
      </c>
      <c r="AL9" s="477" t="s">
        <v>1290</v>
      </c>
      <c r="AM9" s="1082">
        <v>3424.23</v>
      </c>
      <c r="AN9" s="1606">
        <v>3372.8</v>
      </c>
      <c r="AO9" s="1606">
        <v>734</v>
      </c>
      <c r="AP9" s="1606">
        <f t="shared" si="1"/>
        <v>7531.0300000000007</v>
      </c>
    </row>
    <row r="10" spans="1:42">
      <c r="A10" s="1641" t="s">
        <v>1311</v>
      </c>
      <c r="B10" s="1641"/>
      <c r="C10" s="1639"/>
      <c r="D10" s="1639"/>
      <c r="E10" s="1639"/>
      <c r="F10" s="1644"/>
      <c r="J10" s="1615"/>
      <c r="K10" s="1616"/>
      <c r="L10" s="1616"/>
      <c r="M10" s="1616"/>
      <c r="N10" s="1598"/>
      <c r="O10" s="1598"/>
      <c r="P10" s="1616"/>
      <c r="T10" s="1603">
        <v>202211</v>
      </c>
      <c r="U10" s="1604">
        <v>-17978.5</v>
      </c>
      <c r="V10" s="1604"/>
      <c r="W10" s="1604">
        <v>-3850.1</v>
      </c>
      <c r="X10" s="531"/>
      <c r="Y10" s="1605"/>
      <c r="Z10" s="1605">
        <v>17978.5</v>
      </c>
      <c r="AA10" s="1605"/>
      <c r="AB10" s="1605"/>
      <c r="AC10" s="1605"/>
      <c r="AD10" s="1605">
        <v>3850.1</v>
      </c>
      <c r="AF10" s="888">
        <f t="shared" si="0"/>
        <v>0</v>
      </c>
      <c r="AK10" s="182" t="s">
        <v>1256</v>
      </c>
      <c r="AL10" s="477" t="s">
        <v>1290</v>
      </c>
      <c r="AM10" s="1082">
        <v>17978.5</v>
      </c>
      <c r="AN10" s="1606"/>
      <c r="AO10" s="1606">
        <v>3850.1</v>
      </c>
      <c r="AP10" s="1606">
        <f t="shared" si="1"/>
        <v>21828.6</v>
      </c>
    </row>
    <row r="11" spans="1:42">
      <c r="A11" s="1641" t="s">
        <v>1310</v>
      </c>
      <c r="B11" s="1641"/>
      <c r="C11" s="1645">
        <f>D11+E11</f>
        <v>0</v>
      </c>
      <c r="D11" s="1651">
        <v>0</v>
      </c>
      <c r="E11" s="1651">
        <v>0</v>
      </c>
      <c r="F11" s="1644"/>
      <c r="J11" s="1611"/>
      <c r="K11" s="1616"/>
      <c r="L11" s="1616"/>
      <c r="M11" s="1616"/>
      <c r="N11" s="1616"/>
      <c r="O11" s="1616"/>
      <c r="P11" s="1616"/>
      <c r="T11" s="1603">
        <v>202212</v>
      </c>
      <c r="U11" s="1604">
        <v>-447002.99</v>
      </c>
      <c r="V11" s="1604"/>
      <c r="W11" s="1604"/>
      <c r="X11" s="531"/>
      <c r="Y11" s="1605">
        <v>9502.99</v>
      </c>
      <c r="Z11" s="1605">
        <v>12500</v>
      </c>
      <c r="AA11" s="1605"/>
      <c r="AB11" s="1605"/>
      <c r="AC11" s="1605"/>
      <c r="AD11" s="1605"/>
      <c r="AF11" s="888">
        <f t="shared" si="0"/>
        <v>-425000</v>
      </c>
      <c r="AK11" s="182" t="s">
        <v>1257</v>
      </c>
      <c r="AL11" s="477" t="s">
        <v>1290</v>
      </c>
      <c r="AM11" s="1082">
        <v>447002.99</v>
      </c>
      <c r="AN11" s="1606"/>
      <c r="AO11" s="1606"/>
      <c r="AP11" s="1606">
        <f t="shared" si="1"/>
        <v>447002.99</v>
      </c>
    </row>
    <row r="12" spans="1:42">
      <c r="A12" s="1641" t="s">
        <v>1309</v>
      </c>
      <c r="B12" s="1641"/>
      <c r="C12" s="1645">
        <f>-V21</f>
        <v>77470.67</v>
      </c>
      <c r="D12" s="1645">
        <f>C12*D22</f>
        <v>55582.1068982</v>
      </c>
      <c r="E12" s="1645">
        <f>C12*E22</f>
        <v>21888.563101800002</v>
      </c>
      <c r="F12" s="1644"/>
      <c r="J12" s="1611" t="s">
        <v>1292</v>
      </c>
      <c r="K12" s="1616">
        <v>155700.53</v>
      </c>
      <c r="L12" s="1616">
        <v>12099.73</v>
      </c>
      <c r="M12" s="1616">
        <f>SUM(K12:L12)</f>
        <v>167800.26</v>
      </c>
      <c r="N12" s="1616">
        <v>9034.76</v>
      </c>
      <c r="O12" s="1616">
        <v>11290.46</v>
      </c>
      <c r="P12" s="1616">
        <f>SUM(N12:O12)</f>
        <v>20325.22</v>
      </c>
      <c r="T12" s="1617" t="s">
        <v>1160</v>
      </c>
      <c r="U12" s="1618">
        <f t="shared" ref="U12:AD12" si="2">SUM(U6:U11)</f>
        <v>-503713.08</v>
      </c>
      <c r="V12" s="1618">
        <f t="shared" si="2"/>
        <v>-18711.63</v>
      </c>
      <c r="W12" s="1618">
        <f t="shared" si="2"/>
        <v>-6166.1</v>
      </c>
      <c r="X12" s="1618">
        <f t="shared" si="2"/>
        <v>0</v>
      </c>
      <c r="Y12" s="1618">
        <f t="shared" si="2"/>
        <v>23113.18</v>
      </c>
      <c r="Z12" s="1618">
        <f t="shared" si="2"/>
        <v>55599.899999999994</v>
      </c>
      <c r="AA12" s="1618">
        <f t="shared" si="2"/>
        <v>0</v>
      </c>
      <c r="AB12" s="1618">
        <f t="shared" si="2"/>
        <v>1918.98</v>
      </c>
      <c r="AC12" s="1618">
        <f t="shared" si="2"/>
        <v>16792.650000000001</v>
      </c>
      <c r="AD12" s="1618">
        <f t="shared" si="2"/>
        <v>6166.1</v>
      </c>
      <c r="AF12" s="1619">
        <f t="shared" si="0"/>
        <v>-425000.00000000012</v>
      </c>
      <c r="AK12" s="1620" t="s">
        <v>1131</v>
      </c>
      <c r="AL12" s="1621"/>
      <c r="AM12" s="1622">
        <f>SUM(AM6:AM11)</f>
        <v>503713.08</v>
      </c>
      <c r="AN12" s="1622">
        <f>SUM(AN6:AN11)</f>
        <v>18711.63</v>
      </c>
      <c r="AO12" s="1622">
        <f>SUM(AO6:AO11)</f>
        <v>6166.1</v>
      </c>
      <c r="AP12" s="1622">
        <f>SUM(AP6:AP11)</f>
        <v>528590.81000000006</v>
      </c>
    </row>
    <row r="13" spans="1:42">
      <c r="A13" s="1641" t="s">
        <v>1308</v>
      </c>
      <c r="B13" s="1641"/>
      <c r="C13" s="1650">
        <f>SUM(C11:C12)</f>
        <v>77470.67</v>
      </c>
      <c r="D13" s="1650">
        <f>SUM(D11:D12)</f>
        <v>55582.1068982</v>
      </c>
      <c r="E13" s="1650">
        <f>SUM(E11:E12)</f>
        <v>21888.563101800002</v>
      </c>
      <c r="F13" s="1644"/>
      <c r="J13" s="1611" t="s">
        <v>1293</v>
      </c>
      <c r="K13" s="1616">
        <v>129573.08999999997</v>
      </c>
      <c r="L13" s="1616">
        <v>74006.66</v>
      </c>
      <c r="M13" s="1616">
        <f>SUM(K13:L13)</f>
        <v>203579.74999999997</v>
      </c>
      <c r="N13" s="1616">
        <v>9318.35</v>
      </c>
      <c r="O13" s="1616">
        <v>11352.009999999998</v>
      </c>
      <c r="P13" s="1616">
        <f>SUM(N13:O13)</f>
        <v>20670.36</v>
      </c>
      <c r="T13" s="986" t="s">
        <v>1053</v>
      </c>
      <c r="U13" s="1623">
        <v>-286801.40999999997</v>
      </c>
      <c r="V13" s="1623">
        <v>-52666.45</v>
      </c>
      <c r="W13" s="1623"/>
      <c r="Y13" s="1199">
        <v>14035.11</v>
      </c>
      <c r="Z13" s="1199">
        <v>97766.3</v>
      </c>
      <c r="AA13" s="1199"/>
      <c r="AB13" s="1199">
        <v>25438.46</v>
      </c>
      <c r="AC13" s="1199">
        <v>27227.989999999998</v>
      </c>
      <c r="AD13" s="1199"/>
      <c r="AF13" s="888">
        <f t="shared" si="0"/>
        <v>-175000.00000000003</v>
      </c>
      <c r="AK13" s="1624" t="s">
        <v>1053</v>
      </c>
      <c r="AL13" s="477" t="s">
        <v>1290</v>
      </c>
      <c r="AM13" s="1606">
        <v>286801.40999999997</v>
      </c>
      <c r="AN13" s="1606">
        <v>52666.45</v>
      </c>
      <c r="AO13" s="1606"/>
      <c r="AP13" s="1606">
        <f t="shared" ref="AP13:AP18" si="3">SUM(AM13:AO13)</f>
        <v>339467.86</v>
      </c>
    </row>
    <row r="14" spans="1:42">
      <c r="A14" s="1641"/>
      <c r="B14" s="1641"/>
      <c r="C14" s="1645"/>
      <c r="D14" s="1645"/>
      <c r="E14" s="1645"/>
      <c r="F14" s="1644"/>
      <c r="J14" s="1611" t="s">
        <v>1294</v>
      </c>
      <c r="K14" s="1616">
        <v>97945.46</v>
      </c>
      <c r="L14" s="1616">
        <v>57368.479999999996</v>
      </c>
      <c r="M14" s="1616">
        <f>SUM(K14:L14)</f>
        <v>155313.94</v>
      </c>
      <c r="N14" s="1616">
        <v>41667.229999999989</v>
      </c>
      <c r="O14" s="1616">
        <v>286.23</v>
      </c>
      <c r="P14" s="1616">
        <f>SUM(N14:O14)</f>
        <v>41953.459999999992</v>
      </c>
      <c r="T14" s="986">
        <f>T13+1</f>
        <v>202302</v>
      </c>
      <c r="U14" s="1623">
        <v>69013.56</v>
      </c>
      <c r="V14" s="1623">
        <v>-2827.36</v>
      </c>
      <c r="W14" s="1623">
        <v>-10960</v>
      </c>
      <c r="Y14" s="1199">
        <v>119</v>
      </c>
      <c r="Z14" s="1199">
        <v>332328.89</v>
      </c>
      <c r="AA14" s="1199"/>
      <c r="AB14" s="1199">
        <v>2827.36</v>
      </c>
      <c r="AC14" s="1199"/>
      <c r="AD14" s="1199">
        <v>10960</v>
      </c>
      <c r="AF14" s="888">
        <f t="shared" si="0"/>
        <v>401461.45</v>
      </c>
      <c r="AK14" s="1624" t="s">
        <v>1258</v>
      </c>
      <c r="AL14" s="477" t="s">
        <v>1290</v>
      </c>
      <c r="AM14" s="1625">
        <v>-69013.56</v>
      </c>
      <c r="AN14" s="1625">
        <v>2827.36</v>
      </c>
      <c r="AO14" s="1625">
        <v>10960</v>
      </c>
      <c r="AP14" s="1606">
        <f t="shared" si="3"/>
        <v>-55226.2</v>
      </c>
    </row>
    <row r="15" spans="1:42">
      <c r="A15" s="1641" t="s">
        <v>1307</v>
      </c>
      <c r="B15" s="1641"/>
      <c r="C15" s="1649">
        <f>P19</f>
        <v>42060.033333333326</v>
      </c>
      <c r="D15" s="1649">
        <f>N19</f>
        <v>37554.956666666665</v>
      </c>
      <c r="E15" s="1649">
        <f>O19</f>
        <v>12816.19</v>
      </c>
      <c r="F15" s="1647"/>
      <c r="J15" s="1611" t="s">
        <v>1295</v>
      </c>
      <c r="K15" s="1616">
        <v>112976.53000000001</v>
      </c>
      <c r="L15" s="1616">
        <v>17208.52</v>
      </c>
      <c r="M15" s="1616">
        <v>203579.75</v>
      </c>
      <c r="N15" s="1616">
        <v>2881.59</v>
      </c>
      <c r="O15" s="1616">
        <v>780</v>
      </c>
      <c r="P15" s="1616">
        <v>20670.36</v>
      </c>
      <c r="T15" s="986">
        <f>T14+1</f>
        <v>202303</v>
      </c>
      <c r="U15" s="1623">
        <v>-4173.8900000000003</v>
      </c>
      <c r="V15" s="1623">
        <v>-2243.54</v>
      </c>
      <c r="W15" s="1623">
        <v>-1562</v>
      </c>
      <c r="Y15" s="1199">
        <v>4173.8899999999994</v>
      </c>
      <c r="Z15" s="1199"/>
      <c r="AA15" s="1199"/>
      <c r="AB15" s="1199"/>
      <c r="AC15" s="1199">
        <v>2243.54</v>
      </c>
      <c r="AD15" s="1199">
        <v>1562</v>
      </c>
      <c r="AF15" s="888">
        <f t="shared" si="0"/>
        <v>0</v>
      </c>
      <c r="AK15" s="1624" t="s">
        <v>1259</v>
      </c>
      <c r="AL15" s="477" t="s">
        <v>1290</v>
      </c>
      <c r="AM15" s="1625">
        <v>4173.8900000000003</v>
      </c>
      <c r="AN15" s="1625">
        <v>2243.54</v>
      </c>
      <c r="AO15" s="1625">
        <v>1562</v>
      </c>
      <c r="AP15" s="1606">
        <f t="shared" si="3"/>
        <v>7979.43</v>
      </c>
    </row>
    <row r="16" spans="1:42" ht="13.5" thickBot="1">
      <c r="A16" s="1641"/>
      <c r="B16" s="1641"/>
      <c r="C16" s="1645"/>
      <c r="D16" s="1648"/>
      <c r="E16" s="1648"/>
      <c r="F16" s="1647"/>
      <c r="J16" s="1611" t="s">
        <v>1296</v>
      </c>
      <c r="K16" s="1616">
        <v>195430.28</v>
      </c>
      <c r="L16" s="1616">
        <v>30205.42</v>
      </c>
      <c r="M16" s="1616">
        <v>155313.94</v>
      </c>
      <c r="N16" s="1616">
        <v>88300.26999999999</v>
      </c>
      <c r="O16" s="1616">
        <v>20528.64</v>
      </c>
      <c r="P16" s="1616">
        <v>41953.46</v>
      </c>
      <c r="T16" s="986">
        <f>T15+1</f>
        <v>202304</v>
      </c>
      <c r="U16" s="1623">
        <v>-56158.21</v>
      </c>
      <c r="V16" s="1623">
        <v>-200</v>
      </c>
      <c r="W16" s="1623">
        <v>-1769</v>
      </c>
      <c r="Y16" s="1199">
        <v>30906</v>
      </c>
      <c r="Z16" s="1199">
        <v>223790.76</v>
      </c>
      <c r="AA16" s="1199"/>
      <c r="AB16" s="1199">
        <v>200</v>
      </c>
      <c r="AC16" s="1199"/>
      <c r="AD16" s="1199">
        <v>1769</v>
      </c>
      <c r="AF16" s="888">
        <f t="shared" si="0"/>
        <v>198538.55000000002</v>
      </c>
      <c r="AK16" s="1624" t="s">
        <v>1260</v>
      </c>
      <c r="AL16" s="477" t="s">
        <v>1290</v>
      </c>
      <c r="AM16" s="1625">
        <v>56158.21</v>
      </c>
      <c r="AN16" s="1625">
        <v>200</v>
      </c>
      <c r="AO16" s="1625">
        <v>1769</v>
      </c>
      <c r="AP16" s="1606">
        <f t="shared" si="3"/>
        <v>58127.21</v>
      </c>
    </row>
    <row r="17" spans="1:42" ht="14.25" thickTop="1" thickBot="1">
      <c r="A17" s="1641" t="s">
        <v>1306</v>
      </c>
      <c r="B17" s="1641"/>
      <c r="C17" s="1645">
        <f>D17+E17</f>
        <v>-27099.523333333338</v>
      </c>
      <c r="D17" s="1646">
        <f>-D13+D15</f>
        <v>-18027.150231533335</v>
      </c>
      <c r="E17" s="1645">
        <f>-E13+E15</f>
        <v>-9072.3731018000017</v>
      </c>
      <c r="F17" s="1644"/>
      <c r="J17" s="1611" t="s">
        <v>1297</v>
      </c>
      <c r="K17" s="1616">
        <v>65389.969999999994</v>
      </c>
      <c r="L17" s="1616">
        <v>36208.630000000005</v>
      </c>
      <c r="M17" s="1616">
        <f>SUM(K17:L17)</f>
        <v>101598.6</v>
      </c>
      <c r="N17" s="1616">
        <v>44269.32</v>
      </c>
      <c r="O17" s="1616">
        <v>3758.98</v>
      </c>
      <c r="P17" s="1616">
        <f>SUM(N17:O17)</f>
        <v>48028.3</v>
      </c>
      <c r="T17" s="986">
        <f>T16+1</f>
        <v>202305</v>
      </c>
      <c r="U17" s="1623">
        <v>-17091.28</v>
      </c>
      <c r="V17" s="1623">
        <v>-521.69000000000005</v>
      </c>
      <c r="W17" s="1623"/>
      <c r="Y17" s="1199">
        <v>8574.58</v>
      </c>
      <c r="Z17" s="1199">
        <v>8516.7000000000007</v>
      </c>
      <c r="AA17" s="1199"/>
      <c r="AB17" s="1199">
        <v>335</v>
      </c>
      <c r="AC17" s="1199">
        <v>186.69</v>
      </c>
      <c r="AD17" s="1199"/>
      <c r="AF17" s="888">
        <f t="shared" si="0"/>
        <v>3.1263880373444408E-12</v>
      </c>
      <c r="AK17" s="1624" t="s">
        <v>1261</v>
      </c>
      <c r="AL17" s="477" t="s">
        <v>1290</v>
      </c>
      <c r="AM17" s="1625">
        <v>17091.28</v>
      </c>
      <c r="AN17" s="1625">
        <v>521.69000000000005</v>
      </c>
      <c r="AO17" s="1625"/>
      <c r="AP17" s="1606">
        <f t="shared" si="3"/>
        <v>17612.969999999998</v>
      </c>
    </row>
    <row r="18" spans="1:42" ht="13.5" thickTop="1">
      <c r="A18" s="1641"/>
      <c r="B18" s="1641"/>
      <c r="C18" s="1645"/>
      <c r="D18" s="1645"/>
      <c r="E18" s="1645"/>
      <c r="F18" s="1644"/>
      <c r="J18" s="1611" t="s">
        <v>1298</v>
      </c>
      <c r="K18" s="1616">
        <f>Z19</f>
        <v>666204.84999999986</v>
      </c>
      <c r="L18" s="1616">
        <f>Y19</f>
        <v>80416.08</v>
      </c>
      <c r="M18" s="1616">
        <f>SUM(K18:L18)</f>
        <v>746620.92999999982</v>
      </c>
      <c r="N18" s="1616">
        <f>AC19</f>
        <v>29858.219999999998</v>
      </c>
      <c r="O18" s="1616">
        <f>AB19</f>
        <v>28900.82</v>
      </c>
      <c r="P18" s="1616">
        <f>SUM(N18:O18)</f>
        <v>58759.039999999994</v>
      </c>
      <c r="T18" s="986">
        <f>T17+1</f>
        <v>202306</v>
      </c>
      <c r="U18" s="1623">
        <v>-26409.7</v>
      </c>
      <c r="V18" s="1623">
        <v>-300</v>
      </c>
      <c r="W18" s="1623"/>
      <c r="Y18" s="1199">
        <v>22607.5</v>
      </c>
      <c r="Z18" s="1199">
        <v>3802.2</v>
      </c>
      <c r="AA18" s="1199"/>
      <c r="AB18" s="1199">
        <v>100</v>
      </c>
      <c r="AC18" s="1199">
        <v>200</v>
      </c>
      <c r="AD18" s="1199"/>
      <c r="AF18" s="888">
        <f t="shared" si="0"/>
        <v>-9.0949470177292824E-13</v>
      </c>
      <c r="AK18" s="1624" t="s">
        <v>1262</v>
      </c>
      <c r="AL18" s="477" t="s">
        <v>1290</v>
      </c>
      <c r="AM18" s="1625">
        <v>26409.7</v>
      </c>
      <c r="AN18" s="1625">
        <v>300</v>
      </c>
      <c r="AO18" s="1625"/>
      <c r="AP18" s="1606">
        <f t="shared" si="3"/>
        <v>26709.7</v>
      </c>
    </row>
    <row r="19" spans="1:42" ht="13.5" thickBot="1">
      <c r="A19" s="1639"/>
      <c r="B19" s="1639"/>
      <c r="C19" s="1639"/>
      <c r="D19" s="1639"/>
      <c r="E19" s="1639"/>
      <c r="F19" s="1639"/>
      <c r="J19" s="1611" t="s">
        <v>1299</v>
      </c>
      <c r="K19" s="1626">
        <f t="shared" ref="K19:P19" si="4">SUM(K12:K18)/6</f>
        <v>237203.45166666666</v>
      </c>
      <c r="L19" s="1626">
        <f t="shared" si="4"/>
        <v>51252.253333333334</v>
      </c>
      <c r="M19" s="1626">
        <f t="shared" si="4"/>
        <v>288967.86166666663</v>
      </c>
      <c r="N19" s="1626">
        <f t="shared" si="4"/>
        <v>37554.956666666665</v>
      </c>
      <c r="O19" s="1626">
        <f t="shared" si="4"/>
        <v>12816.19</v>
      </c>
      <c r="P19" s="1626">
        <f t="shared" si="4"/>
        <v>42060.033333333326</v>
      </c>
      <c r="T19" s="531" t="s">
        <v>1300</v>
      </c>
      <c r="U19" s="1627">
        <f t="shared" ref="U19:AD19" si="5">SUM(U13:U18)</f>
        <v>-321620.93</v>
      </c>
      <c r="V19" s="1627">
        <f t="shared" si="5"/>
        <v>-58759.040000000001</v>
      </c>
      <c r="W19" s="1627">
        <f t="shared" si="5"/>
        <v>-14291</v>
      </c>
      <c r="X19" s="1627">
        <f t="shared" si="5"/>
        <v>0</v>
      </c>
      <c r="Y19" s="1627">
        <f t="shared" si="5"/>
        <v>80416.08</v>
      </c>
      <c r="Z19" s="1627">
        <f t="shared" si="5"/>
        <v>666204.84999999986</v>
      </c>
      <c r="AA19" s="1627">
        <f t="shared" si="5"/>
        <v>0</v>
      </c>
      <c r="AB19" s="1627">
        <f t="shared" si="5"/>
        <v>28900.82</v>
      </c>
      <c r="AC19" s="1627">
        <f t="shared" si="5"/>
        <v>29858.219999999998</v>
      </c>
      <c r="AD19" s="1627">
        <f t="shared" si="5"/>
        <v>14291</v>
      </c>
      <c r="AF19" s="1619">
        <f t="shared" si="0"/>
        <v>424999.99999999988</v>
      </c>
      <c r="AK19" s="1620" t="s">
        <v>1142</v>
      </c>
      <c r="AL19" s="1621"/>
      <c r="AM19" s="1622">
        <f>SUM(AM13:AM18)</f>
        <v>321620.93</v>
      </c>
      <c r="AN19" s="1622">
        <f>SUM(AN13:AN18)</f>
        <v>58759.040000000001</v>
      </c>
      <c r="AO19" s="1622">
        <f>SUM(AO13:AO18)</f>
        <v>14291</v>
      </c>
      <c r="AP19" s="1622">
        <f>SUM(AP13:AP18)</f>
        <v>394670.97</v>
      </c>
    </row>
    <row r="20" spans="1:42">
      <c r="A20" s="1639"/>
      <c r="B20" s="1639"/>
      <c r="C20" s="1639"/>
      <c r="D20" s="1639"/>
      <c r="E20" s="1639"/>
      <c r="F20" s="1639"/>
      <c r="J20" s="1615"/>
      <c r="K20" s="1616"/>
      <c r="L20" s="1616"/>
      <c r="M20" s="1616"/>
      <c r="N20" s="1616"/>
      <c r="O20" s="1616"/>
      <c r="P20" s="1616"/>
      <c r="T20" s="531"/>
      <c r="U20" s="1628"/>
      <c r="V20" s="1628"/>
      <c r="W20" s="1628"/>
      <c r="X20" s="1628"/>
      <c r="Y20" s="1628"/>
      <c r="Z20" s="1628"/>
      <c r="AA20" s="1628"/>
      <c r="AB20" s="1628"/>
      <c r="AC20" s="1628"/>
      <c r="AD20" s="1628"/>
      <c r="AF20" s="888"/>
      <c r="AK20" s="1629"/>
      <c r="AL20" s="531"/>
      <c r="AM20" s="1630"/>
      <c r="AN20" s="1630"/>
      <c r="AO20" s="1630"/>
      <c r="AP20" s="1630"/>
    </row>
    <row r="21" spans="1:42" ht="13.5" thickBot="1">
      <c r="A21" s="1641"/>
      <c r="B21" s="1641"/>
      <c r="C21" s="1641"/>
      <c r="D21" s="1641"/>
      <c r="E21" s="1641"/>
      <c r="F21" s="1644"/>
      <c r="J21" s="1615"/>
      <c r="K21" s="1631"/>
      <c r="L21" s="1631"/>
      <c r="M21" s="1631"/>
      <c r="N21" s="1631"/>
      <c r="O21" s="1631"/>
      <c r="P21" s="1631"/>
      <c r="T21" s="531" t="s">
        <v>1301</v>
      </c>
      <c r="U21" s="1619">
        <f t="shared" ref="U21:AD21" si="6">U12+U19</f>
        <v>-825334.01</v>
      </c>
      <c r="V21" s="1619">
        <f t="shared" si="6"/>
        <v>-77470.67</v>
      </c>
      <c r="W21" s="1619">
        <f t="shared" si="6"/>
        <v>-20457.099999999999</v>
      </c>
      <c r="X21" s="1619">
        <f t="shared" si="6"/>
        <v>0</v>
      </c>
      <c r="Y21" s="1619">
        <f t="shared" si="6"/>
        <v>103529.26000000001</v>
      </c>
      <c r="Z21" s="1619">
        <f t="shared" si="6"/>
        <v>721804.74999999988</v>
      </c>
      <c r="AA21" s="1619">
        <f t="shared" si="6"/>
        <v>0</v>
      </c>
      <c r="AB21" s="1619">
        <f t="shared" si="6"/>
        <v>30819.8</v>
      </c>
      <c r="AC21" s="1619">
        <f t="shared" si="6"/>
        <v>46650.869999999995</v>
      </c>
      <c r="AD21" s="1619">
        <f t="shared" si="6"/>
        <v>20457.099999999999</v>
      </c>
      <c r="AJ21" s="477" t="s">
        <v>1302</v>
      </c>
      <c r="AK21" s="477" t="s">
        <v>1301</v>
      </c>
      <c r="AM21" s="1632">
        <f>AM12+AM19</f>
        <v>825334.01</v>
      </c>
      <c r="AN21" s="1632">
        <f>AN12+AN19</f>
        <v>77470.67</v>
      </c>
      <c r="AO21" s="1632">
        <f>AO12+AO19</f>
        <v>20457.099999999999</v>
      </c>
      <c r="AP21" s="1632">
        <f>AP12+AP19</f>
        <v>923261.78</v>
      </c>
    </row>
    <row r="22" spans="1:42">
      <c r="A22" s="1641" t="s">
        <v>1305</v>
      </c>
      <c r="B22" s="1641"/>
      <c r="C22" s="1643">
        <v>1</v>
      </c>
      <c r="D22" s="1643">
        <v>0.71745999999999999</v>
      </c>
      <c r="E22" s="1643">
        <v>0.28254000000000001</v>
      </c>
      <c r="F22" s="1640"/>
      <c r="J22" s="1615"/>
      <c r="K22" s="1616"/>
      <c r="L22" s="1616"/>
      <c r="M22" s="1616"/>
      <c r="N22" s="1598"/>
      <c r="O22" s="1598"/>
      <c r="P22" s="1616"/>
      <c r="AM22" s="1199"/>
      <c r="AN22" s="1199"/>
      <c r="AO22" s="1199"/>
      <c r="AP22" s="1199"/>
    </row>
    <row r="23" spans="1:42">
      <c r="A23" s="1639"/>
      <c r="B23" s="1639"/>
      <c r="C23" s="1642"/>
      <c r="D23" s="1642"/>
      <c r="E23" s="1642"/>
      <c r="F23" s="1639"/>
      <c r="J23" s="1615"/>
      <c r="K23" s="1616"/>
      <c r="L23" s="1616"/>
      <c r="M23" s="1616"/>
      <c r="N23" s="1598"/>
      <c r="O23" s="1598"/>
      <c r="P23" s="1616"/>
      <c r="U23" s="1619"/>
      <c r="V23" s="1619"/>
      <c r="W23" s="1619"/>
      <c r="X23" s="1619"/>
      <c r="Y23" s="1619"/>
      <c r="Z23" s="1619"/>
      <c r="AA23" s="1619"/>
      <c r="AB23" s="1619"/>
      <c r="AC23" s="1619"/>
      <c r="AD23" s="1633">
        <f>SUM(U21:AD21)</f>
        <v>-1.3824319466948509E-10</v>
      </c>
      <c r="AM23" s="1199"/>
      <c r="AN23" s="1199"/>
      <c r="AO23" s="1199"/>
      <c r="AP23" s="1199"/>
    </row>
    <row r="24" spans="1:42">
      <c r="A24" s="1639"/>
      <c r="B24" s="1639"/>
      <c r="C24" s="1639"/>
      <c r="D24" s="1639"/>
      <c r="E24" s="1641"/>
      <c r="F24" s="1639"/>
      <c r="J24" s="1615" t="s">
        <v>1303</v>
      </c>
      <c r="K24" s="1598"/>
      <c r="L24" s="1598"/>
      <c r="M24" s="1598"/>
      <c r="N24" s="1598"/>
      <c r="O24" s="1598"/>
      <c r="P24" s="1598"/>
      <c r="AM24" s="1199"/>
      <c r="AN24" s="1199"/>
      <c r="AO24" s="1199"/>
      <c r="AP24" s="1199"/>
    </row>
    <row r="25" spans="1:42">
      <c r="A25"/>
      <c r="B25"/>
      <c r="C25"/>
      <c r="D25"/>
      <c r="J25" s="1615"/>
      <c r="K25" s="1634"/>
      <c r="L25" s="1634"/>
      <c r="M25" s="1634"/>
      <c r="N25" s="1598"/>
      <c r="O25" s="1598"/>
      <c r="P25" s="1598"/>
    </row>
    <row r="26" spans="1:42">
      <c r="A26"/>
      <c r="B26"/>
      <c r="C26"/>
      <c r="D26"/>
      <c r="E26" s="1639"/>
      <c r="F26" s="1639"/>
      <c r="T26" s="477" t="s">
        <v>1304</v>
      </c>
    </row>
    <row r="27" spans="1:42">
      <c r="A27"/>
      <c r="B27"/>
      <c r="C27"/>
      <c r="D27"/>
      <c r="E27" s="1638"/>
    </row>
    <row r="28" spans="1:42">
      <c r="A28"/>
      <c r="B28"/>
      <c r="C28"/>
      <c r="D28"/>
      <c r="E28" s="1638"/>
    </row>
    <row r="29" spans="1:42">
      <c r="A29"/>
      <c r="B29"/>
      <c r="C29"/>
      <c r="D29"/>
    </row>
    <row r="30" spans="1:42">
      <c r="A30"/>
      <c r="B30"/>
      <c r="C30"/>
      <c r="D30"/>
      <c r="E30" s="1637"/>
    </row>
    <row r="31" spans="1:42">
      <c r="A31"/>
      <c r="B31"/>
      <c r="C31"/>
      <c r="D31"/>
      <c r="E31" s="1636"/>
    </row>
    <row r="32" spans="1:42">
      <c r="A32"/>
      <c r="B32"/>
      <c r="C32"/>
      <c r="D32"/>
      <c r="E32" s="1635"/>
    </row>
    <row r="33" spans="1:4">
      <c r="A33"/>
      <c r="B33"/>
      <c r="C33"/>
      <c r="D33"/>
    </row>
    <row r="34" spans="1:4">
      <c r="A34"/>
      <c r="B34"/>
      <c r="C34"/>
      <c r="D34"/>
    </row>
    <row r="35" spans="1:4">
      <c r="A35"/>
      <c r="B35"/>
      <c r="C35"/>
      <c r="D35"/>
    </row>
    <row r="36" spans="1:4">
      <c r="A36"/>
      <c r="B36"/>
      <c r="C36"/>
      <c r="D36"/>
    </row>
    <row r="37" spans="1:4">
      <c r="A37"/>
      <c r="B37"/>
      <c r="C37"/>
      <c r="D37"/>
    </row>
    <row r="38" spans="1:4">
      <c r="A38"/>
      <c r="B38"/>
      <c r="C38"/>
      <c r="D38"/>
    </row>
    <row r="39" spans="1:4">
      <c r="A39"/>
      <c r="B39"/>
      <c r="C39"/>
      <c r="D39"/>
    </row>
  </sheetData>
  <mergeCells count="12">
    <mergeCell ref="J5:P5"/>
    <mergeCell ref="J1:P1"/>
    <mergeCell ref="J2:P2"/>
    <mergeCell ref="U2:W2"/>
    <mergeCell ref="Y2:AD2"/>
    <mergeCell ref="J3:P3"/>
    <mergeCell ref="C7:E7"/>
    <mergeCell ref="A1:F1"/>
    <mergeCell ref="A2:F2"/>
    <mergeCell ref="A3:F3"/>
    <mergeCell ref="A4:F4"/>
    <mergeCell ref="A5:F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F255-90BA-420B-AB2C-E4F7868DC777}">
  <dimension ref="A1:X97"/>
  <sheetViews>
    <sheetView workbookViewId="0"/>
  </sheetViews>
  <sheetFormatPr defaultRowHeight="12.75"/>
  <cols>
    <col min="1" max="1" width="1.85546875" style="477" customWidth="1"/>
    <col min="2" max="2" width="4.5703125" style="1654" customWidth="1"/>
    <col min="3" max="3" width="20" style="477" customWidth="1"/>
    <col min="4" max="4" width="12.7109375" style="477" customWidth="1"/>
    <col min="5" max="5" width="12.140625" style="477" customWidth="1"/>
    <col min="6" max="6" width="11.7109375" style="477" customWidth="1"/>
    <col min="7" max="7" width="11.85546875" style="477" customWidth="1"/>
    <col min="9" max="9" width="1.7109375" style="1008" customWidth="1"/>
    <col min="11" max="11" width="4.28515625" style="1654" customWidth="1"/>
    <col min="12" max="12" width="15" style="477" customWidth="1"/>
    <col min="13" max="13" width="12.7109375" style="477" customWidth="1"/>
    <col min="14" max="14" width="12" style="477" customWidth="1"/>
    <col min="15" max="15" width="1.7109375" style="477" customWidth="1"/>
    <col min="16" max="16" width="17.85546875" style="477" customWidth="1"/>
    <col min="17" max="17" width="10.85546875" style="477" customWidth="1"/>
    <col min="18" max="19" width="12.28515625" style="477" bestFit="1" customWidth="1"/>
    <col min="20" max="20" width="4.85546875" style="880" customWidth="1"/>
    <col min="21" max="22" width="11.42578125" style="477"/>
    <col min="23" max="23" width="12.28515625" style="477" bestFit="1" customWidth="1"/>
    <col min="24" max="24" width="8.85546875" style="477"/>
  </cols>
  <sheetData>
    <row r="1" spans="1:23">
      <c r="A1" s="182" t="s">
        <v>111</v>
      </c>
      <c r="C1" s="880"/>
      <c r="D1" s="880"/>
      <c r="E1" s="880"/>
      <c r="F1" s="880"/>
      <c r="G1" s="880"/>
      <c r="K1" s="1676" t="s">
        <v>1344</v>
      </c>
      <c r="L1" s="1676"/>
      <c r="M1" s="1676"/>
      <c r="N1" s="1676"/>
      <c r="O1" s="1676"/>
      <c r="P1" s="1676"/>
      <c r="Q1" s="1676"/>
      <c r="R1" s="1676"/>
      <c r="T1" s="182" t="s">
        <v>794</v>
      </c>
      <c r="V1" s="1697" t="s">
        <v>1343</v>
      </c>
    </row>
    <row r="2" spans="1:23">
      <c r="A2" s="182" t="s">
        <v>1328</v>
      </c>
      <c r="C2" s="880"/>
      <c r="D2" s="880"/>
      <c r="E2" s="880"/>
      <c r="F2" s="880"/>
      <c r="G2" s="880"/>
      <c r="K2" s="1676" t="s">
        <v>1342</v>
      </c>
      <c r="L2" s="1676"/>
      <c r="M2" s="1676"/>
      <c r="N2" s="1676"/>
      <c r="O2" s="1676"/>
      <c r="P2" s="1676"/>
      <c r="Q2" s="1676"/>
      <c r="R2" s="1696"/>
      <c r="U2" s="936" t="s">
        <v>1342</v>
      </c>
      <c r="V2" s="936" t="s">
        <v>80</v>
      </c>
      <c r="W2" s="936" t="s">
        <v>81</v>
      </c>
    </row>
    <row r="3" spans="1:23">
      <c r="A3" s="3763" t="s">
        <v>1327</v>
      </c>
      <c r="B3" s="3763"/>
      <c r="C3" s="3763"/>
      <c r="D3" s="3763"/>
      <c r="E3" s="3763"/>
      <c r="F3" s="3763"/>
      <c r="G3" s="3763"/>
      <c r="K3" s="3763" t="str">
        <f>'G-2.06 FIT'!A3</f>
        <v>For the Twelve Months Ended June 30, 2023</v>
      </c>
      <c r="L3" s="3763"/>
      <c r="M3" s="3763"/>
      <c r="N3" s="3763"/>
      <c r="O3" s="3763"/>
      <c r="P3" s="3763"/>
      <c r="Q3" s="3763"/>
      <c r="R3" s="3763"/>
      <c r="T3" s="880">
        <v>2</v>
      </c>
      <c r="U3" s="1678">
        <f t="shared" ref="U3:U12" si="0">V3+W3</f>
        <v>0</v>
      </c>
      <c r="V3" s="1695"/>
      <c r="W3" s="1695"/>
    </row>
    <row r="4" spans="1:23">
      <c r="D4" s="880"/>
      <c r="K4" s="1677"/>
      <c r="L4" s="1676"/>
      <c r="M4" s="1676"/>
      <c r="N4" s="1676"/>
      <c r="O4" s="1676"/>
      <c r="P4" s="1676"/>
      <c r="Q4" s="1676"/>
      <c r="R4" s="1676"/>
      <c r="T4" s="880">
        <v>3</v>
      </c>
      <c r="U4" s="1678">
        <f t="shared" si="0"/>
        <v>0</v>
      </c>
      <c r="V4" s="1695"/>
      <c r="W4" s="1695"/>
    </row>
    <row r="5" spans="1:23">
      <c r="D5" s="880"/>
      <c r="E5" s="1667" t="s">
        <v>79</v>
      </c>
      <c r="F5" s="1667" t="s">
        <v>80</v>
      </c>
      <c r="G5" s="1667" t="s">
        <v>81</v>
      </c>
      <c r="T5" s="880">
        <v>4</v>
      </c>
      <c r="U5" s="1678">
        <f t="shared" si="0"/>
        <v>0</v>
      </c>
      <c r="V5" s="1695"/>
      <c r="W5" s="1695"/>
    </row>
    <row r="6" spans="1:23">
      <c r="A6" s="1655"/>
      <c r="C6" s="1655"/>
      <c r="D6" s="1672"/>
      <c r="E6" s="1655"/>
      <c r="F6" s="1655"/>
      <c r="G6" s="1655"/>
      <c r="R6" s="3763" t="s">
        <v>1335</v>
      </c>
      <c r="S6" s="3763"/>
      <c r="T6" s="880">
        <v>5</v>
      </c>
      <c r="U6" s="1678">
        <f t="shared" si="0"/>
        <v>0</v>
      </c>
      <c r="V6" s="1695"/>
      <c r="W6" s="1695"/>
    </row>
    <row r="7" spans="1:23">
      <c r="A7" s="1655"/>
      <c r="C7" s="1655" t="s">
        <v>1326</v>
      </c>
      <c r="D7" s="1672"/>
      <c r="E7" s="1655">
        <f>F7+G7</f>
        <v>-25222890</v>
      </c>
      <c r="F7" s="1674">
        <v>-20889870</v>
      </c>
      <c r="G7" s="1674">
        <v>-4333020</v>
      </c>
      <c r="K7" s="1654">
        <v>1</v>
      </c>
      <c r="L7" s="1694" t="s">
        <v>1341</v>
      </c>
      <c r="R7" s="936" t="s">
        <v>763</v>
      </c>
      <c r="S7" s="936" t="s">
        <v>683</v>
      </c>
      <c r="T7" s="880">
        <v>6</v>
      </c>
      <c r="U7" s="1678">
        <f t="shared" si="0"/>
        <v>0</v>
      </c>
      <c r="V7" s="1695"/>
      <c r="W7" s="1695"/>
    </row>
    <row r="8" spans="1:23">
      <c r="A8" s="1655"/>
      <c r="C8" s="1655" t="s">
        <v>1320</v>
      </c>
      <c r="D8" s="1672"/>
      <c r="E8" s="1655"/>
      <c r="F8" s="1655"/>
      <c r="G8" s="1655"/>
      <c r="L8" s="3816" t="s">
        <v>1340</v>
      </c>
      <c r="M8" s="3816"/>
      <c r="N8" s="3816"/>
      <c r="Q8" s="890" t="s">
        <v>1339</v>
      </c>
      <c r="R8" s="1693">
        <v>-35256496</v>
      </c>
      <c r="S8" s="1693">
        <v>-13120066</v>
      </c>
      <c r="T8" s="880">
        <v>10</v>
      </c>
      <c r="U8" s="1678">
        <f t="shared" si="0"/>
        <v>0</v>
      </c>
      <c r="V8" s="1695"/>
      <c r="W8" s="1695"/>
    </row>
    <row r="9" spans="1:23">
      <c r="A9" s="1655"/>
      <c r="B9" s="1665" t="s">
        <v>1325</v>
      </c>
      <c r="D9" s="1672"/>
      <c r="E9" s="1655"/>
      <c r="F9" s="1655"/>
      <c r="G9" s="1655"/>
      <c r="L9" s="3816"/>
      <c r="M9" s="3816"/>
      <c r="N9" s="3816"/>
      <c r="Q9" s="890" t="s">
        <v>1338</v>
      </c>
      <c r="R9" s="1690">
        <f>-R8*0.21</f>
        <v>7403864.1600000001</v>
      </c>
      <c r="S9" s="1690">
        <f>-S8*0.21</f>
        <v>2755213.86</v>
      </c>
      <c r="T9" s="880">
        <v>11</v>
      </c>
      <c r="U9" s="1678">
        <f t="shared" si="0"/>
        <v>0</v>
      </c>
      <c r="V9" s="1695"/>
      <c r="W9" s="1695"/>
    </row>
    <row r="10" spans="1:23">
      <c r="A10" s="1655"/>
      <c r="B10" s="1655"/>
      <c r="C10" s="1655"/>
      <c r="D10" s="1672"/>
      <c r="E10" s="1655"/>
      <c r="F10" s="1655"/>
      <c r="G10" s="1655"/>
      <c r="L10" s="1691"/>
      <c r="Q10" s="890" t="s">
        <v>1337</v>
      </c>
      <c r="R10" s="1693">
        <v>-1211143.523157655</v>
      </c>
      <c r="S10" s="1693">
        <v>-469918.8221205452</v>
      </c>
      <c r="T10" s="880">
        <v>12</v>
      </c>
      <c r="U10" s="1678">
        <f t="shared" si="0"/>
        <v>0</v>
      </c>
      <c r="V10" s="1695"/>
      <c r="W10" s="1695"/>
    </row>
    <row r="11" spans="1:23">
      <c r="A11" s="1655"/>
      <c r="C11" s="1665" t="s">
        <v>1324</v>
      </c>
      <c r="D11" s="1672"/>
      <c r="E11" s="1655"/>
      <c r="F11" s="1655"/>
      <c r="G11" s="1655"/>
      <c r="Q11" s="890" t="s">
        <v>1336</v>
      </c>
      <c r="R11" s="1693">
        <v>-10036731.240000002</v>
      </c>
      <c r="S11" s="1693">
        <v>-1084415.9099999999</v>
      </c>
      <c r="T11" s="880">
        <v>13</v>
      </c>
      <c r="U11" s="1678">
        <f t="shared" si="0"/>
        <v>0</v>
      </c>
      <c r="V11" s="1695"/>
      <c r="W11" s="1695"/>
    </row>
    <row r="12" spans="1:23">
      <c r="A12" s="1655"/>
      <c r="C12" s="1655" t="s">
        <v>1323</v>
      </c>
      <c r="D12" s="1672"/>
      <c r="E12" s="1675">
        <f>F12+G12</f>
        <v>0</v>
      </c>
      <c r="F12" s="1675">
        <f>'G-2.06 FIT'!M30</f>
        <v>0</v>
      </c>
      <c r="G12" s="1675">
        <f>'G-2.06 FIT'!M31</f>
        <v>0</v>
      </c>
      <c r="N12" s="890"/>
      <c r="Q12" s="890" t="s">
        <v>1332</v>
      </c>
      <c r="R12" s="1693">
        <v>-3743490</v>
      </c>
      <c r="S12" s="1693">
        <v>1126084</v>
      </c>
      <c r="T12" s="880">
        <v>14</v>
      </c>
      <c r="U12" s="1678">
        <f t="shared" si="0"/>
        <v>0</v>
      </c>
      <c r="V12" s="1695"/>
      <c r="W12" s="1695"/>
    </row>
    <row r="13" spans="1:23">
      <c r="A13" s="1655"/>
      <c r="C13" s="1655" t="s">
        <v>1322</v>
      </c>
      <c r="D13" s="1672"/>
      <c r="E13" s="1655">
        <f>SUM(E7:E12)</f>
        <v>-25222890</v>
      </c>
      <c r="F13" s="1655">
        <f>SUM(F7:F12)</f>
        <v>-20889870</v>
      </c>
      <c r="G13" s="1655">
        <f>SUM(G7:G12)</f>
        <v>-4333020</v>
      </c>
      <c r="L13" s="1687" t="s">
        <v>1330</v>
      </c>
      <c r="M13" s="1686">
        <v>0</v>
      </c>
      <c r="N13" s="1685"/>
      <c r="U13" s="1678"/>
      <c r="V13" s="1695"/>
      <c r="W13" s="1695"/>
    </row>
    <row r="14" spans="1:23">
      <c r="A14" s="1655"/>
      <c r="C14" s="1655"/>
      <c r="D14" s="1672"/>
      <c r="E14" s="1655"/>
      <c r="F14" s="1655"/>
      <c r="G14" s="1655"/>
      <c r="L14" s="477" t="s">
        <v>763</v>
      </c>
      <c r="M14" s="879">
        <v>0</v>
      </c>
      <c r="N14" s="1678"/>
      <c r="Q14" s="1684"/>
      <c r="R14" s="1683"/>
      <c r="S14" s="1690"/>
      <c r="U14" s="1678"/>
      <c r="V14" s="1695"/>
      <c r="W14" s="1695"/>
    </row>
    <row r="15" spans="1:23">
      <c r="A15" s="1655"/>
      <c r="C15" s="1655"/>
      <c r="D15" s="1672"/>
      <c r="E15" s="1655"/>
      <c r="F15" s="1655"/>
      <c r="G15" s="1655"/>
      <c r="L15" s="477" t="s">
        <v>683</v>
      </c>
      <c r="M15" s="879">
        <v>0</v>
      </c>
      <c r="N15" s="1678"/>
      <c r="Q15" s="1680"/>
      <c r="R15" s="1683"/>
    </row>
    <row r="16" spans="1:23">
      <c r="A16" s="1655"/>
      <c r="B16" s="1671" t="s">
        <v>1321</v>
      </c>
      <c r="C16" s="1655"/>
      <c r="D16" s="1672"/>
      <c r="E16" s="1655">
        <f>F16+G16</f>
        <v>-5296807</v>
      </c>
      <c r="F16" s="1674">
        <v>-4386873</v>
      </c>
      <c r="G16" s="1674">
        <v>-909934</v>
      </c>
      <c r="M16" s="199"/>
      <c r="N16" s="1678"/>
      <c r="Q16" s="1680"/>
      <c r="R16" s="1688"/>
    </row>
    <row r="17" spans="1:19">
      <c r="A17" s="1655"/>
      <c r="B17" s="1671"/>
      <c r="C17" s="1655" t="s">
        <v>1320</v>
      </c>
      <c r="D17" s="1672"/>
      <c r="E17" s="1655"/>
      <c r="F17" s="1655"/>
      <c r="G17" s="1655"/>
      <c r="N17" s="890"/>
      <c r="Q17" s="1682"/>
      <c r="R17" s="1688"/>
    </row>
    <row r="18" spans="1:19">
      <c r="A18" s="1655"/>
      <c r="B18" s="1671" t="s">
        <v>1319</v>
      </c>
      <c r="C18" s="1655"/>
      <c r="D18" s="1672"/>
      <c r="E18" s="1655">
        <f>F18+G18</f>
        <v>-5296807</v>
      </c>
      <c r="F18" s="1673">
        <f>ROUND(F13*0.21,0)</f>
        <v>-4386873</v>
      </c>
      <c r="G18" s="1673">
        <f>ROUND(G13*0.21,0)</f>
        <v>-909934</v>
      </c>
      <c r="L18" s="1687" t="s">
        <v>1329</v>
      </c>
      <c r="M18" s="1686">
        <f>M19+M20</f>
        <v>-25725.475278202211</v>
      </c>
      <c r="N18" s="1685"/>
      <c r="Q18" s="1684"/>
      <c r="R18" s="1683"/>
    </row>
    <row r="19" spans="1:19" ht="13.5" thickBot="1">
      <c r="A19" s="1655"/>
      <c r="B19" s="1671"/>
      <c r="C19" s="1655"/>
      <c r="D19" s="1672"/>
      <c r="E19" s="1655"/>
      <c r="F19" s="1655"/>
      <c r="G19" s="1655"/>
      <c r="L19" s="477" t="s">
        <v>763</v>
      </c>
      <c r="M19" s="879">
        <f>R9+R10+R11-R12</f>
        <v>-100520.6031576572</v>
      </c>
      <c r="N19" s="1678"/>
      <c r="Q19" s="1684"/>
      <c r="R19" s="1683"/>
    </row>
    <row r="20" spans="1:19" ht="14.25" thickTop="1" thickBot="1">
      <c r="A20" s="1655"/>
      <c r="B20" s="1671"/>
      <c r="C20" s="1670" t="s">
        <v>1318</v>
      </c>
      <c r="D20" s="1669"/>
      <c r="E20" s="1662">
        <f>E18-E16</f>
        <v>0</v>
      </c>
      <c r="F20" s="1661">
        <f>F18-F16</f>
        <v>0</v>
      </c>
      <c r="G20" s="1660">
        <f>G18-G16</f>
        <v>0</v>
      </c>
      <c r="L20" s="477" t="s">
        <v>683</v>
      </c>
      <c r="M20" s="879">
        <f>S9+S10+S11-S12</f>
        <v>74795.127879454987</v>
      </c>
      <c r="N20" s="1678"/>
      <c r="Q20" s="1682"/>
      <c r="R20" s="1681"/>
    </row>
    <row r="21" spans="1:19" ht="13.5" thickTop="1">
      <c r="A21" s="1655"/>
      <c r="M21" s="199"/>
      <c r="N21" s="1678"/>
      <c r="Q21" s="1680"/>
      <c r="R21" s="1679"/>
    </row>
    <row r="22" spans="1:19">
      <c r="B22" s="477"/>
      <c r="E22" s="1655"/>
      <c r="F22" s="1655"/>
      <c r="G22" s="1668"/>
      <c r="R22" s="3763" t="s">
        <v>1335</v>
      </c>
      <c r="S22" s="3763"/>
    </row>
    <row r="23" spans="1:19">
      <c r="B23" s="477"/>
      <c r="E23" s="1667" t="s">
        <v>79</v>
      </c>
      <c r="F23" s="1667" t="s">
        <v>80</v>
      </c>
      <c r="G23" s="1667" t="s">
        <v>81</v>
      </c>
      <c r="K23" s="1654">
        <v>2</v>
      </c>
      <c r="L23" s="1694" t="s">
        <v>1334</v>
      </c>
      <c r="R23" s="936" t="s">
        <v>763</v>
      </c>
      <c r="S23" s="936" t="s">
        <v>683</v>
      </c>
    </row>
    <row r="24" spans="1:19">
      <c r="B24" s="1666" t="s">
        <v>1317</v>
      </c>
      <c r="E24" s="1655"/>
      <c r="F24" s="1655"/>
      <c r="G24" s="1655"/>
      <c r="L24" s="3815"/>
      <c r="M24" s="3815"/>
      <c r="N24" s="3815"/>
      <c r="O24" s="3815"/>
      <c r="P24" s="1692"/>
      <c r="Q24" s="477" t="s">
        <v>1333</v>
      </c>
      <c r="R24" s="1693">
        <v>0</v>
      </c>
      <c r="S24" s="1693">
        <v>0</v>
      </c>
    </row>
    <row r="25" spans="1:19">
      <c r="E25" s="1655"/>
      <c r="F25" s="1655"/>
      <c r="G25" s="1655"/>
      <c r="L25" s="3815"/>
      <c r="M25" s="3815"/>
      <c r="N25" s="3815"/>
      <c r="O25" s="3815"/>
      <c r="P25" s="1692"/>
      <c r="Q25" s="477" t="s">
        <v>1329</v>
      </c>
      <c r="R25" s="1690">
        <f>R24*-0.21</f>
        <v>0</v>
      </c>
      <c r="S25" s="1690">
        <f>S24*-0.21</f>
        <v>0</v>
      </c>
    </row>
    <row r="26" spans="1:19">
      <c r="C26" s="1665"/>
      <c r="E26" s="1655"/>
      <c r="F26" s="1655"/>
      <c r="G26" s="1655"/>
      <c r="L26" s="1691"/>
      <c r="Q26" s="890" t="s">
        <v>1332</v>
      </c>
      <c r="R26" s="1690">
        <v>0</v>
      </c>
      <c r="S26" s="1690">
        <v>0</v>
      </c>
    </row>
    <row r="27" spans="1:19">
      <c r="C27" s="1665" t="str">
        <f>'G-2.06 FIT'!L8</f>
        <v>Total Schedule M and Deferred FIT do not agree due to year end true ups specific to past year totals.</v>
      </c>
      <c r="E27" s="1655">
        <f>F27+G27</f>
        <v>-25725.475278202211</v>
      </c>
      <c r="F27" s="1655">
        <f>'G-2.06 FIT'!M19</f>
        <v>-100520.6031576572</v>
      </c>
      <c r="G27" s="1655">
        <f>'G-2.06 FIT'!M20</f>
        <v>74795.127879454987</v>
      </c>
      <c r="Q27" s="890" t="s">
        <v>1331</v>
      </c>
      <c r="R27" s="1690">
        <v>0</v>
      </c>
      <c r="S27" s="1690">
        <v>0</v>
      </c>
    </row>
    <row r="28" spans="1:19">
      <c r="E28" s="1655"/>
      <c r="F28" s="1655"/>
      <c r="G28" s="1655"/>
      <c r="N28" s="890" t="s">
        <v>686</v>
      </c>
      <c r="Q28" s="890"/>
      <c r="R28" s="890"/>
    </row>
    <row r="29" spans="1:19" ht="13.5" thickBot="1">
      <c r="C29" s="1655"/>
      <c r="E29" s="1655"/>
      <c r="F29" s="1655"/>
      <c r="G29" s="1655"/>
      <c r="L29" s="1687" t="s">
        <v>1330</v>
      </c>
      <c r="M29" s="1686">
        <v>0</v>
      </c>
      <c r="N29" s="1685">
        <v>99</v>
      </c>
      <c r="R29" s="1689"/>
    </row>
    <row r="30" spans="1:19" ht="14.25" thickTop="1" thickBot="1">
      <c r="C30" s="1664" t="s">
        <v>1316</v>
      </c>
      <c r="D30" s="1663"/>
      <c r="E30" s="1662">
        <f>SUM(E27:E29)</f>
        <v>-25725.475278202211</v>
      </c>
      <c r="F30" s="1661">
        <f>SUM(F27:F29)</f>
        <v>-100520.6031576572</v>
      </c>
      <c r="G30" s="1660">
        <f>SUM(G27:G29)</f>
        <v>74795.127879454987</v>
      </c>
      <c r="L30" s="477" t="s">
        <v>763</v>
      </c>
      <c r="M30" s="879"/>
      <c r="N30" s="1678">
        <f>VLOOKUP(N29,factors,3)</f>
        <v>0</v>
      </c>
      <c r="R30" s="1683"/>
    </row>
    <row r="31" spans="1:19" ht="13.5" thickTop="1">
      <c r="E31" s="1655"/>
      <c r="F31" s="1655"/>
      <c r="G31" s="1655"/>
      <c r="L31" s="477" t="s">
        <v>683</v>
      </c>
      <c r="M31" s="879"/>
      <c r="N31" s="1678">
        <f>VLOOKUP(N29,factors,4)</f>
        <v>0</v>
      </c>
      <c r="R31" s="1683"/>
    </row>
    <row r="32" spans="1:19" ht="13.5" thickBot="1">
      <c r="C32" s="1659" t="s">
        <v>1315</v>
      </c>
      <c r="D32" s="1658"/>
      <c r="E32" s="1657">
        <f>E20+E30</f>
        <v>-25725.475278202211</v>
      </c>
      <c r="F32" s="1657">
        <f>F20+F30</f>
        <v>-100520.6031576572</v>
      </c>
      <c r="G32" s="1657">
        <f>G20+G30</f>
        <v>74795.127879454987</v>
      </c>
      <c r="M32" s="199"/>
      <c r="N32" s="1678"/>
      <c r="R32" s="1688"/>
    </row>
    <row r="33" spans="5:18" ht="13.5" thickTop="1">
      <c r="E33" s="1655"/>
      <c r="F33" s="1655"/>
      <c r="G33" s="1655"/>
      <c r="N33" s="890" t="s">
        <v>686</v>
      </c>
      <c r="R33" s="1688"/>
    </row>
    <row r="34" spans="5:18">
      <c r="E34" s="1655"/>
      <c r="F34" s="1655"/>
      <c r="G34" s="1655"/>
      <c r="L34" s="1687" t="s">
        <v>1329</v>
      </c>
      <c r="M34" s="1686">
        <f>R25</f>
        <v>0</v>
      </c>
      <c r="N34" s="1685">
        <v>99</v>
      </c>
      <c r="Q34" s="1684"/>
      <c r="R34" s="1683"/>
    </row>
    <row r="35" spans="5:18">
      <c r="E35" s="1655"/>
      <c r="F35" s="1656"/>
      <c r="G35" s="1655"/>
      <c r="L35" s="477" t="s">
        <v>763</v>
      </c>
      <c r="M35" s="199">
        <f>ROUND(R27,0)</f>
        <v>0</v>
      </c>
      <c r="N35" s="1678">
        <f>VLOOKUP(N34,factors,3)</f>
        <v>0</v>
      </c>
      <c r="Q35" s="1684"/>
      <c r="R35" s="1683"/>
    </row>
    <row r="36" spans="5:18">
      <c r="E36" s="1655"/>
      <c r="F36" s="1655"/>
      <c r="G36" s="1655"/>
      <c r="L36" s="477" t="s">
        <v>683</v>
      </c>
      <c r="M36" s="199">
        <f>ROUND(S27,0)</f>
        <v>0</v>
      </c>
      <c r="N36" s="1678">
        <f>VLOOKUP(N34,factors,4)</f>
        <v>0</v>
      </c>
      <c r="Q36" s="1682"/>
      <c r="R36" s="1681"/>
    </row>
    <row r="37" spans="5:18">
      <c r="E37" s="1655"/>
      <c r="F37" s="1655"/>
      <c r="G37" s="1655"/>
      <c r="M37" s="199"/>
      <c r="N37" s="1678"/>
      <c r="Q37" s="1680"/>
      <c r="R37" s="1679"/>
    </row>
    <row r="38" spans="5:18">
      <c r="E38" s="1655"/>
      <c r="F38" s="1655"/>
      <c r="G38" s="1655"/>
      <c r="M38" s="199"/>
      <c r="N38" s="1678"/>
      <c r="Q38" s="199"/>
      <c r="R38" s="1678"/>
    </row>
    <row r="39" spans="5:18">
      <c r="E39" s="1655"/>
      <c r="F39" s="1655"/>
      <c r="G39" s="1655"/>
    </row>
    <row r="40" spans="5:18">
      <c r="E40" s="1655"/>
      <c r="F40" s="1655"/>
      <c r="G40" s="1655"/>
    </row>
    <row r="41" spans="5:18">
      <c r="E41" s="1655"/>
      <c r="F41" s="1655"/>
      <c r="G41" s="1655"/>
    </row>
    <row r="42" spans="5:18">
      <c r="E42" s="1655"/>
      <c r="F42" s="1655"/>
      <c r="G42" s="1655"/>
    </row>
    <row r="43" spans="5:18">
      <c r="E43" s="1655"/>
      <c r="F43" s="1655"/>
      <c r="G43" s="1655"/>
    </row>
    <row r="44" spans="5:18">
      <c r="E44" s="1655"/>
      <c r="F44" s="1655"/>
      <c r="G44" s="1655"/>
    </row>
    <row r="45" spans="5:18">
      <c r="E45" s="1655"/>
      <c r="F45" s="1655"/>
      <c r="G45" s="1655"/>
    </row>
    <row r="46" spans="5:18">
      <c r="E46" s="1655"/>
      <c r="F46" s="1655"/>
      <c r="G46" s="1655"/>
    </row>
    <row r="47" spans="5:18">
      <c r="E47" s="1655"/>
      <c r="F47" s="1655"/>
      <c r="G47" s="1655"/>
    </row>
    <row r="48" spans="5:18">
      <c r="E48" s="1655"/>
      <c r="F48" s="1655"/>
      <c r="G48" s="1655"/>
    </row>
    <row r="49" spans="5:7">
      <c r="E49" s="1655"/>
      <c r="F49" s="1655"/>
      <c r="G49" s="1655"/>
    </row>
    <row r="50" spans="5:7">
      <c r="E50" s="1655"/>
      <c r="F50" s="1655"/>
      <c r="G50" s="1655"/>
    </row>
    <row r="51" spans="5:7">
      <c r="E51" s="1655"/>
      <c r="F51" s="1655"/>
      <c r="G51" s="1655"/>
    </row>
    <row r="52" spans="5:7">
      <c r="E52" s="1655"/>
      <c r="F52" s="1655"/>
      <c r="G52" s="1655"/>
    </row>
    <row r="53" spans="5:7">
      <c r="E53" s="1655"/>
      <c r="F53" s="1655"/>
      <c r="G53" s="1655"/>
    </row>
    <row r="54" spans="5:7">
      <c r="E54" s="1655"/>
      <c r="F54" s="1655"/>
      <c r="G54" s="1655"/>
    </row>
    <row r="55" spans="5:7">
      <c r="E55" s="1655"/>
      <c r="F55" s="1655"/>
      <c r="G55" s="1655"/>
    </row>
    <row r="56" spans="5:7">
      <c r="E56" s="1655"/>
      <c r="F56" s="1655"/>
      <c r="G56" s="1655"/>
    </row>
    <row r="57" spans="5:7">
      <c r="E57" s="1655"/>
      <c r="F57" s="1655"/>
      <c r="G57" s="1655"/>
    </row>
    <row r="58" spans="5:7">
      <c r="E58" s="1655"/>
      <c r="F58" s="1655"/>
      <c r="G58" s="1655"/>
    </row>
    <row r="59" spans="5:7">
      <c r="E59" s="1655"/>
      <c r="F59" s="1655"/>
      <c r="G59" s="1655"/>
    </row>
    <row r="60" spans="5:7">
      <c r="E60" s="1655"/>
      <c r="F60" s="1655"/>
      <c r="G60" s="1655"/>
    </row>
    <row r="61" spans="5:7">
      <c r="E61" s="1655"/>
      <c r="F61" s="1655"/>
      <c r="G61" s="1655"/>
    </row>
    <row r="62" spans="5:7">
      <c r="E62" s="1655"/>
      <c r="F62" s="1655"/>
      <c r="G62" s="1655"/>
    </row>
    <row r="63" spans="5:7">
      <c r="E63" s="1655"/>
      <c r="F63" s="1655"/>
      <c r="G63" s="1655"/>
    </row>
    <row r="64" spans="5:7">
      <c r="E64" s="1655"/>
      <c r="F64" s="1655"/>
      <c r="G64" s="1655"/>
    </row>
    <row r="65" spans="5:7">
      <c r="E65" s="1655"/>
      <c r="F65" s="1655"/>
      <c r="G65" s="1655"/>
    </row>
    <row r="66" spans="5:7">
      <c r="E66" s="1655"/>
      <c r="F66" s="1655"/>
      <c r="G66" s="1655"/>
    </row>
    <row r="67" spans="5:7">
      <c r="E67" s="1655"/>
      <c r="F67" s="1655"/>
      <c r="G67" s="1655"/>
    </row>
    <row r="68" spans="5:7">
      <c r="E68" s="1655"/>
      <c r="F68" s="1655"/>
      <c r="G68" s="1655"/>
    </row>
    <row r="69" spans="5:7">
      <c r="E69" s="1655"/>
      <c r="F69" s="1655"/>
      <c r="G69" s="1655"/>
    </row>
    <row r="70" spans="5:7">
      <c r="E70" s="1655"/>
      <c r="F70" s="1655"/>
      <c r="G70" s="1655"/>
    </row>
    <row r="71" spans="5:7">
      <c r="E71" s="1655"/>
      <c r="F71" s="1655"/>
      <c r="G71" s="1655"/>
    </row>
    <row r="72" spans="5:7">
      <c r="E72" s="1655"/>
      <c r="F72" s="1655"/>
      <c r="G72" s="1655"/>
    </row>
    <row r="73" spans="5:7">
      <c r="E73" s="1655"/>
      <c r="F73" s="1655"/>
      <c r="G73" s="1655"/>
    </row>
    <row r="74" spans="5:7">
      <c r="E74" s="1655"/>
      <c r="F74" s="1655"/>
      <c r="G74" s="1655"/>
    </row>
    <row r="75" spans="5:7">
      <c r="E75" s="1655"/>
      <c r="F75" s="1655"/>
      <c r="G75" s="1655"/>
    </row>
    <row r="76" spans="5:7">
      <c r="E76" s="1655"/>
      <c r="F76" s="1655"/>
      <c r="G76" s="1655"/>
    </row>
    <row r="77" spans="5:7">
      <c r="E77" s="1655"/>
      <c r="F77" s="1655"/>
      <c r="G77" s="1655"/>
    </row>
    <row r="78" spans="5:7">
      <c r="E78" s="1655"/>
      <c r="F78" s="1655"/>
      <c r="G78" s="1655"/>
    </row>
    <row r="79" spans="5:7">
      <c r="E79" s="1655"/>
      <c r="F79" s="1655"/>
      <c r="G79" s="1655"/>
    </row>
    <row r="80" spans="5:7">
      <c r="E80" s="1655"/>
      <c r="F80" s="1655"/>
      <c r="G80" s="1655"/>
    </row>
    <row r="81" spans="5:7">
      <c r="E81" s="1655"/>
      <c r="F81" s="1655"/>
      <c r="G81" s="1655"/>
    </row>
    <row r="82" spans="5:7">
      <c r="E82" s="1655"/>
      <c r="F82" s="1655"/>
      <c r="G82" s="1655"/>
    </row>
    <row r="83" spans="5:7">
      <c r="E83" s="1655"/>
      <c r="F83" s="1655"/>
      <c r="G83" s="1655"/>
    </row>
    <row r="84" spans="5:7">
      <c r="E84" s="1655"/>
      <c r="F84" s="1655"/>
      <c r="G84" s="1655"/>
    </row>
    <row r="85" spans="5:7">
      <c r="E85" s="1655"/>
      <c r="F85" s="1655"/>
      <c r="G85" s="1655"/>
    </row>
    <row r="86" spans="5:7">
      <c r="E86" s="1655"/>
      <c r="F86" s="1655"/>
      <c r="G86" s="1655"/>
    </row>
    <row r="87" spans="5:7">
      <c r="E87" s="1655"/>
      <c r="F87" s="1655"/>
      <c r="G87" s="1655"/>
    </row>
    <row r="88" spans="5:7">
      <c r="E88" s="1655"/>
      <c r="F88" s="1655"/>
      <c r="G88" s="1655"/>
    </row>
    <row r="89" spans="5:7">
      <c r="E89" s="1655"/>
      <c r="F89" s="1655"/>
      <c r="G89" s="1655"/>
    </row>
    <row r="90" spans="5:7">
      <c r="E90" s="1655"/>
      <c r="F90" s="1655"/>
      <c r="G90" s="1655"/>
    </row>
    <row r="91" spans="5:7">
      <c r="E91" s="1655"/>
      <c r="F91" s="1655"/>
      <c r="G91" s="1655"/>
    </row>
    <row r="92" spans="5:7">
      <c r="E92" s="1655"/>
      <c r="F92" s="1655"/>
      <c r="G92" s="1655"/>
    </row>
    <row r="93" spans="5:7">
      <c r="E93" s="1655"/>
      <c r="F93" s="1655"/>
      <c r="G93" s="1655"/>
    </row>
    <row r="94" spans="5:7">
      <c r="E94" s="1655"/>
      <c r="F94" s="1655"/>
      <c r="G94" s="1655"/>
    </row>
    <row r="95" spans="5:7">
      <c r="E95" s="1655"/>
      <c r="F95" s="1655"/>
      <c r="G95" s="1655"/>
    </row>
    <row r="96" spans="5:7">
      <c r="E96" s="1655"/>
      <c r="F96" s="1655"/>
      <c r="G96" s="1655"/>
    </row>
    <row r="97" spans="5:7">
      <c r="E97" s="1655"/>
      <c r="F97" s="1655"/>
      <c r="G97" s="1655"/>
    </row>
  </sheetData>
  <mergeCells count="6">
    <mergeCell ref="A3:G3"/>
    <mergeCell ref="K3:R3"/>
    <mergeCell ref="R6:S6"/>
    <mergeCell ref="R22:S22"/>
    <mergeCell ref="L24:O25"/>
    <mergeCell ref="L8:N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E6AF4-A0B1-48E2-8213-B6A834E76DB7}">
  <sheetPr codeName="Sheet20"/>
  <dimension ref="A1:AB41"/>
  <sheetViews>
    <sheetView workbookViewId="0">
      <selection sqref="A1:J1"/>
    </sheetView>
  </sheetViews>
  <sheetFormatPr defaultColWidth="8.85546875" defaultRowHeight="12.75"/>
  <cols>
    <col min="1" max="1" width="26.5703125" style="1699" customWidth="1"/>
    <col min="2" max="2" width="16.28515625" style="1699" customWidth="1"/>
    <col min="3" max="3" width="7.42578125" style="1700" customWidth="1"/>
    <col min="4" max="4" width="11.140625" style="1699" customWidth="1"/>
    <col min="5" max="5" width="1.28515625" style="1700" customWidth="1"/>
    <col min="6" max="6" width="11.140625" style="1699" customWidth="1"/>
    <col min="7" max="7" width="1.28515625" style="1700" customWidth="1"/>
    <col min="8" max="8" width="11.140625" style="1699" customWidth="1"/>
    <col min="9" max="9" width="1.28515625" style="1700" customWidth="1"/>
    <col min="10" max="10" width="8.85546875" style="1699"/>
    <col min="11" max="11" width="8.85546875" style="477"/>
    <col min="12" max="12" width="1.7109375" style="1008" customWidth="1"/>
    <col min="13" max="13" width="8.85546875" style="477"/>
    <col min="14" max="14" width="21.28515625" style="478" customWidth="1"/>
    <col min="15" max="15" width="8.85546875" style="478"/>
    <col min="16" max="16" width="10.140625" style="478" bestFit="1" customWidth="1"/>
    <col min="17" max="17" width="2.7109375" style="478" customWidth="1"/>
    <col min="18" max="18" width="13.85546875" style="478" bestFit="1" customWidth="1"/>
    <col min="19" max="19" width="2.7109375" style="478" customWidth="1"/>
    <col min="20" max="20" width="11.28515625" style="478" bestFit="1" customWidth="1"/>
    <col min="21" max="21" width="8.85546875" style="478"/>
    <col min="22" max="22" width="8.85546875" style="477"/>
    <col min="23" max="23" width="1.7109375" style="1008" customWidth="1"/>
    <col min="24" max="25" width="8.85546875" style="477"/>
    <col min="26" max="26" width="19.28515625" style="477" customWidth="1"/>
    <col min="27" max="27" width="12.5703125" style="477" bestFit="1" customWidth="1"/>
    <col min="28" max="16384" width="8.85546875" style="477"/>
  </cols>
  <sheetData>
    <row r="1" spans="1:28">
      <c r="A1" s="3819" t="s">
        <v>111</v>
      </c>
      <c r="B1" s="3819"/>
      <c r="C1" s="3819"/>
      <c r="D1" s="3819"/>
      <c r="E1" s="3819"/>
      <c r="F1" s="3819"/>
      <c r="G1" s="3819"/>
      <c r="H1" s="3819"/>
      <c r="I1" s="3819"/>
      <c r="J1" s="3819"/>
      <c r="N1" s="3820" t="s">
        <v>111</v>
      </c>
      <c r="O1" s="3820"/>
      <c r="P1" s="3820"/>
      <c r="Q1" s="3820"/>
      <c r="R1" s="3820"/>
      <c r="S1" s="3820"/>
      <c r="T1" s="3820"/>
      <c r="U1" s="3820"/>
      <c r="Y1" s="477">
        <v>2022</v>
      </c>
    </row>
    <row r="2" spans="1:28">
      <c r="A2" s="3820" t="s">
        <v>1345</v>
      </c>
      <c r="B2" s="3820"/>
      <c r="C2" s="3820"/>
      <c r="D2" s="3820"/>
      <c r="E2" s="3820"/>
      <c r="F2" s="3820"/>
      <c r="G2" s="3820"/>
      <c r="H2" s="3820"/>
      <c r="I2" s="3820"/>
      <c r="J2" s="3820"/>
      <c r="N2" s="3820" t="s">
        <v>1345</v>
      </c>
      <c r="O2" s="3820"/>
      <c r="P2" s="3820"/>
      <c r="Q2" s="3820"/>
      <c r="R2" s="3820"/>
      <c r="S2" s="3820"/>
      <c r="T2" s="3820"/>
      <c r="U2" s="3820"/>
      <c r="Y2" s="1414"/>
      <c r="Z2" s="1414" t="s">
        <v>1346</v>
      </c>
      <c r="AA2" s="1414" t="s">
        <v>1347</v>
      </c>
      <c r="AB2" s="1414" t="s">
        <v>24</v>
      </c>
    </row>
    <row r="3" spans="1:28">
      <c r="A3" s="3820" t="s">
        <v>580</v>
      </c>
      <c r="B3" s="3820"/>
      <c r="C3" s="3820"/>
      <c r="D3" s="3820"/>
      <c r="E3" s="3820"/>
      <c r="F3" s="3820"/>
      <c r="G3" s="3820"/>
      <c r="H3" s="3820"/>
      <c r="I3" s="3820"/>
      <c r="J3" s="3820"/>
      <c r="N3" s="3820" t="str">
        <f>A3</f>
        <v>TWELVE MONTHS ENDED JUNE 30, 2023</v>
      </c>
      <c r="O3" s="3820"/>
      <c r="P3" s="3820"/>
      <c r="Q3" s="3820"/>
      <c r="R3" s="3820"/>
      <c r="S3" s="3820"/>
      <c r="T3" s="3820"/>
      <c r="U3" s="3820"/>
      <c r="Y3" s="477" t="s">
        <v>1348</v>
      </c>
      <c r="Z3" s="1698">
        <v>2202</v>
      </c>
      <c r="AA3" s="1698">
        <v>8773</v>
      </c>
      <c r="AB3" s="1698">
        <v>10975</v>
      </c>
    </row>
    <row r="4" spans="1:28">
      <c r="N4" s="3817"/>
      <c r="O4" s="3817"/>
      <c r="P4" s="3817"/>
      <c r="Q4" s="3817"/>
      <c r="R4" s="3817"/>
      <c r="S4" s="3817"/>
      <c r="T4" s="3817"/>
      <c r="Z4" s="1701"/>
      <c r="AA4" s="1701"/>
      <c r="AB4" s="1701"/>
    </row>
    <row r="5" spans="1:28">
      <c r="Y5" s="477" t="s">
        <v>1349</v>
      </c>
      <c r="Z5" s="1698">
        <v>1080</v>
      </c>
      <c r="AA5" s="1698">
        <v>13469</v>
      </c>
      <c r="AB5" s="1698">
        <v>14549</v>
      </c>
    </row>
    <row r="6" spans="1:28">
      <c r="D6" s="1702" t="s">
        <v>198</v>
      </c>
      <c r="E6" s="1703"/>
      <c r="F6" s="1702" t="s">
        <v>819</v>
      </c>
      <c r="G6" s="1703"/>
      <c r="H6" s="1702" t="s">
        <v>1350</v>
      </c>
      <c r="I6" s="1703"/>
      <c r="J6" s="1702" t="s">
        <v>676</v>
      </c>
      <c r="N6" s="1044" t="s">
        <v>1351</v>
      </c>
      <c r="O6" s="1044"/>
      <c r="P6" s="1044"/>
      <c r="Q6" s="1044"/>
      <c r="R6" s="1044"/>
      <c r="S6" s="1704" t="s">
        <v>1352</v>
      </c>
      <c r="T6" s="1705">
        <f>SUM(T9:T22)</f>
        <v>24705</v>
      </c>
      <c r="U6" s="1044"/>
      <c r="Z6" s="515"/>
      <c r="AA6" s="515"/>
      <c r="AB6" s="515"/>
    </row>
    <row r="7" spans="1:28" ht="13.5" thickBot="1">
      <c r="N7" s="69"/>
      <c r="T7" s="540"/>
      <c r="Y7" s="477" t="s">
        <v>24</v>
      </c>
      <c r="Z7" s="1221">
        <f>SUM(Z3:Z6)</f>
        <v>3282</v>
      </c>
      <c r="AA7" s="1221">
        <f>SUM(AA3:AA6)</f>
        <v>22242</v>
      </c>
      <c r="AB7" s="1221">
        <f>SUM(AB3:AB6)</f>
        <v>25524</v>
      </c>
    </row>
    <row r="8" spans="1:28">
      <c r="A8" s="1699" t="s">
        <v>1353</v>
      </c>
      <c r="N8" s="1706" t="s">
        <v>1354</v>
      </c>
      <c r="O8" s="1706"/>
      <c r="T8" s="540"/>
    </row>
    <row r="9" spans="1:28">
      <c r="A9" s="1699" t="s">
        <v>1355</v>
      </c>
      <c r="C9" s="1707" t="s">
        <v>1356</v>
      </c>
      <c r="D9" s="1708">
        <f>'G-2.07 OSC'!P33</f>
        <v>70434.467195778838</v>
      </c>
      <c r="E9" s="1709"/>
      <c r="F9" s="1710">
        <f>D9*F11</f>
        <v>49383.01364030446</v>
      </c>
      <c r="G9" s="1711"/>
      <c r="H9" s="1710">
        <f>D9*H11</f>
        <v>14585.569466901881</v>
      </c>
      <c r="I9" s="1711"/>
      <c r="J9" s="1710">
        <f>D9*J11</f>
        <v>6465.8840885724976</v>
      </c>
      <c r="N9" s="478" t="s">
        <v>1357</v>
      </c>
      <c r="R9" s="1712"/>
      <c r="S9" s="1704"/>
      <c r="T9" s="1713">
        <f>'G-2.07 OSC'!AA24</f>
        <v>22056.75</v>
      </c>
    </row>
    <row r="10" spans="1:28">
      <c r="D10" s="1714"/>
      <c r="E10" s="1715"/>
      <c r="F10" s="1714"/>
      <c r="G10" s="1715"/>
      <c r="H10" s="1714"/>
      <c r="I10" s="1715"/>
      <c r="T10" s="540"/>
      <c r="Y10" s="634" t="s">
        <v>1358</v>
      </c>
    </row>
    <row r="11" spans="1:28">
      <c r="A11" s="1699" t="s">
        <v>1359</v>
      </c>
      <c r="D11" s="1716">
        <f>SUM(F11:J11)</f>
        <v>0.99999999999999989</v>
      </c>
      <c r="E11" s="1717"/>
      <c r="F11" s="1718">
        <v>0.70111999999999997</v>
      </c>
      <c r="G11" s="1717"/>
      <c r="H11" s="1718">
        <v>0.20707999999999999</v>
      </c>
      <c r="I11" s="1717"/>
      <c r="J11" s="1718">
        <v>9.1800000000000007E-2</v>
      </c>
      <c r="O11" s="69" t="s">
        <v>1360</v>
      </c>
      <c r="P11" s="1719">
        <f>T9/2080</f>
        <v>10.604206730769231</v>
      </c>
      <c r="Q11" s="478" t="s">
        <v>25</v>
      </c>
      <c r="T11" s="540"/>
      <c r="Y11" s="1414"/>
      <c r="Z11" s="1414" t="s">
        <v>1346</v>
      </c>
      <c r="AA11" s="1414" t="s">
        <v>1347</v>
      </c>
      <c r="AB11" s="1414" t="s">
        <v>24</v>
      </c>
    </row>
    <row r="12" spans="1:28">
      <c r="D12" s="1714"/>
      <c r="E12" s="1715"/>
      <c r="F12" s="1720"/>
      <c r="G12" s="1715"/>
      <c r="H12" s="1720"/>
      <c r="I12" s="1715"/>
      <c r="J12" s="1721"/>
      <c r="T12" s="540"/>
      <c r="Y12" s="477" t="s">
        <v>1348</v>
      </c>
      <c r="Z12" s="1698">
        <v>612</v>
      </c>
      <c r="AA12" s="1698">
        <v>5142</v>
      </c>
      <c r="AB12" s="1698">
        <v>5754</v>
      </c>
    </row>
    <row r="13" spans="1:28">
      <c r="D13" s="1714"/>
      <c r="E13" s="1715"/>
      <c r="F13" s="1720"/>
      <c r="G13" s="1715"/>
      <c r="H13" s="1720"/>
      <c r="I13" s="1715"/>
      <c r="J13" s="1721"/>
      <c r="O13" s="69" t="s">
        <v>1361</v>
      </c>
      <c r="P13" s="1722">
        <v>98.699999999999989</v>
      </c>
      <c r="Q13" s="478" t="s">
        <v>26</v>
      </c>
      <c r="R13" s="478" t="s">
        <v>1362</v>
      </c>
      <c r="T13" s="540"/>
      <c r="Z13" s="1701"/>
      <c r="AA13" s="1701"/>
      <c r="AB13" s="1701"/>
    </row>
    <row r="14" spans="1:28">
      <c r="A14" s="1699" t="s">
        <v>1363</v>
      </c>
      <c r="F14" s="1718">
        <v>0.66942999999999997</v>
      </c>
      <c r="G14" s="1717"/>
      <c r="H14" s="1718">
        <v>0.71745999999999999</v>
      </c>
      <c r="I14" s="1717"/>
      <c r="J14" s="1721"/>
      <c r="P14" s="1723">
        <v>36.954200913723056</v>
      </c>
      <c r="Q14" s="1724" t="s">
        <v>27</v>
      </c>
      <c r="R14" s="478" t="s">
        <v>1364</v>
      </c>
      <c r="T14" s="540"/>
      <c r="Y14" s="477" t="s">
        <v>1349</v>
      </c>
      <c r="Z14" s="1698">
        <v>731</v>
      </c>
      <c r="AA14" s="1698">
        <v>9439</v>
      </c>
      <c r="AB14" s="1698">
        <v>10170</v>
      </c>
    </row>
    <row r="15" spans="1:28">
      <c r="D15" s="1714"/>
      <c r="E15" s="1715"/>
      <c r="F15" s="1714"/>
      <c r="G15" s="1715"/>
      <c r="H15" s="1714"/>
      <c r="I15" s="1715"/>
      <c r="O15" s="69"/>
      <c r="P15" s="1725">
        <v>5562</v>
      </c>
      <c r="Q15" s="1724" t="s">
        <v>28</v>
      </c>
      <c r="R15" s="478" t="s">
        <v>1365</v>
      </c>
      <c r="T15" s="540"/>
      <c r="Z15" s="515"/>
      <c r="AA15" s="515"/>
      <c r="AB15" s="515"/>
    </row>
    <row r="16" spans="1:28" ht="13.5" thickBot="1">
      <c r="A16" s="1699" t="s">
        <v>1366</v>
      </c>
      <c r="D16" s="1726">
        <f>F16+H16</f>
        <v>43523.033490952439</v>
      </c>
      <c r="E16" s="1711"/>
      <c r="F16" s="1726">
        <f>F9*F14</f>
        <v>33058.470821229013</v>
      </c>
      <c r="G16" s="1726"/>
      <c r="H16" s="1726">
        <f>H9*H14</f>
        <v>10464.562669723424</v>
      </c>
      <c r="I16" s="1711"/>
      <c r="T16" s="540"/>
      <c r="Y16" s="477" t="s">
        <v>24</v>
      </c>
      <c r="Z16" s="1221">
        <f>SUM(Z12:Z15)</f>
        <v>1343</v>
      </c>
      <c r="AA16" s="1221">
        <f>SUM(AA12:AA15)</f>
        <v>14581</v>
      </c>
      <c r="AB16" s="1221">
        <f>SUM(AB12:AB15)</f>
        <v>15924</v>
      </c>
    </row>
    <row r="17" spans="1:28" ht="14.25" thickTop="1" thickBot="1">
      <c r="P17" s="1727">
        <f>(P11*P13*P14)+(P11*P15)</f>
        <v>97658.16546061117</v>
      </c>
      <c r="R17" s="478" t="s">
        <v>1367</v>
      </c>
      <c r="T17" s="540"/>
    </row>
    <row r="18" spans="1:28" ht="14.25" thickTop="1" thickBot="1">
      <c r="A18" s="1699" t="s">
        <v>1368</v>
      </c>
      <c r="F18" s="1176">
        <f>-F16</f>
        <v>-33058.470821229013</v>
      </c>
      <c r="G18" s="1711"/>
      <c r="H18" s="1176">
        <f>-H16</f>
        <v>-10464.562669723424</v>
      </c>
      <c r="P18" s="1728"/>
      <c r="T18" s="540"/>
      <c r="Y18" s="634" t="s">
        <v>1369</v>
      </c>
    </row>
    <row r="19" spans="1:28" ht="13.5" thickTop="1">
      <c r="Q19" s="840"/>
      <c r="T19" s="540"/>
      <c r="Y19" s="1414"/>
      <c r="Z19" s="1414" t="s">
        <v>1346</v>
      </c>
      <c r="AA19" s="1414" t="s">
        <v>1347</v>
      </c>
      <c r="AB19" s="1414" t="s">
        <v>24</v>
      </c>
    </row>
    <row r="20" spans="1:28">
      <c r="A20" s="1699" t="s">
        <v>1370</v>
      </c>
      <c r="N20" s="1706" t="s">
        <v>1371</v>
      </c>
      <c r="Q20" s="840"/>
      <c r="T20" s="540"/>
      <c r="Y20" s="477" t="s">
        <v>1348</v>
      </c>
      <c r="Z20" s="1698">
        <f>(Z12/8*6)+(Z3/12*6)</f>
        <v>1560</v>
      </c>
      <c r="AA20" s="1698">
        <f>(AA12/8*6)+(AA3/12*6)</f>
        <v>8243</v>
      </c>
      <c r="AB20" s="1698">
        <f>(AB12/8*6)+(AB3/12*6)</f>
        <v>9803</v>
      </c>
    </row>
    <row r="21" spans="1:28">
      <c r="N21" s="478" t="s">
        <v>1357</v>
      </c>
      <c r="R21" s="1712"/>
      <c r="S21" s="1704" t="s">
        <v>1352</v>
      </c>
      <c r="T21" s="1713">
        <f>'G-2.07 OSC'!Z24</f>
        <v>2648.25</v>
      </c>
      <c r="Z21" s="1701"/>
      <c r="AA21" s="1701"/>
      <c r="AB21" s="1701"/>
    </row>
    <row r="22" spans="1:28">
      <c r="N22" s="1706"/>
      <c r="Q22" s="840"/>
      <c r="Y22" s="477" t="s">
        <v>1349</v>
      </c>
      <c r="Z22" s="1698">
        <f>(Z14/8*6)+(Z5/12*6)</f>
        <v>1088.25</v>
      </c>
      <c r="AA22" s="1698">
        <f>(AA14/8*6)+(AA5/12*6)</f>
        <v>13813.75</v>
      </c>
      <c r="AB22" s="1698">
        <f>(AB14/8*6)+(AB5/12*6)</f>
        <v>14902</v>
      </c>
    </row>
    <row r="23" spans="1:28">
      <c r="N23" s="1706"/>
      <c r="O23" s="69" t="s">
        <v>1360</v>
      </c>
      <c r="P23" s="1719">
        <f>T21/2080</f>
        <v>1.2731971153846153</v>
      </c>
      <c r="Q23" s="840" t="s">
        <v>25</v>
      </c>
      <c r="Z23" s="515"/>
      <c r="AA23" s="515"/>
      <c r="AB23" s="515"/>
    </row>
    <row r="24" spans="1:28" ht="13.5" thickBot="1">
      <c r="N24" s="1706"/>
      <c r="Q24" s="840"/>
      <c r="Y24" s="477" t="s">
        <v>24</v>
      </c>
      <c r="Z24" s="1729">
        <f>SUM(Z20:Z23)</f>
        <v>2648.25</v>
      </c>
      <c r="AA24" s="1729">
        <f>SUM(AA20:AA23)</f>
        <v>22056.75</v>
      </c>
      <c r="AB24" s="1221">
        <f>SUM(AB20:AB23)</f>
        <v>24705</v>
      </c>
    </row>
    <row r="25" spans="1:28">
      <c r="O25" s="69" t="s">
        <v>1372</v>
      </c>
      <c r="P25" s="1722">
        <v>202.79999999999998</v>
      </c>
      <c r="Q25" s="478" t="s">
        <v>26</v>
      </c>
      <c r="R25" s="478" t="s">
        <v>1362</v>
      </c>
      <c r="Y25" s="477" t="s">
        <v>1373</v>
      </c>
    </row>
    <row r="26" spans="1:28">
      <c r="P26" s="1724">
        <f>P14</f>
        <v>36.954200913723056</v>
      </c>
      <c r="Q26" s="1724" t="s">
        <v>27</v>
      </c>
      <c r="R26" s="478" t="s">
        <v>1364</v>
      </c>
    </row>
    <row r="27" spans="1:28">
      <c r="O27" s="69"/>
      <c r="P27" s="1725">
        <v>7840</v>
      </c>
      <c r="Q27" s="1724" t="s">
        <v>28</v>
      </c>
      <c r="R27" s="478" t="s">
        <v>1365</v>
      </c>
    </row>
    <row r="29" spans="1:28" ht="13.5" thickBot="1">
      <c r="P29" s="1727">
        <f>(P23*P25*P26)+(P23*P27)</f>
        <v>19523.601735167675</v>
      </c>
      <c r="R29" s="478" t="s">
        <v>1367</v>
      </c>
    </row>
    <row r="30" spans="1:28" ht="13.5" thickTop="1">
      <c r="P30" s="1728"/>
    </row>
    <row r="31" spans="1:28">
      <c r="P31" s="1730">
        <f>P29+P17</f>
        <v>117181.76719577884</v>
      </c>
      <c r="R31" s="1044" t="s">
        <v>1374</v>
      </c>
      <c r="S31" s="1044"/>
    </row>
    <row r="32" spans="1:28">
      <c r="N32" s="478" t="s">
        <v>1375</v>
      </c>
      <c r="P32" s="1731">
        <v>-46747.3</v>
      </c>
      <c r="R32" s="478" t="s">
        <v>1376</v>
      </c>
      <c r="S32" s="1044"/>
    </row>
    <row r="33" spans="14:21" ht="13.5" thickBot="1">
      <c r="N33" s="478" t="s">
        <v>1377</v>
      </c>
      <c r="P33" s="1732">
        <f>SUM(P31:P32)</f>
        <v>70434.467195778838</v>
      </c>
      <c r="R33" s="1044"/>
      <c r="S33" s="1044"/>
    </row>
    <row r="34" spans="14:21">
      <c r="P34" s="1704" t="s">
        <v>1378</v>
      </c>
    </row>
    <row r="37" spans="14:21">
      <c r="N37" s="1733" t="s">
        <v>1150</v>
      </c>
      <c r="O37" s="1734"/>
      <c r="P37" s="1734"/>
      <c r="Q37" s="1734"/>
      <c r="R37" s="88"/>
      <c r="S37" s="88"/>
      <c r="T37" s="88"/>
      <c r="U37" s="1735"/>
    </row>
    <row r="38" spans="14:21">
      <c r="N38" s="3818" t="s">
        <v>1379</v>
      </c>
      <c r="O38" s="3818"/>
      <c r="P38" s="3818"/>
      <c r="Q38" s="3818"/>
      <c r="R38" s="3818"/>
      <c r="S38" s="3818"/>
      <c r="T38" s="3818"/>
      <c r="U38" s="3818"/>
    </row>
    <row r="39" spans="14:21">
      <c r="N39" s="3818" t="s">
        <v>1380</v>
      </c>
      <c r="O39" s="3818"/>
      <c r="P39" s="3818"/>
      <c r="Q39" s="3818"/>
      <c r="R39" s="3818"/>
      <c r="S39" s="3818"/>
      <c r="T39" s="3818"/>
      <c r="U39" s="3818"/>
    </row>
    <row r="40" spans="14:21">
      <c r="N40" s="1257"/>
      <c r="O40" s="1736"/>
      <c r="P40" s="1736"/>
      <c r="Q40" s="1736"/>
      <c r="R40" s="1737"/>
      <c r="S40" s="1737"/>
      <c r="T40" s="1737"/>
      <c r="U40" s="1738"/>
    </row>
    <row r="41" spans="14:21">
      <c r="N41" s="1739"/>
      <c r="O41" s="1736"/>
      <c r="P41" s="1736"/>
      <c r="Q41" s="1736"/>
      <c r="R41" s="1737"/>
      <c r="S41" s="1737"/>
      <c r="T41" s="1737"/>
      <c r="U41" s="1738"/>
    </row>
  </sheetData>
  <mergeCells count="9">
    <mergeCell ref="N4:T4"/>
    <mergeCell ref="N38:U38"/>
    <mergeCell ref="N39:U39"/>
    <mergeCell ref="A1:J1"/>
    <mergeCell ref="N1:U1"/>
    <mergeCell ref="A2:J2"/>
    <mergeCell ref="N2:U2"/>
    <mergeCell ref="A3:J3"/>
    <mergeCell ref="N3:U3"/>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F7F78-4742-48C2-B438-CF0EE8CB4AFF}">
  <sheetPr codeName="Sheet21"/>
  <dimension ref="A1:AU46"/>
  <sheetViews>
    <sheetView workbookViewId="0">
      <selection sqref="A1:F1"/>
    </sheetView>
  </sheetViews>
  <sheetFormatPr defaultColWidth="8.85546875" defaultRowHeight="15"/>
  <cols>
    <col min="1" max="1" width="11" style="387" customWidth="1"/>
    <col min="2" max="2" width="42.7109375" style="387" customWidth="1"/>
    <col min="3" max="3" width="8.42578125" style="1750" customWidth="1"/>
    <col min="4" max="4" width="11.5703125" style="387" bestFit="1" customWidth="1"/>
    <col min="5" max="5" width="8.42578125" style="1750" customWidth="1"/>
    <col min="6" max="6" width="11.28515625" style="387" bestFit="1" customWidth="1"/>
    <col min="7" max="7" width="2.7109375" style="387" customWidth="1"/>
    <col min="8" max="8" width="1.7109375" style="1008" customWidth="1"/>
    <col min="9" max="9" width="8.85546875" style="477"/>
    <col min="10" max="10" width="8.7109375" style="1009" customWidth="1"/>
    <col min="11" max="11" width="11.85546875" style="1009" customWidth="1"/>
    <col min="12" max="12" width="10.5703125" style="1009" customWidth="1"/>
    <col min="13" max="13" width="48.140625" style="1009" bestFit="1" customWidth="1"/>
    <col min="14" max="14" width="21.85546875" style="1765" bestFit="1" customWidth="1"/>
    <col min="15" max="15" width="18.42578125" style="515" bestFit="1" customWidth="1"/>
    <col min="16" max="16" width="20.85546875" style="515" bestFit="1" customWidth="1"/>
    <col min="17" max="17" width="21.140625" style="515" bestFit="1" customWidth="1"/>
    <col min="18" max="18" width="8.85546875" style="477"/>
    <col min="19" max="19" width="1.7109375" style="1008" customWidth="1"/>
    <col min="20" max="20" width="8.85546875" style="477"/>
    <col min="21" max="22" width="8.85546875" style="1009"/>
    <col min="23" max="23" width="10" style="1009" customWidth="1"/>
    <col min="24" max="24" width="42.28515625" style="1009" bestFit="1" customWidth="1"/>
    <col min="25" max="25" width="6.28515625" style="1009" customWidth="1"/>
    <col min="26" max="29" width="18.28515625" style="1742" customWidth="1"/>
    <col min="30" max="30" width="8.85546875" style="477"/>
    <col min="31" max="31" width="1.7109375" style="1008" customWidth="1"/>
    <col min="32" max="32" width="8.85546875" style="477"/>
    <col min="33" max="33" width="23" style="477" customWidth="1"/>
    <col min="34" max="34" width="9.5703125" style="477" customWidth="1"/>
    <col min="35" max="35" width="13.85546875" style="477" customWidth="1"/>
    <col min="36" max="36" width="16" style="477" bestFit="1" customWidth="1"/>
    <col min="37" max="41" width="14.28515625" style="477" bestFit="1" customWidth="1"/>
    <col min="42" max="47" width="13.140625" style="477" bestFit="1" customWidth="1"/>
    <col min="48" max="16384" width="8.85546875" style="477"/>
  </cols>
  <sheetData>
    <row r="1" spans="1:47" ht="18.75">
      <c r="A1" s="3821" t="s">
        <v>1204</v>
      </c>
      <c r="B1" s="3821"/>
      <c r="C1" s="3821"/>
      <c r="D1" s="3821"/>
      <c r="E1" s="3821"/>
      <c r="F1" s="3821"/>
      <c r="G1" s="1740"/>
      <c r="J1" s="1230" t="s">
        <v>1381</v>
      </c>
      <c r="K1" s="1197"/>
      <c r="L1" s="1197"/>
      <c r="M1" s="1197"/>
      <c r="N1" s="1741"/>
      <c r="O1" s="1741"/>
      <c r="P1" s="1741"/>
      <c r="Q1" s="1741"/>
      <c r="U1" s="1230" t="s">
        <v>1382</v>
      </c>
      <c r="AG1" s="1743" t="s">
        <v>1383</v>
      </c>
      <c r="AH1" s="1744"/>
      <c r="AI1" s="1745"/>
      <c r="AJ1" s="1746"/>
      <c r="AK1" s="1746"/>
      <c r="AL1" s="1746"/>
      <c r="AM1" s="1746"/>
      <c r="AN1" s="1746"/>
      <c r="AO1" s="1746"/>
      <c r="AP1" s="1746"/>
      <c r="AQ1" s="1746"/>
      <c r="AR1" s="1746"/>
      <c r="AS1" s="1746"/>
      <c r="AT1" s="1746"/>
      <c r="AU1" s="1746"/>
    </row>
    <row r="2" spans="1:47" ht="15.75">
      <c r="A2" s="3821" t="s">
        <v>1384</v>
      </c>
      <c r="B2" s="3821"/>
      <c r="C2" s="3821"/>
      <c r="D2" s="3821"/>
      <c r="E2" s="3821"/>
      <c r="F2" s="3821"/>
      <c r="G2" s="1740"/>
      <c r="J2" s="1197"/>
      <c r="K2" s="1197"/>
      <c r="L2" s="1197"/>
      <c r="M2" s="1197"/>
      <c r="N2" s="1741"/>
      <c r="O2" s="1741"/>
      <c r="P2" s="1741"/>
      <c r="Q2" s="1741"/>
      <c r="AG2" s="1747" t="s">
        <v>1385</v>
      </c>
      <c r="AH2" s="1748"/>
      <c r="AI2" s="1749" t="s">
        <v>381</v>
      </c>
      <c r="AJ2" s="1749">
        <f>'G-2.08 RET'!B8</f>
        <v>44773</v>
      </c>
      <c r="AK2" s="1749">
        <f t="shared" ref="AK2:AU2" si="0">EDATE(AJ2,1)</f>
        <v>44804</v>
      </c>
      <c r="AL2" s="1749">
        <f t="shared" si="0"/>
        <v>44834</v>
      </c>
      <c r="AM2" s="1749">
        <f t="shared" si="0"/>
        <v>44864</v>
      </c>
      <c r="AN2" s="1749">
        <f t="shared" si="0"/>
        <v>44895</v>
      </c>
      <c r="AO2" s="1749">
        <f t="shared" si="0"/>
        <v>44925</v>
      </c>
      <c r="AP2" s="1749">
        <f t="shared" si="0"/>
        <v>44956</v>
      </c>
      <c r="AQ2" s="1749">
        <f t="shared" si="0"/>
        <v>44985</v>
      </c>
      <c r="AR2" s="1749">
        <f t="shared" si="0"/>
        <v>45013</v>
      </c>
      <c r="AS2" s="1749">
        <f t="shared" si="0"/>
        <v>45044</v>
      </c>
      <c r="AT2" s="1749">
        <f t="shared" si="0"/>
        <v>45074</v>
      </c>
      <c r="AU2" s="1749">
        <f t="shared" si="0"/>
        <v>45105</v>
      </c>
    </row>
    <row r="3" spans="1:47" ht="15.75">
      <c r="A3" s="3821" t="s">
        <v>580</v>
      </c>
      <c r="B3" s="3821"/>
      <c r="C3" s="3821"/>
      <c r="D3" s="3821"/>
      <c r="E3" s="3821"/>
      <c r="F3" s="3821"/>
      <c r="G3" s="1740"/>
      <c r="J3" s="1197"/>
      <c r="K3" s="1197"/>
      <c r="L3" s="1197"/>
      <c r="M3" s="1197"/>
      <c r="N3" s="1741" t="s">
        <v>1059</v>
      </c>
      <c r="O3" s="1741" t="s">
        <v>1386</v>
      </c>
      <c r="P3" s="1741" t="s">
        <v>1387</v>
      </c>
      <c r="Q3" s="1741" t="s">
        <v>1388</v>
      </c>
      <c r="Z3" s="1742" t="s">
        <v>1059</v>
      </c>
      <c r="AA3" s="1742" t="s">
        <v>1386</v>
      </c>
      <c r="AB3" s="1742" t="s">
        <v>1387</v>
      </c>
      <c r="AC3" s="1742" t="s">
        <v>1388</v>
      </c>
    </row>
    <row r="4" spans="1:47" ht="12.75">
      <c r="J4" s="1316" t="s">
        <v>1043</v>
      </c>
      <c r="K4" s="1316" t="s">
        <v>1058</v>
      </c>
      <c r="L4" s="1316" t="s">
        <v>1057</v>
      </c>
      <c r="M4" s="1316" t="s">
        <v>1389</v>
      </c>
      <c r="N4" s="1751"/>
      <c r="O4" s="1751"/>
      <c r="P4" s="1741"/>
      <c r="Q4" s="1741"/>
      <c r="U4" s="1009" t="s">
        <v>1043</v>
      </c>
      <c r="V4" s="1009" t="s">
        <v>1058</v>
      </c>
      <c r="W4" s="1009" t="s">
        <v>1057</v>
      </c>
      <c r="X4" s="1009" t="s">
        <v>1389</v>
      </c>
      <c r="AG4" s="1752" t="s">
        <v>1390</v>
      </c>
      <c r="AH4" s="1753"/>
    </row>
    <row r="5" spans="1:47">
      <c r="J5" s="1009" t="s">
        <v>1391</v>
      </c>
      <c r="K5" s="1009" t="s">
        <v>681</v>
      </c>
      <c r="L5" s="1009" t="s">
        <v>763</v>
      </c>
      <c r="M5" s="1754" t="s">
        <v>1392</v>
      </c>
      <c r="N5" s="1755">
        <v>-190777.55</v>
      </c>
      <c r="O5" s="1755">
        <v>-190777.55</v>
      </c>
      <c r="P5" s="515">
        <v>0</v>
      </c>
      <c r="Q5" s="515">
        <v>0</v>
      </c>
      <c r="U5" s="1009" t="s">
        <v>1393</v>
      </c>
      <c r="V5" s="1009" t="s">
        <v>681</v>
      </c>
      <c r="W5" s="1009" t="s">
        <v>763</v>
      </c>
      <c r="X5" s="1756" t="s">
        <v>1394</v>
      </c>
      <c r="Z5" s="1757">
        <v>44857.52</v>
      </c>
      <c r="AA5" s="515">
        <f>Z5</f>
        <v>44857.52</v>
      </c>
      <c r="AB5" s="515">
        <v>0</v>
      </c>
      <c r="AC5" s="1151">
        <v>0</v>
      </c>
      <c r="AG5" s="1758" t="s">
        <v>1395</v>
      </c>
      <c r="AH5" s="1745"/>
    </row>
    <row r="6" spans="1:47">
      <c r="B6" s="502" t="s">
        <v>1396</v>
      </c>
      <c r="D6" s="502" t="s">
        <v>729</v>
      </c>
      <c r="F6" s="502" t="s">
        <v>787</v>
      </c>
      <c r="N6" s="1759">
        <f>SUM(N5:N5)</f>
        <v>-190777.55</v>
      </c>
      <c r="O6" s="1760">
        <f>SUM(O5:O5)</f>
        <v>-190777.55</v>
      </c>
      <c r="P6" s="1760">
        <f>SUM(P5)</f>
        <v>0</v>
      </c>
      <c r="Q6" s="1760">
        <f>SUM(Q5)</f>
        <v>0</v>
      </c>
      <c r="X6" s="477" t="s">
        <v>1397</v>
      </c>
      <c r="Z6" s="1757">
        <v>43943.839999999997</v>
      </c>
      <c r="AA6" s="515">
        <f>Z6</f>
        <v>43943.839999999997</v>
      </c>
      <c r="AB6" s="515">
        <v>0</v>
      </c>
      <c r="AC6" s="1151">
        <v>0</v>
      </c>
      <c r="AG6" s="1761" t="s">
        <v>1398</v>
      </c>
      <c r="AH6" s="1745"/>
      <c r="AI6" s="1762">
        <f>SUM(AJ6:AU6)</f>
        <v>629111174.58075762</v>
      </c>
      <c r="AJ6" s="1763">
        <v>47873516.916330732</v>
      </c>
      <c r="AK6" s="1763">
        <v>55737701.303938843</v>
      </c>
      <c r="AL6" s="1763">
        <v>52741675.240579039</v>
      </c>
      <c r="AM6" s="1763">
        <v>43198735.620562851</v>
      </c>
      <c r="AN6" s="1746">
        <v>48919607.99074544</v>
      </c>
      <c r="AO6" s="1746">
        <v>61363468.479501836</v>
      </c>
      <c r="AP6" s="1746">
        <v>67973770.909098879</v>
      </c>
      <c r="AQ6" s="1746">
        <v>47120658.329999998</v>
      </c>
      <c r="AR6" s="1746">
        <v>62011167.32</v>
      </c>
      <c r="AS6" s="1746">
        <v>47457997.020000003</v>
      </c>
      <c r="AT6" s="1746">
        <v>48052652.009999998</v>
      </c>
      <c r="AU6" s="1746">
        <v>46660223.439999998</v>
      </c>
    </row>
    <row r="7" spans="1:47">
      <c r="B7" s="502"/>
      <c r="F7" s="1764"/>
      <c r="X7" s="477" t="s">
        <v>1399</v>
      </c>
      <c r="Z7" s="1757">
        <v>47509.82</v>
      </c>
      <c r="AA7" s="515">
        <f>Z7</f>
        <v>47509.82</v>
      </c>
      <c r="AB7" s="515">
        <v>0</v>
      </c>
      <c r="AC7" s="1151">
        <v>0</v>
      </c>
      <c r="AG7" s="1761" t="s">
        <v>1400</v>
      </c>
      <c r="AH7" s="1745"/>
      <c r="AI7" s="1762">
        <f>SUM(AJ7:AU7)</f>
        <v>777472.55</v>
      </c>
      <c r="AJ7" s="1763">
        <v>24230.81</v>
      </c>
      <c r="AK7" s="1763">
        <v>288255.73</v>
      </c>
      <c r="AL7" s="1763">
        <v>-87531.53</v>
      </c>
      <c r="AM7" s="1763">
        <v>94282.6</v>
      </c>
      <c r="AN7" s="1746">
        <v>230660.95</v>
      </c>
      <c r="AO7" s="1746">
        <v>-1030517.4099999999</v>
      </c>
      <c r="AP7" s="1746">
        <v>153157.38</v>
      </c>
      <c r="AQ7" s="1746">
        <v>352380.06</v>
      </c>
      <c r="AR7" s="1746">
        <v>135640.15</v>
      </c>
      <c r="AS7" s="1746">
        <v>243164.53</v>
      </c>
      <c r="AT7" s="1746">
        <v>138579.84999999998</v>
      </c>
      <c r="AU7" s="1746">
        <v>235169.43</v>
      </c>
    </row>
    <row r="8" spans="1:47">
      <c r="B8" s="1766">
        <v>44773</v>
      </c>
      <c r="C8" s="1767" t="s">
        <v>1401</v>
      </c>
      <c r="D8" s="1768">
        <f>'G-2.08 RET'!AJ15</f>
        <v>1808536.7280426144</v>
      </c>
      <c r="E8" s="1767" t="s">
        <v>1401</v>
      </c>
      <c r="F8" s="1768">
        <f>'G-2.08 RET'!AJ24</f>
        <v>220629.94610719997</v>
      </c>
      <c r="M8" s="1754" t="s">
        <v>1402</v>
      </c>
      <c r="N8" s="1769">
        <v>23936455.050000001</v>
      </c>
      <c r="O8" s="1769">
        <v>23936455.050000001</v>
      </c>
      <c r="X8" s="477" t="s">
        <v>1403</v>
      </c>
      <c r="Z8" s="1757">
        <v>54466.37</v>
      </c>
      <c r="AA8" s="515">
        <f>Z8</f>
        <v>54466.37</v>
      </c>
      <c r="AB8" s="515">
        <v>0</v>
      </c>
      <c r="AC8" s="1151">
        <v>0</v>
      </c>
      <c r="AG8" s="1761" t="s">
        <v>1404</v>
      </c>
      <c r="AH8" s="1745"/>
      <c r="AI8" s="1762">
        <f>SUM(AJ8:AU8)</f>
        <v>628333702.03075755</v>
      </c>
      <c r="AJ8" s="1770">
        <f t="shared" ref="AJ8:AU8" si="1">SUM(AJ6-AJ7)</f>
        <v>47849286.10633073</v>
      </c>
      <c r="AK8" s="1770">
        <f t="shared" si="1"/>
        <v>55449445.573938847</v>
      </c>
      <c r="AL8" s="1770">
        <f t="shared" si="1"/>
        <v>52829206.77057904</v>
      </c>
      <c r="AM8" s="1770">
        <f t="shared" si="1"/>
        <v>43104453.02056285</v>
      </c>
      <c r="AN8" s="1770">
        <f t="shared" si="1"/>
        <v>48688947.040745437</v>
      </c>
      <c r="AO8" s="1770">
        <f t="shared" si="1"/>
        <v>62393985.889501832</v>
      </c>
      <c r="AP8" s="1770">
        <f t="shared" si="1"/>
        <v>67820613.529098883</v>
      </c>
      <c r="AQ8" s="1770">
        <f t="shared" si="1"/>
        <v>46768278.269999996</v>
      </c>
      <c r="AR8" s="1770">
        <f t="shared" si="1"/>
        <v>61875527.170000002</v>
      </c>
      <c r="AS8" s="1770">
        <f t="shared" si="1"/>
        <v>47214832.490000002</v>
      </c>
      <c r="AT8" s="1770">
        <f t="shared" si="1"/>
        <v>47914072.159999996</v>
      </c>
      <c r="AU8" s="1770">
        <f t="shared" si="1"/>
        <v>46425054.009999998</v>
      </c>
    </row>
    <row r="9" spans="1:47">
      <c r="B9" s="1766">
        <f t="shared" ref="B9:B19" si="2">EDATE(B8,1)</f>
        <v>44804</v>
      </c>
      <c r="C9" s="1767" t="s">
        <v>1401</v>
      </c>
      <c r="D9" s="1768">
        <f>'G-2.08 RET'!AK15</f>
        <v>2103834.9848609474</v>
      </c>
      <c r="E9" s="1767" t="s">
        <v>1401</v>
      </c>
      <c r="F9" s="1768">
        <f>'G-2.08 RET'!AK24</f>
        <v>197502.49411000009</v>
      </c>
      <c r="G9" s="1771"/>
      <c r="M9" s="1754" t="s">
        <v>1405</v>
      </c>
      <c r="N9" s="1769">
        <f>458420.84-N10</f>
        <v>399554.07</v>
      </c>
      <c r="O9" s="1769">
        <f>458420.84-O10</f>
        <v>399554.07</v>
      </c>
      <c r="X9" s="477"/>
      <c r="Z9" s="1477">
        <v>0</v>
      </c>
      <c r="AA9" s="515">
        <f>Z9</f>
        <v>0</v>
      </c>
      <c r="AB9" s="515">
        <v>0</v>
      </c>
      <c r="AC9" s="1151">
        <v>0</v>
      </c>
      <c r="AG9" s="1746"/>
      <c r="AH9" s="1772"/>
      <c r="AI9" s="1773"/>
      <c r="AJ9" s="1774"/>
      <c r="AK9" s="1775"/>
      <c r="AL9" s="1774"/>
      <c r="AM9" s="1774"/>
      <c r="AN9" s="1773"/>
      <c r="AO9" s="1773"/>
      <c r="AP9" s="1773"/>
      <c r="AQ9" s="1773"/>
      <c r="AR9" s="1773"/>
      <c r="AS9" s="1773"/>
      <c r="AT9" s="1773"/>
      <c r="AU9" s="1773"/>
    </row>
    <row r="10" spans="1:47">
      <c r="B10" s="1766">
        <f t="shared" si="2"/>
        <v>44834</v>
      </c>
      <c r="C10" s="1767" t="s">
        <v>1401</v>
      </c>
      <c r="D10" s="1768">
        <f>'G-2.08 RET'!AL15</f>
        <v>1998776.6750516084</v>
      </c>
      <c r="E10" s="1767" t="s">
        <v>1401</v>
      </c>
      <c r="F10" s="1768">
        <f>'G-2.08 RET'!AL24</f>
        <v>207280.04272240002</v>
      </c>
      <c r="G10" s="1771"/>
      <c r="L10" s="1776" t="s">
        <v>1406</v>
      </c>
      <c r="M10" s="1754" t="s">
        <v>1407</v>
      </c>
      <c r="N10" s="1777">
        <v>58866.77</v>
      </c>
      <c r="O10" s="1777">
        <v>58866.77</v>
      </c>
      <c r="Y10" s="1778" t="s">
        <v>1406</v>
      </c>
      <c r="Z10" s="1779">
        <f>SUM(Z5:Z9)</f>
        <v>190777.55</v>
      </c>
      <c r="AA10" s="1780">
        <f>SUM(AA5:AA9)</f>
        <v>190777.55</v>
      </c>
      <c r="AB10" s="1781">
        <f>SUM(AB5:AB9)</f>
        <v>0</v>
      </c>
      <c r="AC10" s="1781">
        <f>SUM(AC5:AC9)</f>
        <v>0</v>
      </c>
      <c r="AG10" s="1782" t="s">
        <v>1408</v>
      </c>
      <c r="AH10" s="1783">
        <v>3.8733999999999998E-2</v>
      </c>
      <c r="AI10" s="1784">
        <f t="shared" ref="AI10:AI15" si="3">SUM(AJ10:AU10)</f>
        <v>24337877.614459366</v>
      </c>
      <c r="AJ10" s="1784">
        <f t="shared" ref="AJ10:AU10" si="4">AJ8*$AH$10</f>
        <v>1853394.2480426144</v>
      </c>
      <c r="AK10" s="1784">
        <f t="shared" si="4"/>
        <v>2147778.8248609472</v>
      </c>
      <c r="AL10" s="1784">
        <f t="shared" si="4"/>
        <v>2046286.4950516084</v>
      </c>
      <c r="AM10" s="1784">
        <f t="shared" si="4"/>
        <v>1669607.8832984813</v>
      </c>
      <c r="AN10" s="1784">
        <f t="shared" si="4"/>
        <v>1885917.6746762337</v>
      </c>
      <c r="AO10" s="1784">
        <f t="shared" si="4"/>
        <v>2416768.649443964</v>
      </c>
      <c r="AP10" s="1784">
        <f t="shared" si="4"/>
        <v>2626963.6444361159</v>
      </c>
      <c r="AQ10" s="1784">
        <f t="shared" si="4"/>
        <v>1811522.4905101797</v>
      </c>
      <c r="AR10" s="1784">
        <f t="shared" si="4"/>
        <v>2396686.66940278</v>
      </c>
      <c r="AS10" s="1784">
        <f t="shared" si="4"/>
        <v>1828819.32166766</v>
      </c>
      <c r="AT10" s="1784">
        <f t="shared" si="4"/>
        <v>1855903.6710454398</v>
      </c>
      <c r="AU10" s="1784">
        <f t="shared" si="4"/>
        <v>1798228.0420233398</v>
      </c>
    </row>
    <row r="11" spans="1:47">
      <c r="B11" s="1766">
        <f t="shared" si="2"/>
        <v>44864</v>
      </c>
      <c r="C11" s="1767" t="s">
        <v>1401</v>
      </c>
      <c r="D11" s="1768">
        <f>'G-2.08 RET'!AM15</f>
        <v>956192.95329848141</v>
      </c>
      <c r="E11" s="1767" t="s">
        <v>1401</v>
      </c>
      <c r="F11" s="1768">
        <f>'G-2.08 RET'!AM24</f>
        <v>259765.57832479998</v>
      </c>
      <c r="L11" s="1785"/>
      <c r="N11" s="1759">
        <f>SUM(N8:N10)</f>
        <v>24394875.890000001</v>
      </c>
      <c r="O11" s="1760">
        <f>SUM(O8:O10)</f>
        <v>24394875.890000001</v>
      </c>
      <c r="P11" s="1760">
        <f>SUM(P8:P10)</f>
        <v>0</v>
      </c>
      <c r="Q11" s="1760">
        <f>SUM(Q8:Q10)</f>
        <v>0</v>
      </c>
      <c r="Z11" s="1514"/>
      <c r="AA11" s="1514"/>
      <c r="AB11" s="1514"/>
      <c r="AC11" s="1786"/>
      <c r="AG11" s="1761" t="s">
        <v>1409</v>
      </c>
      <c r="AH11" s="1787" t="s">
        <v>1406</v>
      </c>
      <c r="AI11" s="1788">
        <f t="shared" si="3"/>
        <v>-658948.55999999994</v>
      </c>
      <c r="AJ11" s="1789">
        <v>0</v>
      </c>
      <c r="AK11" s="1789">
        <v>0</v>
      </c>
      <c r="AL11" s="1789">
        <v>0</v>
      </c>
      <c r="AM11" s="1789">
        <v>-658948.55999999994</v>
      </c>
      <c r="AN11" s="1789">
        <v>0</v>
      </c>
      <c r="AO11" s="1789">
        <v>0</v>
      </c>
      <c r="AP11" s="1789">
        <v>0</v>
      </c>
      <c r="AQ11" s="1789">
        <v>0</v>
      </c>
      <c r="AR11" s="1789">
        <v>0</v>
      </c>
      <c r="AS11" s="1789">
        <v>0</v>
      </c>
      <c r="AT11" s="1789">
        <v>0</v>
      </c>
      <c r="AU11" s="1789">
        <v>0</v>
      </c>
    </row>
    <row r="12" spans="1:47">
      <c r="B12" s="1766">
        <f t="shared" si="2"/>
        <v>44895</v>
      </c>
      <c r="C12" s="1767" t="s">
        <v>1401</v>
      </c>
      <c r="D12" s="1768">
        <f>'G-2.08 RET'!AN15</f>
        <v>1885917.6746762337</v>
      </c>
      <c r="E12" s="1767" t="s">
        <v>1401</v>
      </c>
      <c r="F12" s="1768">
        <f>'G-2.08 RET'!AN24</f>
        <v>841545.02052280004</v>
      </c>
      <c r="V12" s="1009" t="s">
        <v>680</v>
      </c>
      <c r="W12" s="1009" t="s">
        <v>763</v>
      </c>
      <c r="X12" s="1756" t="s">
        <v>1394</v>
      </c>
      <c r="Z12" s="1757">
        <v>29905.02</v>
      </c>
      <c r="AA12" s="1757">
        <v>0</v>
      </c>
      <c r="AB12" s="1477">
        <f>Z12</f>
        <v>29905.02</v>
      </c>
      <c r="AC12" s="1178">
        <v>0</v>
      </c>
      <c r="AG12" s="1761" t="s">
        <v>1410</v>
      </c>
      <c r="AH12" s="1787" t="s">
        <v>1406</v>
      </c>
      <c r="AI12" s="1790">
        <f t="shared" si="3"/>
        <v>0</v>
      </c>
      <c r="AJ12" s="1789">
        <v>0</v>
      </c>
      <c r="AK12" s="1789">
        <v>0</v>
      </c>
      <c r="AL12" s="1789">
        <v>0</v>
      </c>
      <c r="AM12" s="1789">
        <v>0</v>
      </c>
      <c r="AN12" s="1789">
        <v>0</v>
      </c>
      <c r="AO12" s="1789">
        <v>0</v>
      </c>
      <c r="AP12" s="1789">
        <v>0</v>
      </c>
      <c r="AQ12" s="1789">
        <v>0</v>
      </c>
      <c r="AR12" s="1789">
        <v>0</v>
      </c>
      <c r="AS12" s="1789">
        <v>0</v>
      </c>
      <c r="AT12" s="1789">
        <v>0</v>
      </c>
      <c r="AU12" s="1789">
        <v>0</v>
      </c>
    </row>
    <row r="13" spans="1:47">
      <c r="B13" s="1766">
        <f t="shared" si="2"/>
        <v>44925</v>
      </c>
      <c r="C13" s="1767" t="s">
        <v>1401</v>
      </c>
      <c r="D13" s="1768">
        <f>'G-2.08 RET'!AO15</f>
        <v>2416768.649443964</v>
      </c>
      <c r="E13" s="1767" t="s">
        <v>1401</v>
      </c>
      <c r="F13" s="1768">
        <f>'G-2.08 RET'!AO24</f>
        <v>1630555.4671439999</v>
      </c>
      <c r="M13" s="1754" t="s">
        <v>1411</v>
      </c>
      <c r="N13" s="1755">
        <v>7005.75</v>
      </c>
      <c r="O13" s="1755">
        <v>7005.75</v>
      </c>
      <c r="X13" s="477" t="s">
        <v>1397</v>
      </c>
      <c r="Z13" s="1791">
        <v>29295.9</v>
      </c>
      <c r="AA13" s="1757">
        <v>0</v>
      </c>
      <c r="AB13" s="1477">
        <f>Z13</f>
        <v>29295.9</v>
      </c>
      <c r="AC13" s="1178">
        <v>1</v>
      </c>
      <c r="AG13" s="1761" t="s">
        <v>1412</v>
      </c>
      <c r="AH13" s="1787" t="s">
        <v>1406</v>
      </c>
      <c r="AI13" s="1788">
        <f t="shared" si="3"/>
        <v>-190777.55</v>
      </c>
      <c r="AJ13" s="1789">
        <v>-44857.52</v>
      </c>
      <c r="AK13" s="1789">
        <v>-43943.839999999997</v>
      </c>
      <c r="AL13" s="1789">
        <v>-47509.82</v>
      </c>
      <c r="AM13" s="1789">
        <v>-54466.37</v>
      </c>
      <c r="AN13" s="1789">
        <v>0</v>
      </c>
      <c r="AO13" s="1789">
        <v>0</v>
      </c>
      <c r="AP13" s="1789">
        <v>0</v>
      </c>
      <c r="AQ13" s="1789">
        <v>0</v>
      </c>
      <c r="AR13" s="1789">
        <v>0</v>
      </c>
      <c r="AS13" s="1789">
        <v>0</v>
      </c>
      <c r="AT13" s="1789">
        <v>0</v>
      </c>
      <c r="AU13" s="1789">
        <v>0</v>
      </c>
    </row>
    <row r="14" spans="1:47">
      <c r="B14" s="1766">
        <f t="shared" si="2"/>
        <v>44956</v>
      </c>
      <c r="C14" s="1767" t="s">
        <v>1401</v>
      </c>
      <c r="D14" s="1768">
        <f>'G-2.08 RET'!AP15</f>
        <v>2626963.6444361159</v>
      </c>
      <c r="E14" s="1767" t="s">
        <v>1401</v>
      </c>
      <c r="F14" s="1768">
        <f>'G-2.08 RET'!AP24</f>
        <v>1670197.3508519998</v>
      </c>
      <c r="K14" s="1792" t="s">
        <v>1413</v>
      </c>
      <c r="M14" s="1778" t="s">
        <v>662</v>
      </c>
      <c r="N14" s="1759">
        <f>SUM(N13:N13)</f>
        <v>7005.75</v>
      </c>
      <c r="O14" s="1760">
        <f>SUM(O13:O13)</f>
        <v>7005.75</v>
      </c>
      <c r="P14" s="1760">
        <f>SUM(P13:P13)</f>
        <v>0</v>
      </c>
      <c r="Q14" s="1760">
        <f>SUM(Q13:Q13)</f>
        <v>0</v>
      </c>
      <c r="X14" s="477" t="s">
        <v>1399</v>
      </c>
      <c r="Z14" s="1791">
        <v>31673.22</v>
      </c>
      <c r="AA14" s="1757">
        <v>0</v>
      </c>
      <c r="AB14" s="1477">
        <f>Z14</f>
        <v>31673.22</v>
      </c>
      <c r="AC14" s="1178">
        <v>2</v>
      </c>
      <c r="AG14" s="1761" t="s">
        <v>1414</v>
      </c>
      <c r="AH14" s="1787" t="s">
        <v>1406</v>
      </c>
      <c r="AI14" s="1790">
        <f t="shared" si="3"/>
        <v>0</v>
      </c>
      <c r="AJ14" s="1789">
        <v>0</v>
      </c>
      <c r="AK14" s="1789">
        <v>0</v>
      </c>
      <c r="AL14" s="1789">
        <v>0</v>
      </c>
      <c r="AM14" s="1789">
        <v>0</v>
      </c>
      <c r="AN14" s="1789">
        <v>0</v>
      </c>
      <c r="AO14" s="1789">
        <v>0</v>
      </c>
      <c r="AP14" s="1789">
        <v>0</v>
      </c>
      <c r="AQ14" s="1789">
        <v>0</v>
      </c>
      <c r="AR14" s="1789">
        <v>0</v>
      </c>
      <c r="AS14" s="1789">
        <v>0</v>
      </c>
      <c r="AT14" s="1789">
        <v>0</v>
      </c>
      <c r="AU14" s="1789">
        <v>0</v>
      </c>
    </row>
    <row r="15" spans="1:47" ht="15.75" thickBot="1">
      <c r="B15" s="1766">
        <f t="shared" si="2"/>
        <v>44985</v>
      </c>
      <c r="C15" s="1767" t="s">
        <v>1401</v>
      </c>
      <c r="D15" s="1768">
        <f>'G-2.08 RET'!AQ15</f>
        <v>1811522.4905101797</v>
      </c>
      <c r="E15" s="1767" t="s">
        <v>1401</v>
      </c>
      <c r="F15" s="1768">
        <f>'G-2.08 RET'!AQ24</f>
        <v>1285048.5843779999</v>
      </c>
      <c r="K15" s="1793">
        <f>N16-N14</f>
        <v>24204098.34</v>
      </c>
      <c r="L15" s="1785" t="s">
        <v>1406</v>
      </c>
      <c r="X15" s="477" t="s">
        <v>1403</v>
      </c>
      <c r="Z15" s="1791">
        <v>36310.910000000003</v>
      </c>
      <c r="AA15" s="1757">
        <v>0</v>
      </c>
      <c r="AB15" s="1477">
        <f>Z15</f>
        <v>36310.910000000003</v>
      </c>
      <c r="AC15" s="1178">
        <v>3</v>
      </c>
      <c r="AG15" s="1782" t="s">
        <v>1415</v>
      </c>
      <c r="AH15" s="1787"/>
      <c r="AI15" s="1794">
        <f t="shared" si="3"/>
        <v>23488151.504459366</v>
      </c>
      <c r="AJ15" s="1794">
        <f t="shared" ref="AJ15:AU15" si="5">SUM(AJ10:AJ13)</f>
        <v>1808536.7280426144</v>
      </c>
      <c r="AK15" s="1794">
        <f t="shared" si="5"/>
        <v>2103834.9848609474</v>
      </c>
      <c r="AL15" s="1794">
        <f t="shared" si="5"/>
        <v>1998776.6750516084</v>
      </c>
      <c r="AM15" s="1794">
        <f t="shared" si="5"/>
        <v>956192.95329848141</v>
      </c>
      <c r="AN15" s="1794">
        <f t="shared" si="5"/>
        <v>1885917.6746762337</v>
      </c>
      <c r="AO15" s="1794">
        <f t="shared" si="5"/>
        <v>2416768.649443964</v>
      </c>
      <c r="AP15" s="1794">
        <f t="shared" si="5"/>
        <v>2626963.6444361159</v>
      </c>
      <c r="AQ15" s="1794">
        <f t="shared" si="5"/>
        <v>1811522.4905101797</v>
      </c>
      <c r="AR15" s="1794">
        <f t="shared" si="5"/>
        <v>2396686.66940278</v>
      </c>
      <c r="AS15" s="1794">
        <f t="shared" si="5"/>
        <v>1828819.32166766</v>
      </c>
      <c r="AT15" s="1794">
        <f t="shared" si="5"/>
        <v>1855903.6710454398</v>
      </c>
      <c r="AU15" s="1794">
        <f t="shared" si="5"/>
        <v>1798228.0420233398</v>
      </c>
    </row>
    <row r="16" spans="1:47" ht="13.5" thickTop="1">
      <c r="B16" s="1766">
        <f t="shared" si="2"/>
        <v>45013</v>
      </c>
      <c r="C16" s="1767" t="s">
        <v>1401</v>
      </c>
      <c r="D16" s="1768">
        <f>'G-2.08 RET'!AR15</f>
        <v>2396686.66940278</v>
      </c>
      <c r="E16" s="1767" t="s">
        <v>1401</v>
      </c>
      <c r="F16" s="1768">
        <f>'G-2.08 RET'!AR24</f>
        <v>1430754.7354452007</v>
      </c>
      <c r="K16" s="1197" t="s">
        <v>1416</v>
      </c>
      <c r="L16" s="1197"/>
      <c r="M16" s="1778" t="s">
        <v>1417</v>
      </c>
      <c r="N16" s="1795">
        <f>SUM(N14,N11,N6,)</f>
        <v>24211104.09</v>
      </c>
      <c r="O16" s="1795">
        <f>SUM(O14,O11,O6,)</f>
        <v>24211104.09</v>
      </c>
      <c r="P16" s="1795">
        <f>SUM(P14,P11,P6,)</f>
        <v>0</v>
      </c>
      <c r="Q16" s="1795">
        <f>SUM(Q14,Q11,Q6,)</f>
        <v>0</v>
      </c>
      <c r="X16" s="477"/>
      <c r="Z16" s="1475">
        <v>0</v>
      </c>
      <c r="AA16" s="1475">
        <v>0</v>
      </c>
      <c r="AB16" s="1475">
        <f>Z16</f>
        <v>0</v>
      </c>
      <c r="AC16" s="515">
        <v>0</v>
      </c>
      <c r="AG16" s="1746"/>
      <c r="AH16" s="1772"/>
      <c r="AI16" s="1796"/>
      <c r="AJ16" s="1796" t="s">
        <v>1406</v>
      </c>
      <c r="AK16" s="1796" t="s">
        <v>1406</v>
      </c>
      <c r="AL16" s="1796" t="s">
        <v>1406</v>
      </c>
      <c r="AM16" s="1796" t="s">
        <v>1406</v>
      </c>
      <c r="AN16" s="1796" t="s">
        <v>1406</v>
      </c>
      <c r="AO16" s="1796" t="s">
        <v>1406</v>
      </c>
      <c r="AP16" s="1796" t="s">
        <v>1406</v>
      </c>
      <c r="AQ16" s="1796" t="s">
        <v>1406</v>
      </c>
      <c r="AR16" s="1796" t="s">
        <v>1406</v>
      </c>
      <c r="AS16" s="1796" t="s">
        <v>1406</v>
      </c>
      <c r="AT16" s="1796" t="s">
        <v>1406</v>
      </c>
      <c r="AU16" s="1796" t="s">
        <v>1406</v>
      </c>
    </row>
    <row r="17" spans="1:47">
      <c r="B17" s="1766">
        <f t="shared" si="2"/>
        <v>45044</v>
      </c>
      <c r="C17" s="1767" t="s">
        <v>1401</v>
      </c>
      <c r="D17" s="1768">
        <f>'G-2.08 RET'!AS15</f>
        <v>1828819.32166766</v>
      </c>
      <c r="E17" s="1767" t="s">
        <v>1401</v>
      </c>
      <c r="F17" s="1768">
        <f>'G-2.08 RET'!AS24</f>
        <v>906603.44387399999</v>
      </c>
      <c r="Y17" s="1778" t="s">
        <v>1406</v>
      </c>
      <c r="Z17" s="1779">
        <f>SUM(Z12:Z16)</f>
        <v>127185.05</v>
      </c>
      <c r="AA17" s="1760">
        <f>SUM(AA12:AA16)</f>
        <v>0</v>
      </c>
      <c r="AB17" s="1780">
        <f>SUM(AB12:AB16)</f>
        <v>127185.05</v>
      </c>
      <c r="AC17" s="1760">
        <f>SUM(AC12:AC16)</f>
        <v>6</v>
      </c>
      <c r="AG17" s="1758" t="s">
        <v>1418</v>
      </c>
      <c r="AH17" s="1745"/>
      <c r="AI17" s="1746"/>
      <c r="AJ17" s="1763"/>
      <c r="AK17" s="1797"/>
      <c r="AL17" s="1763"/>
      <c r="AM17" s="1763"/>
      <c r="AN17" s="1746"/>
      <c r="AO17" s="1746"/>
      <c r="AP17" s="1746"/>
      <c r="AQ17" s="1746"/>
      <c r="AR17" s="1746"/>
      <c r="AS17" s="1746"/>
      <c r="AT17" s="1746"/>
      <c r="AU17" s="1746"/>
    </row>
    <row r="18" spans="1:47">
      <c r="B18" s="1766">
        <f t="shared" si="2"/>
        <v>45074</v>
      </c>
      <c r="C18" s="1767" t="s">
        <v>1401</v>
      </c>
      <c r="D18" s="1768">
        <f>'G-2.08 RET'!AT15</f>
        <v>1855903.6710454398</v>
      </c>
      <c r="E18" s="1767" t="s">
        <v>1401</v>
      </c>
      <c r="F18" s="1768">
        <f>'G-2.08 RET'!AT24</f>
        <v>567383.99554799986</v>
      </c>
      <c r="Z18" s="515"/>
      <c r="AA18" s="515"/>
      <c r="AB18" s="515"/>
      <c r="AC18" s="515"/>
      <c r="AG18" s="1761" t="s">
        <v>1398</v>
      </c>
      <c r="AH18" s="1745"/>
      <c r="AI18" s="1746">
        <f>SUM(AJ18:AU18)</f>
        <v>251298846.72623053</v>
      </c>
      <c r="AJ18" s="1763">
        <v>6515042.363821391</v>
      </c>
      <c r="AK18" s="1763">
        <v>5952865.1575181745</v>
      </c>
      <c r="AL18" s="1763">
        <v>6201138.28007269</v>
      </c>
      <c r="AM18" s="1763">
        <v>7719496.5120664584</v>
      </c>
      <c r="AN18" s="1746">
        <v>21896622.199605402</v>
      </c>
      <c r="AO18" s="1746">
        <v>42205332.863146417</v>
      </c>
      <c r="AP18" s="1746">
        <v>43402933.889999993</v>
      </c>
      <c r="AQ18" s="1746">
        <v>33403294.469999999</v>
      </c>
      <c r="AR18" s="1746">
        <v>37198142.460000023</v>
      </c>
      <c r="AS18" s="1746">
        <v>23623412.77</v>
      </c>
      <c r="AT18" s="1746">
        <v>14802268.779999997</v>
      </c>
      <c r="AU18" s="1746">
        <v>8378296.9799999977</v>
      </c>
    </row>
    <row r="19" spans="1:47" ht="15.75" thickBot="1">
      <c r="B19" s="1766">
        <f t="shared" si="2"/>
        <v>45105</v>
      </c>
      <c r="C19" s="1767" t="s">
        <v>1401</v>
      </c>
      <c r="D19" s="1768">
        <f>'G-2.08 RET'!AU15</f>
        <v>1798228.0420233398</v>
      </c>
      <c r="E19" s="1767" t="s">
        <v>1401</v>
      </c>
      <c r="F19" s="1768">
        <f>'G-2.08 RET'!AU24</f>
        <v>319727.4974495999</v>
      </c>
      <c r="G19" s="1771"/>
      <c r="M19" s="1754" t="s">
        <v>1419</v>
      </c>
      <c r="N19" s="1769">
        <v>-127185.05</v>
      </c>
      <c r="O19" s="1477">
        <v>0</v>
      </c>
      <c r="P19" s="1769">
        <v>-127185.05</v>
      </c>
      <c r="Q19" s="515">
        <v>0</v>
      </c>
      <c r="U19" s="1009" t="s">
        <v>24</v>
      </c>
      <c r="Z19" s="1798">
        <f>SUM(Z17,Z10)</f>
        <v>317962.59999999998</v>
      </c>
      <c r="AA19" s="1798">
        <f>SUM(AA17,AA10)</f>
        <v>190777.55</v>
      </c>
      <c r="AB19" s="1798">
        <f>SUM(AB17,AB10)</f>
        <v>127185.05</v>
      </c>
      <c r="AC19" s="1798">
        <f>SUM(AC17,AC10)</f>
        <v>6</v>
      </c>
      <c r="AG19" s="1761" t="s">
        <v>1420</v>
      </c>
      <c r="AH19" s="1745"/>
      <c r="AI19" s="1746">
        <f>SUM(AJ19:AU19)</f>
        <v>411536.07</v>
      </c>
      <c r="AJ19" s="1763">
        <v>11019.36</v>
      </c>
      <c r="AK19" s="1763">
        <v>65056.38</v>
      </c>
      <c r="AL19" s="1763">
        <v>-2217.4499999999998</v>
      </c>
      <c r="AM19" s="1763">
        <v>33191</v>
      </c>
      <c r="AN19" s="1746">
        <v>49659.05</v>
      </c>
      <c r="AO19" s="1746">
        <v>-124767.53</v>
      </c>
      <c r="AP19" s="1746">
        <v>43708.79</v>
      </c>
      <c r="AQ19" s="1746">
        <v>42739.32</v>
      </c>
      <c r="AR19" s="1746">
        <v>54976.95</v>
      </c>
      <c r="AS19" s="1746">
        <v>87497.82</v>
      </c>
      <c r="AT19" s="1746">
        <v>72673.88</v>
      </c>
      <c r="AU19" s="1746">
        <v>77998.5</v>
      </c>
    </row>
    <row r="20" spans="1:47" ht="15.75" thickTop="1">
      <c r="D20" s="1799"/>
      <c r="E20" s="1800"/>
      <c r="F20" s="1799"/>
      <c r="M20" s="1754" t="s">
        <v>1421</v>
      </c>
      <c r="N20" s="1769">
        <v>9670990.6400000006</v>
      </c>
      <c r="O20" s="1477">
        <v>0</v>
      </c>
      <c r="P20" s="1769">
        <v>9670990.6400000006</v>
      </c>
      <c r="Q20" s="515">
        <v>0</v>
      </c>
      <c r="Z20" s="515"/>
      <c r="AA20" s="515"/>
      <c r="AB20" s="515"/>
      <c r="AC20" s="515"/>
      <c r="AG20" s="1761" t="s">
        <v>1404</v>
      </c>
      <c r="AH20" s="1787"/>
      <c r="AI20" s="1746">
        <f>SUM(AJ20:AU20)</f>
        <v>250887310.65623054</v>
      </c>
      <c r="AJ20" s="1801">
        <f t="shared" ref="AJ20:AU20" si="6">SUM(AJ18-AJ19)</f>
        <v>6504023.0038213907</v>
      </c>
      <c r="AK20" s="1801">
        <f t="shared" si="6"/>
        <v>5887808.7775181746</v>
      </c>
      <c r="AL20" s="1801">
        <f t="shared" si="6"/>
        <v>6203355.7300726902</v>
      </c>
      <c r="AM20" s="1801">
        <f t="shared" si="6"/>
        <v>7686305.5120664584</v>
      </c>
      <c r="AN20" s="1801">
        <f t="shared" si="6"/>
        <v>21846963.149605401</v>
      </c>
      <c r="AO20" s="1801">
        <f t="shared" si="6"/>
        <v>42330100.393146418</v>
      </c>
      <c r="AP20" s="1801">
        <f t="shared" si="6"/>
        <v>43359225.099999994</v>
      </c>
      <c r="AQ20" s="1801">
        <f t="shared" si="6"/>
        <v>33360555.149999999</v>
      </c>
      <c r="AR20" s="1801">
        <f t="shared" si="6"/>
        <v>37143165.51000002</v>
      </c>
      <c r="AS20" s="1801">
        <f t="shared" si="6"/>
        <v>23535914.949999999</v>
      </c>
      <c r="AT20" s="1801">
        <f t="shared" si="6"/>
        <v>14729594.899999997</v>
      </c>
      <c r="AU20" s="1801">
        <f t="shared" si="6"/>
        <v>8300298.4799999977</v>
      </c>
    </row>
    <row r="21" spans="1:47">
      <c r="A21" s="387" t="s">
        <v>1422</v>
      </c>
      <c r="D21" s="1802">
        <f>SUM(D8:D19)</f>
        <v>23488151.504459366</v>
      </c>
      <c r="E21" s="1803"/>
      <c r="F21" s="1802">
        <f>SUM(F8:F19)</f>
        <v>9536994.1564780008</v>
      </c>
      <c r="G21" s="1804"/>
      <c r="M21" s="1754" t="s">
        <v>1423</v>
      </c>
      <c r="N21" s="1769">
        <f>-3138.8-N22</f>
        <v>-4630.6100000000006</v>
      </c>
      <c r="O21" s="1477">
        <v>0</v>
      </c>
      <c r="P21" s="1769">
        <f>-3138.8-P22</f>
        <v>-4630.6100000000006</v>
      </c>
      <c r="Q21" s="515">
        <v>0</v>
      </c>
      <c r="Z21" s="515"/>
      <c r="AA21" s="515"/>
      <c r="AB21" s="515"/>
      <c r="AC21" s="515"/>
      <c r="AG21" s="1746"/>
      <c r="AH21" s="1772"/>
      <c r="AI21" s="1773"/>
      <c r="AJ21" s="1774"/>
      <c r="AK21" s="1775"/>
      <c r="AL21" s="1774"/>
      <c r="AM21" s="1774"/>
      <c r="AN21" s="1773"/>
      <c r="AO21" s="1773"/>
      <c r="AP21" s="1773"/>
      <c r="AQ21" s="1773"/>
      <c r="AR21" s="1773"/>
      <c r="AS21" s="1773"/>
      <c r="AT21" s="1773"/>
      <c r="AU21" s="1773"/>
    </row>
    <row r="22" spans="1:47">
      <c r="A22" s="387" t="s">
        <v>1424</v>
      </c>
      <c r="C22" s="1767" t="s">
        <v>1401</v>
      </c>
      <c r="D22" s="1802">
        <f>-'G-2.08 RET'!AI11-'G-2.08 RET'!AI12</f>
        <v>658948.55999999994</v>
      </c>
      <c r="E22" s="1803"/>
      <c r="F22" s="1802">
        <v>0</v>
      </c>
      <c r="G22" s="1804"/>
      <c r="L22" s="1776" t="s">
        <v>1406</v>
      </c>
      <c r="M22" s="1754" t="s">
        <v>1425</v>
      </c>
      <c r="N22" s="1777">
        <v>1491.81</v>
      </c>
      <c r="O22" s="1477">
        <v>0</v>
      </c>
      <c r="P22" s="1777">
        <v>1491.81</v>
      </c>
      <c r="Q22" s="515">
        <v>0</v>
      </c>
      <c r="Z22" s="515"/>
      <c r="AA22" s="515"/>
      <c r="AB22" s="515"/>
      <c r="AC22" s="515"/>
      <c r="AG22" s="1782" t="s">
        <v>1408</v>
      </c>
      <c r="AH22" s="1805">
        <v>3.8519999999999999E-2</v>
      </c>
      <c r="AI22" s="1784">
        <f>SUM(AJ22:AU22)</f>
        <v>9664179.2064779997</v>
      </c>
      <c r="AJ22" s="1784">
        <f t="shared" ref="AJ22:AU22" si="7">$AH$22*AJ20</f>
        <v>250534.96610719996</v>
      </c>
      <c r="AK22" s="1784">
        <f t="shared" si="7"/>
        <v>226798.39411000008</v>
      </c>
      <c r="AL22" s="1784">
        <f t="shared" si="7"/>
        <v>238953.26272240002</v>
      </c>
      <c r="AM22" s="1784">
        <f t="shared" si="7"/>
        <v>296076.48832479998</v>
      </c>
      <c r="AN22" s="1784">
        <f t="shared" si="7"/>
        <v>841545.02052280004</v>
      </c>
      <c r="AO22" s="1784">
        <f t="shared" si="7"/>
        <v>1630555.4671439999</v>
      </c>
      <c r="AP22" s="1784">
        <f t="shared" si="7"/>
        <v>1670197.3508519998</v>
      </c>
      <c r="AQ22" s="1784">
        <f t="shared" si="7"/>
        <v>1285048.5843779999</v>
      </c>
      <c r="AR22" s="1784">
        <f t="shared" si="7"/>
        <v>1430754.7354452007</v>
      </c>
      <c r="AS22" s="1784">
        <f t="shared" si="7"/>
        <v>906603.44387399999</v>
      </c>
      <c r="AT22" s="1784">
        <f t="shared" si="7"/>
        <v>567383.99554799986</v>
      </c>
      <c r="AU22" s="1784">
        <f t="shared" si="7"/>
        <v>319727.4974495999</v>
      </c>
    </row>
    <row r="23" spans="1:47" ht="15.75" thickBot="1">
      <c r="A23" s="387" t="s">
        <v>1426</v>
      </c>
      <c r="D23" s="1806">
        <f>SUM(D21:D22)</f>
        <v>24147100.064459365</v>
      </c>
      <c r="E23" s="1807"/>
      <c r="F23" s="1806">
        <f>SUM(F21:F22)</f>
        <v>9536994.1564780008</v>
      </c>
      <c r="G23" s="1804"/>
      <c r="N23" s="1759">
        <f>SUM(N19:N22)</f>
        <v>9540666.790000001</v>
      </c>
      <c r="O23" s="1760">
        <f>SUM(O19:O22)</f>
        <v>0</v>
      </c>
      <c r="P23" s="1760">
        <f>SUM(P19:P22)</f>
        <v>9540666.790000001</v>
      </c>
      <c r="Q23" s="1760">
        <f>SUM(Q19:Q22)</f>
        <v>0</v>
      </c>
      <c r="AG23" s="1761" t="s">
        <v>1427</v>
      </c>
      <c r="AH23" s="1787" t="s">
        <v>1406</v>
      </c>
      <c r="AI23" s="1788">
        <f>SUM(AJ23:AU23)</f>
        <v>-127185.05</v>
      </c>
      <c r="AJ23" s="1808">
        <v>-29905.02</v>
      </c>
      <c r="AK23" s="1809">
        <v>-29295.9</v>
      </c>
      <c r="AL23" s="1810">
        <v>-31673.22</v>
      </c>
      <c r="AM23" s="1810">
        <v>-36310.910000000003</v>
      </c>
      <c r="AN23" s="1810">
        <v>0</v>
      </c>
      <c r="AO23" s="1789">
        <v>0</v>
      </c>
      <c r="AP23" s="1808">
        <v>0</v>
      </c>
      <c r="AQ23" s="1810">
        <v>0</v>
      </c>
      <c r="AR23" s="1810">
        <v>0</v>
      </c>
      <c r="AS23" s="1789">
        <v>0</v>
      </c>
      <c r="AT23" s="1789">
        <v>0</v>
      </c>
      <c r="AU23" s="1789">
        <v>0</v>
      </c>
    </row>
    <row r="24" spans="1:47" ht="15.75" thickBot="1">
      <c r="D24" s="1802"/>
      <c r="E24" s="1803"/>
      <c r="F24" s="1802"/>
      <c r="G24" s="1804"/>
      <c r="AG24" s="1782" t="s">
        <v>1428</v>
      </c>
      <c r="AH24" s="1805"/>
      <c r="AI24" s="1794">
        <f>SUM(AJ24:AU24)</f>
        <v>9536994.1564780008</v>
      </c>
      <c r="AJ24" s="1794">
        <f t="shared" ref="AJ24:AU24" si="8">SUM(AJ22:AJ23)</f>
        <v>220629.94610719997</v>
      </c>
      <c r="AK24" s="1794">
        <f t="shared" si="8"/>
        <v>197502.49411000009</v>
      </c>
      <c r="AL24" s="1794">
        <f t="shared" si="8"/>
        <v>207280.04272240002</v>
      </c>
      <c r="AM24" s="1794">
        <f t="shared" si="8"/>
        <v>259765.57832479998</v>
      </c>
      <c r="AN24" s="1794">
        <f t="shared" si="8"/>
        <v>841545.02052280004</v>
      </c>
      <c r="AO24" s="1794">
        <f t="shared" si="8"/>
        <v>1630555.4671439999</v>
      </c>
      <c r="AP24" s="1794">
        <f t="shared" si="8"/>
        <v>1670197.3508519998</v>
      </c>
      <c r="AQ24" s="1794">
        <f t="shared" si="8"/>
        <v>1285048.5843779999</v>
      </c>
      <c r="AR24" s="1794">
        <f t="shared" si="8"/>
        <v>1430754.7354452007</v>
      </c>
      <c r="AS24" s="1794">
        <f t="shared" si="8"/>
        <v>906603.44387399999</v>
      </c>
      <c r="AT24" s="1794">
        <f t="shared" si="8"/>
        <v>567383.99554799986</v>
      </c>
      <c r="AU24" s="1794">
        <f t="shared" si="8"/>
        <v>319727.4974495999</v>
      </c>
    </row>
    <row r="25" spans="1:47" ht="15.75" thickTop="1">
      <c r="A25" s="3822" t="s">
        <v>1429</v>
      </c>
      <c r="B25" s="3822"/>
      <c r="C25" s="1767" t="s">
        <v>1430</v>
      </c>
      <c r="D25" s="1768">
        <f>'G-2.08 RET'!N16-'G-2.08 RET'!N14</f>
        <v>24204098.34</v>
      </c>
      <c r="E25" s="1767" t="s">
        <v>1430</v>
      </c>
      <c r="F25" s="1768">
        <f>'G-2.08 RET'!P25</f>
        <v>9540666.790000001</v>
      </c>
      <c r="G25" s="1811"/>
      <c r="J25" s="1197"/>
      <c r="K25" s="1197" t="s">
        <v>1431</v>
      </c>
      <c r="L25" s="1197"/>
      <c r="M25" s="1778" t="s">
        <v>1432</v>
      </c>
      <c r="N25" s="1795">
        <f>SUM(N23)</f>
        <v>9540666.790000001</v>
      </c>
      <c r="O25" s="1795">
        <f>SUM(O23)</f>
        <v>0</v>
      </c>
      <c r="P25" s="1812">
        <f>SUM(P23)</f>
        <v>9540666.790000001</v>
      </c>
      <c r="Q25" s="1795">
        <f>SUM(Q23)</f>
        <v>0</v>
      </c>
      <c r="U25" s="1230" t="s">
        <v>1433</v>
      </c>
      <c r="V25" s="477"/>
      <c r="W25" s="477"/>
      <c r="X25" s="477"/>
      <c r="Y25" s="477"/>
      <c r="Z25" s="477"/>
      <c r="AA25" s="477"/>
      <c r="AB25" s="477"/>
      <c r="AI25" s="1796"/>
      <c r="AJ25" s="1796" t="s">
        <v>1406</v>
      </c>
      <c r="AK25" s="1796" t="s">
        <v>1406</v>
      </c>
      <c r="AL25" s="1796" t="s">
        <v>1406</v>
      </c>
      <c r="AM25" s="1796" t="s">
        <v>1406</v>
      </c>
      <c r="AN25" s="1796" t="s">
        <v>1406</v>
      </c>
      <c r="AO25" s="1796" t="s">
        <v>1406</v>
      </c>
      <c r="AP25" s="1796" t="s">
        <v>1406</v>
      </c>
      <c r="AQ25" s="1796" t="s">
        <v>1406</v>
      </c>
      <c r="AR25" s="1796" t="s">
        <v>1406</v>
      </c>
      <c r="AS25" s="1796" t="s">
        <v>1406</v>
      </c>
      <c r="AT25" s="1796" t="s">
        <v>1406</v>
      </c>
      <c r="AU25" s="1796" t="s">
        <v>1406</v>
      </c>
    </row>
    <row r="26" spans="1:47" ht="12.75">
      <c r="A26" s="387" t="s">
        <v>1434</v>
      </c>
      <c r="C26" s="1750" t="s">
        <v>1430</v>
      </c>
      <c r="D26" s="1768">
        <f>-'G-2.08 RET'!O10</f>
        <v>-58866.77</v>
      </c>
      <c r="E26" s="1813" t="s">
        <v>1430</v>
      </c>
      <c r="F26" s="1768">
        <f>-'G-2.08 RET'!P22</f>
        <v>-1491.81</v>
      </c>
      <c r="G26" s="1811"/>
      <c r="N26" s="1751"/>
      <c r="O26" s="1751"/>
      <c r="P26" s="1751"/>
      <c r="Q26" s="1751"/>
      <c r="U26" s="477"/>
      <c r="V26" s="477"/>
      <c r="W26" s="477"/>
      <c r="X26" s="477"/>
      <c r="Y26" s="477"/>
      <c r="Z26" s="477"/>
      <c r="AA26" s="477"/>
      <c r="AB26" s="477"/>
    </row>
    <row r="27" spans="1:47" ht="13.5" thickBot="1">
      <c r="A27" s="387" t="s">
        <v>1435</v>
      </c>
      <c r="C27" s="1750" t="s">
        <v>1436</v>
      </c>
      <c r="D27" s="1768">
        <f>'G-2.08 RET'!AA31</f>
        <v>868.16</v>
      </c>
      <c r="E27" s="1813" t="s">
        <v>1436</v>
      </c>
      <c r="F27" s="1814">
        <f>'G-2.08 RET'!AB39</f>
        <v>-2180.8200000000002</v>
      </c>
      <c r="G27" s="1811"/>
      <c r="J27" s="1197" t="s">
        <v>24</v>
      </c>
      <c r="K27" s="1197"/>
      <c r="L27" s="1197"/>
      <c r="M27" s="1197"/>
      <c r="N27" s="1815">
        <f>SUM(N25,N16)</f>
        <v>33751770.880000003</v>
      </c>
      <c r="O27" s="1815">
        <f>SUM(O25,O16)</f>
        <v>24211104.09</v>
      </c>
      <c r="P27" s="1815">
        <f>SUM(P25,P16)</f>
        <v>9540666.790000001</v>
      </c>
      <c r="Q27" s="1815">
        <f>SUM(Q25,Q16)</f>
        <v>0</v>
      </c>
      <c r="U27" s="477"/>
      <c r="V27" s="477"/>
      <c r="W27" s="477"/>
      <c r="X27" s="477"/>
      <c r="Y27" s="477"/>
      <c r="Z27" s="477"/>
      <c r="AA27" s="477"/>
      <c r="AB27" s="477"/>
    </row>
    <row r="28" spans="1:47" ht="15.75" thickTop="1">
      <c r="D28" s="1768"/>
      <c r="E28" s="1813"/>
      <c r="F28" s="1814"/>
      <c r="G28" s="1811"/>
      <c r="U28" s="1816"/>
      <c r="V28" s="1816"/>
      <c r="W28" s="1816"/>
      <c r="X28" s="1816"/>
      <c r="Z28" s="1742" t="s">
        <v>1059</v>
      </c>
      <c r="AA28" s="1817" t="s">
        <v>1386</v>
      </c>
      <c r="AB28" s="1817" t="s">
        <v>1387</v>
      </c>
      <c r="AC28" s="1817" t="s">
        <v>1388</v>
      </c>
      <c r="AI28" s="1470"/>
      <c r="AJ28" s="1470"/>
      <c r="AK28" s="1470"/>
      <c r="AL28" s="1470"/>
      <c r="AM28" s="1470"/>
      <c r="AN28" s="1470"/>
      <c r="AO28" s="1470"/>
      <c r="AP28" s="1470"/>
      <c r="AQ28" s="1470"/>
      <c r="AR28" s="1470"/>
      <c r="AS28" s="1470"/>
      <c r="AT28" s="1470"/>
      <c r="AU28" s="1470"/>
    </row>
    <row r="29" spans="1:47" ht="15.75" thickBot="1">
      <c r="A29" s="387" t="s">
        <v>1437</v>
      </c>
      <c r="D29" s="1818">
        <f>SUM(D25:D28)</f>
        <v>24146099.73</v>
      </c>
      <c r="E29" s="1819"/>
      <c r="F29" s="1818">
        <f>SUM(F25:F27)</f>
        <v>9536994.1600000001</v>
      </c>
      <c r="G29" s="1811"/>
      <c r="U29" s="1820" t="s">
        <v>1043</v>
      </c>
      <c r="V29" s="1821" t="s">
        <v>1058</v>
      </c>
      <c r="W29" s="1821" t="s">
        <v>1057</v>
      </c>
      <c r="X29" s="1822" t="s">
        <v>1389</v>
      </c>
      <c r="Z29" s="1816"/>
      <c r="AA29" s="1816"/>
      <c r="AB29" s="1816"/>
      <c r="AC29" s="1816"/>
      <c r="AI29" s="1470"/>
      <c r="AJ29" s="1470"/>
      <c r="AK29" s="1470"/>
      <c r="AL29" s="1470"/>
      <c r="AM29" s="1470"/>
      <c r="AN29" s="1470"/>
      <c r="AO29" s="1470"/>
      <c r="AP29" s="1470"/>
      <c r="AQ29" s="1470"/>
      <c r="AR29" s="1470"/>
      <c r="AS29" s="1514"/>
      <c r="AT29" s="1514"/>
      <c r="AU29" s="1514"/>
    </row>
    <row r="30" spans="1:47" ht="15.75" thickBot="1">
      <c r="D30" s="1823"/>
      <c r="E30" s="1824"/>
      <c r="F30" s="1823"/>
      <c r="G30" s="1825"/>
      <c r="U30" s="1820" t="s">
        <v>1391</v>
      </c>
      <c r="V30" s="1821" t="s">
        <v>681</v>
      </c>
      <c r="W30" s="1821" t="s">
        <v>763</v>
      </c>
      <c r="X30" s="1822" t="s">
        <v>1402</v>
      </c>
      <c r="Z30" s="1826">
        <v>1992221.21</v>
      </c>
      <c r="AA30" s="1826">
        <v>1992221.21</v>
      </c>
      <c r="AB30" s="1826">
        <v>0</v>
      </c>
      <c r="AC30" s="1826">
        <v>0</v>
      </c>
      <c r="AI30" s="1514"/>
      <c r="AJ30" s="1470"/>
      <c r="AK30" s="1470"/>
      <c r="AL30" s="1470"/>
      <c r="AM30" s="1470"/>
      <c r="AN30" s="1470"/>
      <c r="AO30" s="1470"/>
      <c r="AP30" s="1470"/>
      <c r="AQ30" s="1470"/>
      <c r="AR30" s="1470"/>
      <c r="AS30" s="1514"/>
      <c r="AT30" s="1514"/>
      <c r="AU30" s="1514"/>
    </row>
    <row r="31" spans="1:47" ht="16.5" thickTop="1" thickBot="1">
      <c r="A31" s="387" t="s">
        <v>1438</v>
      </c>
      <c r="D31" s="1827">
        <f>SUM(D26:D28)</f>
        <v>-57998.609999999993</v>
      </c>
      <c r="E31" s="1828"/>
      <c r="F31" s="1827">
        <f>SUM(F26:F28)</f>
        <v>-3672.63</v>
      </c>
      <c r="G31" s="1811"/>
      <c r="U31" s="1820"/>
      <c r="V31" s="1821"/>
      <c r="W31" s="1821"/>
      <c r="X31" s="1829" t="s">
        <v>1439</v>
      </c>
      <c r="Y31" s="1778" t="s">
        <v>1406</v>
      </c>
      <c r="Z31" s="1830">
        <v>868.16</v>
      </c>
      <c r="AA31" s="1826">
        <v>868.16</v>
      </c>
      <c r="AB31" s="1826">
        <v>0</v>
      </c>
      <c r="AC31" s="1826">
        <v>0</v>
      </c>
      <c r="AI31" s="1470"/>
      <c r="AJ31" s="1470"/>
      <c r="AK31" s="1470"/>
      <c r="AL31" s="1470"/>
      <c r="AM31" s="1470"/>
      <c r="AN31" s="1470"/>
      <c r="AO31" s="1470"/>
      <c r="AP31" s="1470"/>
      <c r="AQ31" s="1470"/>
      <c r="AR31" s="1470"/>
      <c r="AS31" s="1470"/>
      <c r="AT31" s="1470"/>
      <c r="AU31" s="1470"/>
    </row>
    <row r="32" spans="1:47" ht="15.75" thickTop="1">
      <c r="D32" s="1831"/>
      <c r="E32" s="1828"/>
      <c r="F32" s="1831"/>
      <c r="G32" s="1811"/>
      <c r="U32" s="1820"/>
      <c r="V32" s="1821"/>
      <c r="W32" s="1821"/>
      <c r="X32" s="1822" t="s">
        <v>1440</v>
      </c>
      <c r="Y32" s="1778"/>
      <c r="Z32" s="1826">
        <v>-68961.83</v>
      </c>
      <c r="AA32" s="1826">
        <v>-68961.83</v>
      </c>
      <c r="AB32" s="1826">
        <v>0</v>
      </c>
      <c r="AC32" s="1826">
        <v>0</v>
      </c>
      <c r="AI32" s="1470"/>
      <c r="AJ32" s="1470"/>
      <c r="AK32" s="1470"/>
      <c r="AL32" s="1470"/>
      <c r="AM32" s="1470"/>
      <c r="AN32" s="1470"/>
      <c r="AO32" s="1470"/>
      <c r="AP32" s="1470"/>
      <c r="AQ32" s="1470"/>
      <c r="AR32" s="1470" t="s">
        <v>110</v>
      </c>
      <c r="AS32" s="1470"/>
      <c r="AT32" s="1470"/>
      <c r="AU32" s="1470"/>
    </row>
    <row r="33" spans="1:47">
      <c r="D33" s="1831"/>
      <c r="E33" s="1828"/>
      <c r="F33" s="1831"/>
      <c r="G33" s="1811"/>
      <c r="U33" s="1820"/>
      <c r="V33" s="1821"/>
      <c r="W33" s="1821"/>
      <c r="X33" s="1822" t="s">
        <v>1441</v>
      </c>
      <c r="Z33" s="1826">
        <v>30.31</v>
      </c>
      <c r="AA33" s="1826">
        <v>30.31</v>
      </c>
      <c r="AB33" s="1826">
        <v>0</v>
      </c>
      <c r="AC33" s="1826">
        <v>0</v>
      </c>
      <c r="AI33" s="1514"/>
      <c r="AJ33" s="1514"/>
      <c r="AK33" s="1470"/>
      <c r="AL33" s="1470"/>
      <c r="AM33" s="1514"/>
      <c r="AN33" s="1514"/>
      <c r="AO33" s="1514"/>
      <c r="AP33" s="1514"/>
      <c r="AQ33" s="1514"/>
      <c r="AR33" s="1514"/>
      <c r="AS33" s="1514"/>
      <c r="AT33" s="1514"/>
      <c r="AU33" s="1514"/>
    </row>
    <row r="34" spans="1:47">
      <c r="D34" s="540"/>
      <c r="E34" s="1832"/>
      <c r="F34" s="540"/>
      <c r="U34" s="1820"/>
      <c r="V34" s="1821"/>
      <c r="W34" s="1821"/>
      <c r="X34" s="1822"/>
      <c r="Z34" s="1826"/>
      <c r="AA34" s="1826"/>
      <c r="AB34" s="1826">
        <v>0</v>
      </c>
      <c r="AC34" s="1826">
        <v>0</v>
      </c>
      <c r="AI34" s="1514"/>
      <c r="AJ34" s="1514"/>
      <c r="AK34" s="1470"/>
      <c r="AL34" s="1470"/>
      <c r="AM34" s="1470"/>
      <c r="AN34" s="1470"/>
      <c r="AO34" s="1470"/>
      <c r="AP34" s="1470"/>
      <c r="AQ34" s="1470"/>
      <c r="AR34" s="1470"/>
      <c r="AS34" s="1470"/>
      <c r="AT34" s="1470"/>
      <c r="AU34" s="1470"/>
    </row>
    <row r="35" spans="1:47">
      <c r="D35" s="1833"/>
      <c r="E35" s="1834"/>
      <c r="F35" s="1833"/>
      <c r="U35" s="1820"/>
      <c r="V35" s="1821"/>
      <c r="W35" s="1821"/>
      <c r="X35" s="1835" t="s">
        <v>1442</v>
      </c>
      <c r="Z35" s="1836">
        <f>SUM(Z30:Z34)</f>
        <v>1924157.8499999999</v>
      </c>
      <c r="AA35" s="1837">
        <f>SUM(AA30:AA34)</f>
        <v>1924157.8499999999</v>
      </c>
      <c r="AB35" s="1837">
        <f>SUM(AB30:AB34)</f>
        <v>0</v>
      </c>
      <c r="AC35" s="1837">
        <f>SUM(AC30:AC34)</f>
        <v>0</v>
      </c>
      <c r="AI35" s="1514"/>
      <c r="AJ35" s="1514"/>
      <c r="AK35" s="1470"/>
      <c r="AL35" s="1470"/>
      <c r="AM35" s="1514"/>
      <c r="AN35" s="1514"/>
      <c r="AO35" s="1514"/>
      <c r="AP35" s="1514"/>
      <c r="AQ35" s="1514"/>
      <c r="AR35" s="1514"/>
      <c r="AS35" s="1514"/>
      <c r="AT35" s="1514"/>
      <c r="AU35" s="1514"/>
    </row>
    <row r="36" spans="1:47">
      <c r="D36" s="1838"/>
      <c r="E36" s="1834"/>
      <c r="F36" s="1838"/>
      <c r="U36" s="1820"/>
      <c r="V36" s="1821"/>
      <c r="W36" s="1821"/>
      <c r="X36" s="1835"/>
      <c r="Z36" s="1839"/>
      <c r="AA36" s="1840"/>
      <c r="AB36" s="1840"/>
      <c r="AC36" s="1840"/>
    </row>
    <row r="37" spans="1:47">
      <c r="D37" s="1841"/>
      <c r="E37" s="1834"/>
      <c r="F37" s="1838"/>
      <c r="U37" s="1820"/>
      <c r="V37" s="1821" t="s">
        <v>680</v>
      </c>
      <c r="W37" s="1821" t="s">
        <v>763</v>
      </c>
      <c r="X37" s="1822" t="s">
        <v>1421</v>
      </c>
      <c r="Z37" s="1826">
        <v>287981.7</v>
      </c>
      <c r="AA37" s="1826">
        <v>0</v>
      </c>
      <c r="AB37" s="1826">
        <v>287981.7</v>
      </c>
      <c r="AC37" s="1826">
        <v>0</v>
      </c>
    </row>
    <row r="38" spans="1:47">
      <c r="A38" s="387" t="s">
        <v>1443</v>
      </c>
      <c r="F38" s="1771"/>
      <c r="U38" s="1820"/>
      <c r="V38" s="1821"/>
      <c r="W38" s="1821"/>
      <c r="X38" s="1822" t="s">
        <v>1440</v>
      </c>
      <c r="Z38" s="1826">
        <v>-12246.17</v>
      </c>
      <c r="AA38" s="1826">
        <v>0</v>
      </c>
      <c r="AB38" s="1826">
        <v>-12246.17</v>
      </c>
      <c r="AC38" s="1826">
        <v>0</v>
      </c>
    </row>
    <row r="39" spans="1:47">
      <c r="B39" s="387" t="s">
        <v>1444</v>
      </c>
      <c r="F39" s="1771"/>
      <c r="U39" s="1820"/>
      <c r="V39" s="1821"/>
      <c r="W39" s="1821"/>
      <c r="X39" s="1829" t="s">
        <v>1445</v>
      </c>
      <c r="Y39" s="1778" t="s">
        <v>1406</v>
      </c>
      <c r="Z39" s="1830">
        <v>-2180.8200000000002</v>
      </c>
      <c r="AA39" s="1826">
        <v>0</v>
      </c>
      <c r="AB39" s="1826">
        <v>-2180.8200000000002</v>
      </c>
      <c r="AC39" s="1826">
        <v>0</v>
      </c>
    </row>
    <row r="40" spans="1:47">
      <c r="B40" s="387" t="s">
        <v>1446</v>
      </c>
      <c r="F40" s="1771"/>
      <c r="U40" s="1820"/>
      <c r="V40" s="1821"/>
      <c r="W40" s="1821"/>
      <c r="X40" s="1835" t="s">
        <v>1442</v>
      </c>
      <c r="Z40" s="1836">
        <f>SUM(Z37:Z39)</f>
        <v>273554.71000000002</v>
      </c>
      <c r="AA40" s="1837">
        <f>SUM(AA37:AA39)</f>
        <v>0</v>
      </c>
      <c r="AB40" s="1837">
        <f>SUM(AB37:AB39)</f>
        <v>273554.71000000002</v>
      </c>
      <c r="AC40" s="1837">
        <f>SUM(AC37:AC39)</f>
        <v>0</v>
      </c>
    </row>
    <row r="41" spans="1:47">
      <c r="F41" s="1771"/>
      <c r="U41" s="1820"/>
      <c r="V41" s="941"/>
      <c r="W41" s="941"/>
      <c r="X41" s="941"/>
      <c r="Z41" s="1839"/>
      <c r="AA41" s="1840"/>
      <c r="AB41" s="1840"/>
      <c r="AC41" s="1840"/>
    </row>
    <row r="42" spans="1:47" ht="15.75" thickBot="1">
      <c r="A42" s="1842" t="s">
        <v>396</v>
      </c>
      <c r="B42" s="1843" t="s">
        <v>1447</v>
      </c>
      <c r="C42" s="1767" t="s">
        <v>1401</v>
      </c>
      <c r="D42" s="1844">
        <f>'G-2.08 RET'!O6</f>
        <v>-190777.55</v>
      </c>
      <c r="E42" s="1767" t="s">
        <v>1401</v>
      </c>
      <c r="F42" s="1768">
        <f>'G-2.08 RET'!P19</f>
        <v>-127185.05</v>
      </c>
      <c r="U42" s="1845" t="s">
        <v>24</v>
      </c>
      <c r="V42" s="1845"/>
      <c r="W42" s="1845"/>
      <c r="X42" s="1845"/>
      <c r="Z42" s="1846">
        <f>Z35+Z40</f>
        <v>2197712.56</v>
      </c>
      <c r="AA42" s="1847">
        <f>AA35+AA40</f>
        <v>1924157.8499999999</v>
      </c>
      <c r="AB42" s="1847">
        <f>AB35+AB40</f>
        <v>273554.71000000002</v>
      </c>
      <c r="AC42" s="1847">
        <f>AC35+AC40</f>
        <v>0</v>
      </c>
    </row>
    <row r="43" spans="1:47" ht="15.75" thickTop="1">
      <c r="B43" s="1843" t="s">
        <v>1448</v>
      </c>
      <c r="C43" s="1750" t="s">
        <v>1436</v>
      </c>
      <c r="D43" s="1844">
        <f>'G-2.08 RET'!AA19</f>
        <v>190777.55</v>
      </c>
      <c r="E43" s="1750" t="s">
        <v>1436</v>
      </c>
      <c r="F43" s="1768">
        <f>'G-2.08 RET'!AB19</f>
        <v>127185.05</v>
      </c>
      <c r="Z43" s="1848"/>
      <c r="AA43" s="1848"/>
      <c r="AB43" s="1848"/>
      <c r="AC43" s="1848"/>
    </row>
    <row r="44" spans="1:47">
      <c r="D44" s="1849">
        <f>SUM(D42:D43)</f>
        <v>0</v>
      </c>
      <c r="E44" s="1800"/>
      <c r="F44" s="1849">
        <f>SUM(F42:F43)</f>
        <v>0</v>
      </c>
    </row>
    <row r="45" spans="1:47">
      <c r="F45" s="1771"/>
    </row>
    <row r="46" spans="1:47">
      <c r="A46" s="3823" t="s">
        <v>1449</v>
      </c>
      <c r="B46" s="3823"/>
      <c r="C46" s="3823"/>
      <c r="D46" s="3823"/>
      <c r="E46" s="3823"/>
      <c r="F46" s="3823"/>
    </row>
  </sheetData>
  <mergeCells count="5">
    <mergeCell ref="A1:F1"/>
    <mergeCell ref="A2:F2"/>
    <mergeCell ref="A3:F3"/>
    <mergeCell ref="A25:B25"/>
    <mergeCell ref="A46:F4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BB9C-9386-4EED-B887-071A5032EF31}">
  <sheetPr codeName="Sheet22"/>
  <dimension ref="A1:CE128"/>
  <sheetViews>
    <sheetView workbookViewId="0"/>
  </sheetViews>
  <sheetFormatPr defaultColWidth="8.85546875" defaultRowHeight="12.75"/>
  <cols>
    <col min="1" max="1" width="8.85546875" style="1197"/>
    <col min="2" max="2" width="10.5703125" style="1197" customWidth="1"/>
    <col min="3" max="11" width="9.140625" style="1197" hidden="1" customWidth="1"/>
    <col min="12" max="22" width="8.85546875" style="1197"/>
    <col min="23" max="23" width="10.140625" style="1197" bestFit="1" customWidth="1"/>
    <col min="24" max="29" width="8.85546875" style="1197"/>
    <col min="30" max="37" width="9.140625" style="1197" hidden="1" customWidth="1"/>
    <col min="38" max="38" width="9.5703125" style="1197" bestFit="1" customWidth="1"/>
    <col min="39" max="39" width="8.85546875" style="477"/>
    <col min="40" max="40" width="1.7109375" style="1008" customWidth="1"/>
    <col min="41" max="41" width="8.85546875" style="477"/>
    <col min="42" max="42" width="3.5703125" style="1009" customWidth="1"/>
    <col min="43" max="43" width="39.85546875" style="1009" customWidth="1"/>
    <col min="44" max="44" width="8.85546875" style="1778" customWidth="1"/>
    <col min="45" max="45" width="12.42578125" style="1009" customWidth="1"/>
    <col min="46" max="46" width="12.42578125" style="1009" hidden="1" customWidth="1"/>
    <col min="47" max="47" width="7.42578125" style="1851" customWidth="1"/>
    <col min="48" max="50" width="12.42578125" style="1009" customWidth="1"/>
    <col min="51" max="51" width="2.5703125" style="1009" customWidth="1"/>
    <col min="52" max="54" width="12.42578125" style="1009" customWidth="1"/>
    <col min="55" max="55" width="2.5703125" style="1009" customWidth="1"/>
    <col min="56" max="57" width="12.42578125" style="1009" customWidth="1"/>
    <col min="58" max="58" width="8.85546875" style="477"/>
    <col min="59" max="59" width="1.7109375" style="1008" customWidth="1"/>
    <col min="60" max="60" width="8.85546875" style="477"/>
    <col min="61" max="61" width="3.7109375" style="1852" customWidth="1"/>
    <col min="62" max="62" width="3.140625" style="1852" bestFit="1" customWidth="1"/>
    <col min="63" max="63" width="33.85546875" style="1852" bestFit="1" customWidth="1"/>
    <col min="64" max="64" width="2.7109375" style="1852" bestFit="1" customWidth="1"/>
    <col min="65" max="65" width="31.85546875" style="1852" customWidth="1"/>
    <col min="66" max="66" width="3.140625" style="1852" customWidth="1"/>
    <col min="67" max="67" width="6.85546875" style="1852" bestFit="1" customWidth="1"/>
    <col min="68" max="68" width="13.7109375" style="1852" customWidth="1"/>
    <col min="69" max="69" width="13.28515625" style="1852" bestFit="1" customWidth="1"/>
    <col min="70" max="70" width="11.28515625" style="1852" bestFit="1" customWidth="1"/>
    <col min="71" max="71" width="1.7109375" style="1008" customWidth="1"/>
    <col min="72" max="72" width="8.85546875" style="477"/>
    <col min="73" max="73" width="3.7109375" style="1852" customWidth="1"/>
    <col min="74" max="74" width="3.140625" style="1852" bestFit="1" customWidth="1"/>
    <col min="75" max="75" width="33.85546875" style="1852" bestFit="1" customWidth="1"/>
    <col min="76" max="76" width="2.7109375" style="1852" bestFit="1" customWidth="1"/>
    <col min="77" max="77" width="31.85546875" style="1852" customWidth="1"/>
    <col min="78" max="78" width="3.140625" style="1852" customWidth="1"/>
    <col min="79" max="79" width="6.85546875" style="1852" bestFit="1" customWidth="1"/>
    <col min="80" max="80" width="13.7109375" style="1852" customWidth="1"/>
    <col min="81" max="81" width="13.28515625" style="1852" bestFit="1" customWidth="1"/>
    <col min="82" max="82" width="11.28515625" style="1852" bestFit="1" customWidth="1"/>
    <col min="83" max="83" width="11.140625" style="1852" customWidth="1"/>
    <col min="84" max="16384" width="8.85546875" style="477"/>
  </cols>
  <sheetData>
    <row r="1" spans="1:83">
      <c r="A1" s="1850" t="s">
        <v>1204</v>
      </c>
      <c r="B1" s="1009"/>
      <c r="C1" s="1778"/>
      <c r="D1" s="1009"/>
      <c r="E1" s="1851"/>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P1" s="1850" t="s">
        <v>1204</v>
      </c>
      <c r="BI1" s="3826" t="s">
        <v>1450</v>
      </c>
      <c r="BJ1" s="3826"/>
      <c r="BK1" s="3826"/>
      <c r="BL1" s="3826"/>
      <c r="BM1" s="3826"/>
      <c r="BN1" s="3826"/>
      <c r="BO1" s="3826"/>
      <c r="BU1" s="3826" t="s">
        <v>1450</v>
      </c>
      <c r="BV1" s="3826"/>
      <c r="BW1" s="3826"/>
      <c r="BX1" s="3826"/>
      <c r="BY1" s="3826"/>
      <c r="BZ1" s="3826"/>
      <c r="CA1" s="3826"/>
    </row>
    <row r="2" spans="1:83">
      <c r="A2" s="1009" t="s">
        <v>1451</v>
      </c>
      <c r="B2" s="1009"/>
      <c r="C2" s="1778"/>
      <c r="D2" s="1009"/>
      <c r="E2" s="1851"/>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P2" s="1009" t="s">
        <v>1451</v>
      </c>
      <c r="BI2" s="3826" t="s">
        <v>1452</v>
      </c>
      <c r="BJ2" s="3826"/>
      <c r="BK2" s="3826"/>
      <c r="BL2" s="3826"/>
      <c r="BM2" s="3826"/>
      <c r="BN2" s="3826"/>
      <c r="BO2" s="3826"/>
      <c r="BU2" s="3826" t="s">
        <v>1453</v>
      </c>
      <c r="BV2" s="3826"/>
      <c r="BW2" s="3826"/>
      <c r="BX2" s="3826"/>
      <c r="BY2" s="3826"/>
      <c r="BZ2" s="3826"/>
      <c r="CA2" s="3826"/>
    </row>
    <row r="3" spans="1:83">
      <c r="A3" s="1853" t="s">
        <v>1454</v>
      </c>
      <c r="B3" s="1009"/>
      <c r="C3" s="1778"/>
      <c r="D3" s="1009"/>
      <c r="E3" s="1851"/>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P3" s="3827" t="s">
        <v>1454</v>
      </c>
      <c r="AQ3" s="3827"/>
      <c r="AR3" s="3827"/>
      <c r="AS3" s="3827"/>
      <c r="AT3" s="3827"/>
      <c r="AU3" s="3827"/>
      <c r="AV3" s="3827"/>
      <c r="AW3" s="3827"/>
      <c r="BI3" s="3828" t="s">
        <v>1455</v>
      </c>
      <c r="BJ3" s="3828"/>
      <c r="BK3" s="3828"/>
      <c r="BL3" s="3828"/>
      <c r="BM3" s="3828"/>
      <c r="BN3" s="3828"/>
      <c r="BO3" s="3828"/>
      <c r="BU3" s="3828" t="s">
        <v>1455</v>
      </c>
      <c r="BV3" s="3828"/>
      <c r="BW3" s="3828"/>
      <c r="BX3" s="3828"/>
      <c r="BY3" s="3828"/>
      <c r="BZ3" s="3828"/>
      <c r="CA3" s="3828"/>
    </row>
    <row r="4" spans="1:83">
      <c r="A4" s="1009"/>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U4" s="1851" t="s">
        <v>1456</v>
      </c>
      <c r="BI4" s="1854"/>
      <c r="BJ4" s="1855"/>
      <c r="BK4" s="1855"/>
      <c r="BL4" s="1855"/>
      <c r="BM4" s="1856"/>
      <c r="BN4" s="1855"/>
      <c r="BO4" s="1855"/>
      <c r="BU4" s="1854"/>
      <c r="BV4" s="1855"/>
      <c r="BW4" s="1855"/>
      <c r="BX4" s="1855"/>
      <c r="BY4" s="1856"/>
      <c r="BZ4" s="1855"/>
      <c r="CA4" s="1855"/>
    </row>
    <row r="5" spans="1:83">
      <c r="A5" s="1009"/>
      <c r="B5" s="1009"/>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P5" s="1851"/>
      <c r="AQ5" s="1851"/>
      <c r="AS5" s="1851" t="s">
        <v>1457</v>
      </c>
      <c r="AT5" s="1851" t="s">
        <v>739</v>
      </c>
      <c r="AU5" s="1851" t="s">
        <v>1458</v>
      </c>
      <c r="AV5" s="1851" t="s">
        <v>24</v>
      </c>
      <c r="AW5" s="1851" t="s">
        <v>763</v>
      </c>
      <c r="AX5" s="1851" t="s">
        <v>683</v>
      </c>
      <c r="AY5" s="1851"/>
      <c r="AZ5" s="1851" t="s">
        <v>1459</v>
      </c>
      <c r="BA5" s="1851" t="s">
        <v>763</v>
      </c>
      <c r="BB5" s="1851" t="s">
        <v>683</v>
      </c>
      <c r="BC5" s="1851"/>
      <c r="BD5" s="1851" t="s">
        <v>676</v>
      </c>
      <c r="BE5" s="1851"/>
      <c r="BI5" s="1857"/>
      <c r="BJ5" s="1858"/>
      <c r="BK5" s="1858"/>
      <c r="BL5" s="1858"/>
      <c r="BM5" s="1859" t="s">
        <v>1460</v>
      </c>
      <c r="BN5" s="1859"/>
      <c r="BO5" s="1859" t="s">
        <v>1461</v>
      </c>
      <c r="BP5" s="1860" t="s">
        <v>1462</v>
      </c>
      <c r="BU5" s="1857"/>
      <c r="BV5" s="1858"/>
      <c r="BW5" s="1858"/>
      <c r="BX5" s="1858"/>
      <c r="BY5" s="1859" t="s">
        <v>1460</v>
      </c>
      <c r="BZ5" s="1859"/>
      <c r="CA5" s="1859" t="s">
        <v>1461</v>
      </c>
      <c r="CB5" s="1860" t="s">
        <v>1462</v>
      </c>
    </row>
    <row r="6" spans="1:83">
      <c r="A6" s="1197" t="s">
        <v>819</v>
      </c>
      <c r="B6" s="1009"/>
      <c r="C6" s="3824" t="s">
        <v>1463</v>
      </c>
      <c r="D6" s="3825"/>
      <c r="E6" s="3825"/>
      <c r="F6" s="3825"/>
      <c r="G6" s="3825"/>
      <c r="H6" s="3825"/>
      <c r="I6" s="3825"/>
      <c r="J6" s="3825"/>
      <c r="K6" s="3825"/>
      <c r="L6" s="3825"/>
      <c r="M6" s="3825"/>
      <c r="N6" s="3825"/>
      <c r="O6" s="3825"/>
      <c r="P6" s="3825"/>
      <c r="Q6" s="3825"/>
      <c r="R6" s="3825"/>
      <c r="S6" s="3825"/>
      <c r="T6" s="3825"/>
      <c r="U6" s="3825"/>
      <c r="V6" s="3825"/>
      <c r="W6" s="3825"/>
      <c r="X6" s="3825"/>
      <c r="Y6" s="3825"/>
      <c r="Z6" s="3825"/>
      <c r="AA6" s="3825"/>
      <c r="AB6" s="3825"/>
      <c r="AC6" s="1316"/>
      <c r="AD6" s="1316"/>
      <c r="AE6" s="1316"/>
      <c r="AF6" s="1316"/>
      <c r="AG6" s="1316"/>
      <c r="AH6" s="1316"/>
      <c r="AI6" s="1316"/>
      <c r="AJ6" s="1316"/>
      <c r="AK6" s="1316"/>
      <c r="AL6" s="1009"/>
      <c r="AP6" s="1862"/>
      <c r="AQ6" s="1862" t="s">
        <v>70</v>
      </c>
      <c r="AR6" s="1863"/>
      <c r="AS6" s="1862" t="s">
        <v>1464</v>
      </c>
      <c r="AT6" s="1862" t="s">
        <v>144</v>
      </c>
      <c r="AU6" s="1862" t="s">
        <v>739</v>
      </c>
      <c r="AV6" s="1862" t="s">
        <v>729</v>
      </c>
      <c r="AW6" s="1862" t="s">
        <v>729</v>
      </c>
      <c r="AX6" s="1862" t="s">
        <v>729</v>
      </c>
      <c r="AY6" s="1862"/>
      <c r="AZ6" s="1862" t="s">
        <v>787</v>
      </c>
      <c r="BA6" s="1862" t="s">
        <v>787</v>
      </c>
      <c r="BB6" s="1862" t="s">
        <v>787</v>
      </c>
      <c r="BC6" s="1862"/>
      <c r="BD6" s="1862" t="s">
        <v>787</v>
      </c>
      <c r="BE6" s="1862" t="s">
        <v>198</v>
      </c>
      <c r="BI6" s="1854" t="s">
        <v>1465</v>
      </c>
      <c r="BJ6" s="1855" t="s">
        <v>922</v>
      </c>
      <c r="BK6" s="1855" t="s">
        <v>1466</v>
      </c>
      <c r="BL6" s="1855" t="s">
        <v>1467</v>
      </c>
      <c r="BM6" s="1864"/>
      <c r="BN6" s="1864"/>
      <c r="BO6" s="1864"/>
      <c r="BU6" s="1854" t="s">
        <v>1468</v>
      </c>
      <c r="BV6" s="1855" t="s">
        <v>922</v>
      </c>
      <c r="BW6" s="1855" t="s">
        <v>1466</v>
      </c>
      <c r="BX6" s="1855"/>
      <c r="BY6" s="1865" t="s">
        <v>1469</v>
      </c>
      <c r="BZ6" s="1864"/>
      <c r="CA6" s="1864"/>
    </row>
    <row r="7" spans="1:83" ht="13.5" thickBot="1">
      <c r="A7" s="1866" t="s">
        <v>1291</v>
      </c>
      <c r="B7" s="1866" t="s">
        <v>1470</v>
      </c>
      <c r="C7" s="1866">
        <v>1998</v>
      </c>
      <c r="D7" s="1866">
        <v>1999</v>
      </c>
      <c r="E7" s="1866">
        <v>2000</v>
      </c>
      <c r="F7" s="1866">
        <v>2001</v>
      </c>
      <c r="G7" s="1866">
        <v>2002</v>
      </c>
      <c r="H7" s="1866">
        <v>2003</v>
      </c>
      <c r="I7" s="1866">
        <v>2004</v>
      </c>
      <c r="J7" s="1866">
        <v>2005</v>
      </c>
      <c r="K7" s="1866">
        <v>2006</v>
      </c>
      <c r="L7" s="1866">
        <v>2007</v>
      </c>
      <c r="M7" s="1866">
        <v>2008</v>
      </c>
      <c r="N7" s="1866">
        <v>2009</v>
      </c>
      <c r="O7" s="1866">
        <v>2010</v>
      </c>
      <c r="P7" s="1866">
        <v>2011</v>
      </c>
      <c r="Q7" s="1866">
        <v>2012</v>
      </c>
      <c r="R7" s="1866">
        <v>2013</v>
      </c>
      <c r="S7" s="1866">
        <v>2014</v>
      </c>
      <c r="T7" s="1866">
        <v>2015</v>
      </c>
      <c r="U7" s="1866">
        <v>2016</v>
      </c>
      <c r="V7" s="1866">
        <v>2017</v>
      </c>
      <c r="W7" s="1866">
        <v>2018</v>
      </c>
      <c r="X7" s="1866">
        <v>2019</v>
      </c>
      <c r="Y7" s="1866">
        <v>2020</v>
      </c>
      <c r="Z7" s="1866">
        <v>2021</v>
      </c>
      <c r="AA7" s="1866">
        <v>2022</v>
      </c>
      <c r="AB7" s="1866">
        <v>2023</v>
      </c>
      <c r="AC7" s="1866">
        <v>2024</v>
      </c>
      <c r="AD7" s="1866">
        <v>2025</v>
      </c>
      <c r="AE7" s="1866">
        <v>2026</v>
      </c>
      <c r="AF7" s="1866">
        <v>2027</v>
      </c>
      <c r="AG7" s="1866">
        <v>2028</v>
      </c>
      <c r="AH7" s="1866">
        <v>2029</v>
      </c>
      <c r="AI7" s="1866">
        <v>2030</v>
      </c>
      <c r="AJ7" s="1866">
        <v>2031</v>
      </c>
      <c r="AK7" s="1866">
        <v>2032</v>
      </c>
      <c r="AL7" s="1866" t="s">
        <v>198</v>
      </c>
      <c r="AZ7" s="1850"/>
      <c r="BI7" s="1854"/>
      <c r="BJ7" s="1855" t="s">
        <v>923</v>
      </c>
      <c r="BK7" s="1855" t="s">
        <v>1471</v>
      </c>
      <c r="BL7" s="1855" t="s">
        <v>1467</v>
      </c>
      <c r="BM7" s="1867"/>
      <c r="BN7" s="1864"/>
      <c r="BO7" s="1864"/>
      <c r="BU7" s="1854"/>
      <c r="BV7" s="1855" t="s">
        <v>923</v>
      </c>
      <c r="BW7" s="1855" t="s">
        <v>1471</v>
      </c>
      <c r="BX7" s="1855"/>
      <c r="BY7" s="1868"/>
      <c r="BZ7" s="1864"/>
      <c r="CA7" s="1864"/>
    </row>
    <row r="8" spans="1:83">
      <c r="A8" s="1851">
        <v>1998</v>
      </c>
      <c r="B8" s="1869">
        <v>0</v>
      </c>
      <c r="C8" s="1850">
        <f t="shared" ref="C8:L8" si="0">$B$8/10</f>
        <v>0</v>
      </c>
      <c r="D8" s="1850">
        <f t="shared" si="0"/>
        <v>0</v>
      </c>
      <c r="E8" s="1850">
        <f t="shared" si="0"/>
        <v>0</v>
      </c>
      <c r="F8" s="1850">
        <f t="shared" si="0"/>
        <v>0</v>
      </c>
      <c r="G8" s="1850">
        <f t="shared" si="0"/>
        <v>0</v>
      </c>
      <c r="H8" s="1850">
        <f t="shared" si="0"/>
        <v>0</v>
      </c>
      <c r="I8" s="1850">
        <f t="shared" si="0"/>
        <v>0</v>
      </c>
      <c r="J8" s="1850">
        <f t="shared" si="0"/>
        <v>0</v>
      </c>
      <c r="K8" s="1850">
        <f t="shared" si="0"/>
        <v>0</v>
      </c>
      <c r="L8" s="1850">
        <f t="shared" si="0"/>
        <v>0</v>
      </c>
      <c r="M8" s="1850"/>
      <c r="N8" s="1850"/>
      <c r="O8" s="1850"/>
      <c r="P8" s="1850"/>
      <c r="Q8" s="1850"/>
      <c r="R8" s="1850"/>
      <c r="S8" s="1850"/>
      <c r="T8" s="1850"/>
      <c r="U8" s="1850"/>
      <c r="V8" s="1850"/>
      <c r="W8" s="1850"/>
      <c r="X8" s="1850"/>
      <c r="Y8" s="1850"/>
      <c r="Z8" s="1850"/>
      <c r="AA8" s="1850"/>
      <c r="AB8" s="1850"/>
      <c r="AC8" s="1850"/>
      <c r="AD8" s="1850"/>
      <c r="AE8" s="1850"/>
      <c r="AF8" s="1850"/>
      <c r="AG8" s="1850"/>
      <c r="AH8" s="1850"/>
      <c r="AI8" s="1850"/>
      <c r="AJ8" s="1850"/>
      <c r="AK8" s="1850"/>
      <c r="AL8" s="1850">
        <f>SUM(C8:Y8)</f>
        <v>0</v>
      </c>
      <c r="AP8" s="1851">
        <v>1</v>
      </c>
      <c r="AQ8" s="1009" t="s">
        <v>1472</v>
      </c>
      <c r="AR8" s="1778" t="s">
        <v>1473</v>
      </c>
      <c r="AS8" s="1850">
        <f>'G-2.09 NGL'!CB16</f>
        <v>52575.839999999997</v>
      </c>
      <c r="AT8" s="1850"/>
      <c r="AU8" s="1870" t="s">
        <v>946</v>
      </c>
      <c r="AV8" s="1850">
        <v>52576</v>
      </c>
      <c r="AW8" s="1850">
        <f>AV8*AW25</f>
        <v>33858.944000000003</v>
      </c>
      <c r="AX8" s="1850">
        <f>AV8*AX25</f>
        <v>18717.056</v>
      </c>
      <c r="AY8" s="1850"/>
      <c r="AZ8" s="1850"/>
      <c r="BA8" s="1850"/>
      <c r="BB8" s="1850"/>
      <c r="BC8" s="1850"/>
      <c r="BD8" s="1850"/>
      <c r="BE8" s="1850"/>
      <c r="BI8" s="1854"/>
      <c r="BJ8" s="1855" t="s">
        <v>924</v>
      </c>
      <c r="BK8" s="1855" t="s">
        <v>1474</v>
      </c>
      <c r="BL8" s="1855" t="s">
        <v>1467</v>
      </c>
      <c r="BM8" s="1871"/>
      <c r="BN8" s="1864"/>
      <c r="BO8" s="1864"/>
      <c r="BU8" s="1854"/>
      <c r="BV8" s="1855" t="s">
        <v>924</v>
      </c>
      <c r="BW8" s="1855" t="s">
        <v>1474</v>
      </c>
      <c r="BX8" s="1855"/>
      <c r="BY8" s="1872"/>
      <c r="BZ8" s="1864"/>
      <c r="CA8" s="1864"/>
    </row>
    <row r="9" spans="1:83">
      <c r="A9" s="1851">
        <v>1999</v>
      </c>
      <c r="B9" s="1869">
        <v>435627</v>
      </c>
      <c r="C9" s="1850"/>
      <c r="D9" s="1850">
        <f t="shared" ref="D9:M9" si="1">ROUND($B$9/10,0)</f>
        <v>43563</v>
      </c>
      <c r="E9" s="1850">
        <f t="shared" si="1"/>
        <v>43563</v>
      </c>
      <c r="F9" s="1850">
        <f t="shared" si="1"/>
        <v>43563</v>
      </c>
      <c r="G9" s="1850">
        <f t="shared" si="1"/>
        <v>43563</v>
      </c>
      <c r="H9" s="1850">
        <f t="shared" si="1"/>
        <v>43563</v>
      </c>
      <c r="I9" s="1850">
        <f t="shared" si="1"/>
        <v>43563</v>
      </c>
      <c r="J9" s="1850">
        <f t="shared" si="1"/>
        <v>43563</v>
      </c>
      <c r="K9" s="1850">
        <f t="shared" si="1"/>
        <v>43563</v>
      </c>
      <c r="L9" s="1850">
        <f t="shared" si="1"/>
        <v>43563</v>
      </c>
      <c r="M9" s="1850">
        <f t="shared" si="1"/>
        <v>43563</v>
      </c>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f t="shared" ref="AL9:AL14" si="2">SUM(D9:Y9)</f>
        <v>435630</v>
      </c>
      <c r="AP9" s="1851"/>
      <c r="AS9" s="1850"/>
      <c r="AU9" s="1870"/>
      <c r="AV9" s="1850"/>
      <c r="AW9" s="1850"/>
      <c r="AX9" s="1850"/>
      <c r="AY9" s="1850"/>
      <c r="AZ9" s="1850"/>
      <c r="BA9" s="1850"/>
      <c r="BB9" s="1850"/>
      <c r="BC9" s="1850"/>
      <c r="BD9" s="1850"/>
      <c r="BE9" s="1850"/>
      <c r="BI9" s="1854"/>
      <c r="BJ9" s="1855" t="s">
        <v>1475</v>
      </c>
      <c r="BK9" s="1855" t="s">
        <v>1476</v>
      </c>
      <c r="BL9" s="1855" t="s">
        <v>1467</v>
      </c>
      <c r="BM9" s="1867"/>
      <c r="BN9" s="1864"/>
      <c r="BO9" s="1864"/>
      <c r="BU9" s="1854"/>
      <c r="BV9" s="1855" t="s">
        <v>1475</v>
      </c>
      <c r="BW9" s="1855" t="s">
        <v>1476</v>
      </c>
      <c r="BX9" s="1855"/>
      <c r="BY9" s="1864"/>
      <c r="BZ9" s="1864"/>
      <c r="CA9" s="1864"/>
    </row>
    <row r="10" spans="1:83">
      <c r="A10" s="1851">
        <v>2000</v>
      </c>
      <c r="B10" s="1869">
        <v>24577</v>
      </c>
      <c r="C10" s="1850"/>
      <c r="D10" s="1850"/>
      <c r="E10" s="1850">
        <f t="shared" ref="E10:N10" si="3">ROUND($B$10/10,0)</f>
        <v>2458</v>
      </c>
      <c r="F10" s="1850">
        <f t="shared" si="3"/>
        <v>2458</v>
      </c>
      <c r="G10" s="1850">
        <f t="shared" si="3"/>
        <v>2458</v>
      </c>
      <c r="H10" s="1850">
        <f t="shared" si="3"/>
        <v>2458</v>
      </c>
      <c r="I10" s="1850">
        <f t="shared" si="3"/>
        <v>2458</v>
      </c>
      <c r="J10" s="1850">
        <f t="shared" si="3"/>
        <v>2458</v>
      </c>
      <c r="K10" s="1850">
        <f t="shared" si="3"/>
        <v>2458</v>
      </c>
      <c r="L10" s="1850">
        <f t="shared" si="3"/>
        <v>2458</v>
      </c>
      <c r="M10" s="1850">
        <f t="shared" si="3"/>
        <v>2458</v>
      </c>
      <c r="N10" s="1850">
        <f t="shared" si="3"/>
        <v>2458</v>
      </c>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f t="shared" si="2"/>
        <v>24580</v>
      </c>
      <c r="AP10" s="1851">
        <f>AP8+1</f>
        <v>2</v>
      </c>
      <c r="AQ10" s="1009" t="s">
        <v>1477</v>
      </c>
      <c r="AR10" s="1778" t="s">
        <v>1473</v>
      </c>
      <c r="AS10" s="1850">
        <f>'G-2.09 NGL'!CB28</f>
        <v>1746671.47</v>
      </c>
      <c r="AU10" s="1870" t="s">
        <v>1478</v>
      </c>
      <c r="AV10" s="1850"/>
      <c r="AW10" s="1850"/>
      <c r="AX10" s="1850"/>
      <c r="AY10" s="1850"/>
      <c r="AZ10" s="1850"/>
      <c r="BA10" s="1850"/>
      <c r="BB10" s="1850"/>
      <c r="BC10" s="1850"/>
      <c r="BD10" s="1850"/>
      <c r="BE10" s="1850"/>
      <c r="BI10" s="1854"/>
      <c r="BJ10" s="1855" t="s">
        <v>1479</v>
      </c>
      <c r="BK10" s="1855" t="s">
        <v>1480</v>
      </c>
      <c r="BL10" s="1855" t="s">
        <v>1467</v>
      </c>
      <c r="BM10" s="1873">
        <v>0</v>
      </c>
      <c r="BN10" s="1864"/>
      <c r="BO10" s="1864"/>
      <c r="BU10" s="1854"/>
      <c r="BV10" s="1855" t="s">
        <v>1479</v>
      </c>
      <c r="BW10" s="1855" t="s">
        <v>1480</v>
      </c>
      <c r="BX10" s="1855"/>
      <c r="BY10" s="1873">
        <f>80027.55+26666.23</f>
        <v>106693.78</v>
      </c>
      <c r="BZ10" s="1864"/>
      <c r="CA10" s="1864"/>
      <c r="CB10" s="1874"/>
      <c r="CC10" s="1874"/>
    </row>
    <row r="11" spans="1:83">
      <c r="A11" s="1851">
        <v>2001</v>
      </c>
      <c r="B11" s="1869">
        <v>9684</v>
      </c>
      <c r="C11" s="1850"/>
      <c r="D11" s="1850"/>
      <c r="E11" s="1850"/>
      <c r="F11" s="1850">
        <f t="shared" ref="F11:O11" si="4">ROUND($B$11/10,0)</f>
        <v>968</v>
      </c>
      <c r="G11" s="1850">
        <f t="shared" si="4"/>
        <v>968</v>
      </c>
      <c r="H11" s="1850">
        <f t="shared" si="4"/>
        <v>968</v>
      </c>
      <c r="I11" s="1850">
        <f t="shared" si="4"/>
        <v>968</v>
      </c>
      <c r="J11" s="1850">
        <f t="shared" si="4"/>
        <v>968</v>
      </c>
      <c r="K11" s="1850">
        <f t="shared" si="4"/>
        <v>968</v>
      </c>
      <c r="L11" s="1850">
        <f t="shared" si="4"/>
        <v>968</v>
      </c>
      <c r="M11" s="1850">
        <f t="shared" si="4"/>
        <v>968</v>
      </c>
      <c r="N11" s="1850">
        <f t="shared" si="4"/>
        <v>968</v>
      </c>
      <c r="O11" s="1850">
        <f t="shared" si="4"/>
        <v>968</v>
      </c>
      <c r="P11" s="1850"/>
      <c r="Q11" s="1850"/>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f t="shared" si="2"/>
        <v>9680</v>
      </c>
      <c r="AS11" s="1850"/>
      <c r="AU11" s="1870"/>
      <c r="AV11" s="1850"/>
      <c r="AW11" s="1850"/>
      <c r="AX11" s="1850"/>
      <c r="AY11" s="1850"/>
      <c r="AZ11" s="1850"/>
      <c r="BA11" s="1850"/>
      <c r="BB11" s="1850"/>
      <c r="BC11" s="1850"/>
      <c r="BD11" s="1850"/>
      <c r="BE11" s="1850"/>
      <c r="BI11" s="1854"/>
      <c r="BJ11" s="1855" t="s">
        <v>1481</v>
      </c>
      <c r="BK11" s="1855" t="s">
        <v>1482</v>
      </c>
      <c r="BL11" s="1855" t="s">
        <v>1467</v>
      </c>
      <c r="BM11" s="1875"/>
      <c r="BN11" s="1864"/>
      <c r="BO11" s="1864"/>
      <c r="BU11" s="1854"/>
      <c r="BV11" s="1855" t="s">
        <v>1481</v>
      </c>
      <c r="BW11" s="1855" t="s">
        <v>1482</v>
      </c>
      <c r="BX11" s="1855"/>
      <c r="BY11" s="1876"/>
      <c r="BZ11" s="1864"/>
      <c r="CA11" s="1864"/>
      <c r="CB11" s="1874"/>
      <c r="CC11" s="1877"/>
    </row>
    <row r="12" spans="1:83">
      <c r="A12" s="1851">
        <v>2002</v>
      </c>
      <c r="B12" s="1869">
        <v>108034</v>
      </c>
      <c r="C12" s="1850"/>
      <c r="D12" s="1850"/>
      <c r="E12" s="1850"/>
      <c r="F12" s="1850"/>
      <c r="G12" s="1850">
        <f t="shared" ref="G12:P12" si="5">ROUND($B$12/10,0)</f>
        <v>10803</v>
      </c>
      <c r="H12" s="1850">
        <f t="shared" si="5"/>
        <v>10803</v>
      </c>
      <c r="I12" s="1850">
        <f t="shared" si="5"/>
        <v>10803</v>
      </c>
      <c r="J12" s="1850">
        <f t="shared" si="5"/>
        <v>10803</v>
      </c>
      <c r="K12" s="1850">
        <f t="shared" si="5"/>
        <v>10803</v>
      </c>
      <c r="L12" s="1850">
        <f t="shared" si="5"/>
        <v>10803</v>
      </c>
      <c r="M12" s="1850">
        <f t="shared" si="5"/>
        <v>10803</v>
      </c>
      <c r="N12" s="1850">
        <f t="shared" si="5"/>
        <v>10803</v>
      </c>
      <c r="O12" s="1850">
        <f t="shared" si="5"/>
        <v>10803</v>
      </c>
      <c r="P12" s="1850">
        <f t="shared" si="5"/>
        <v>10803</v>
      </c>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f t="shared" si="2"/>
        <v>108030</v>
      </c>
      <c r="AP12" s="1851">
        <f>AP10+1</f>
        <v>3</v>
      </c>
      <c r="AR12" s="1778" t="s">
        <v>1483</v>
      </c>
      <c r="AS12" s="1850">
        <f>'G-2.09 NGL'!BP16</f>
        <v>0</v>
      </c>
      <c r="AU12" s="1870"/>
      <c r="AV12" s="1850"/>
      <c r="AW12" s="1850"/>
      <c r="AX12" s="1850"/>
      <c r="AY12" s="1850"/>
      <c r="AZ12" s="1850"/>
      <c r="BA12" s="1850"/>
      <c r="BB12" s="1850"/>
      <c r="BC12" s="1850"/>
      <c r="BD12" s="1850"/>
      <c r="BE12" s="1850"/>
      <c r="BI12" s="1854"/>
      <c r="BJ12" s="1855" t="s">
        <v>1484</v>
      </c>
      <c r="BK12" s="1855" t="s">
        <v>1485</v>
      </c>
      <c r="BL12" s="1855" t="s">
        <v>1467</v>
      </c>
      <c r="BM12" s="1878"/>
      <c r="BN12" s="1864"/>
      <c r="BO12" s="1864"/>
      <c r="BU12" s="1854"/>
      <c r="BV12" s="1855" t="s">
        <v>1484</v>
      </c>
      <c r="BW12" s="1855" t="s">
        <v>1485</v>
      </c>
      <c r="BX12" s="1855"/>
      <c r="BY12" s="1879">
        <v>3544724.92</v>
      </c>
      <c r="BZ12" s="1864"/>
      <c r="CA12" s="1864"/>
      <c r="CB12" s="1874"/>
      <c r="CC12" s="1874"/>
    </row>
    <row r="13" spans="1:83">
      <c r="A13" s="1851">
        <v>2003</v>
      </c>
      <c r="B13" s="1869">
        <v>-116425</v>
      </c>
      <c r="C13" s="1850"/>
      <c r="D13" s="1850"/>
      <c r="E13" s="1850"/>
      <c r="F13" s="1850"/>
      <c r="G13" s="1850"/>
      <c r="H13" s="1850">
        <f t="shared" ref="H13:Q13" si="6">ROUND($B$13/10,0)</f>
        <v>-11643</v>
      </c>
      <c r="I13" s="1850">
        <f t="shared" si="6"/>
        <v>-11643</v>
      </c>
      <c r="J13" s="1850">
        <f t="shared" si="6"/>
        <v>-11643</v>
      </c>
      <c r="K13" s="1850">
        <f t="shared" si="6"/>
        <v>-11643</v>
      </c>
      <c r="L13" s="1850">
        <f t="shared" si="6"/>
        <v>-11643</v>
      </c>
      <c r="M13" s="1850">
        <f t="shared" si="6"/>
        <v>-11643</v>
      </c>
      <c r="N13" s="1850">
        <f t="shared" si="6"/>
        <v>-11643</v>
      </c>
      <c r="O13" s="1850">
        <f t="shared" si="6"/>
        <v>-11643</v>
      </c>
      <c r="P13" s="1850">
        <f t="shared" si="6"/>
        <v>-11643</v>
      </c>
      <c r="Q13" s="1850">
        <f t="shared" si="6"/>
        <v>-11643</v>
      </c>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f t="shared" si="2"/>
        <v>-116430</v>
      </c>
      <c r="AP13" s="1851"/>
      <c r="AS13" s="1850"/>
      <c r="AT13" s="1850"/>
      <c r="AU13" s="1870"/>
      <c r="AV13" s="1850"/>
      <c r="AW13" s="1850"/>
      <c r="AX13" s="1850"/>
      <c r="AY13" s="1850"/>
      <c r="AZ13" s="1850"/>
      <c r="BA13" s="1850"/>
      <c r="BB13" s="1850"/>
      <c r="BC13" s="1850"/>
      <c r="BD13" s="1850"/>
      <c r="BE13" s="1850"/>
      <c r="BI13" s="1854"/>
      <c r="BJ13" s="1855" t="s">
        <v>1486</v>
      </c>
      <c r="BK13" s="1855" t="s">
        <v>1487</v>
      </c>
      <c r="BL13" s="1855" t="s">
        <v>1467</v>
      </c>
      <c r="BM13" s="1880"/>
      <c r="BN13" s="1864"/>
      <c r="BO13" s="1864"/>
      <c r="BU13" s="1854"/>
      <c r="BV13" s="1855" t="s">
        <v>1486</v>
      </c>
      <c r="BW13" s="1855" t="s">
        <v>1487</v>
      </c>
      <c r="BX13" s="1855"/>
      <c r="BY13" s="1881"/>
      <c r="BZ13" s="1864"/>
      <c r="CA13" s="1864"/>
      <c r="CB13" s="1874"/>
    </row>
    <row r="14" spans="1:83">
      <c r="A14" s="1851">
        <v>2004</v>
      </c>
      <c r="B14" s="1869">
        <v>110176</v>
      </c>
      <c r="C14" s="1850"/>
      <c r="D14" s="1850"/>
      <c r="E14" s="1850"/>
      <c r="F14" s="1850"/>
      <c r="G14" s="1850"/>
      <c r="H14" s="1850"/>
      <c r="I14" s="1850">
        <f t="shared" ref="I14:R14" si="7">ROUND($B$14/10,0)</f>
        <v>11018</v>
      </c>
      <c r="J14" s="1850">
        <f t="shared" si="7"/>
        <v>11018</v>
      </c>
      <c r="K14" s="1850">
        <f t="shared" si="7"/>
        <v>11018</v>
      </c>
      <c r="L14" s="1850">
        <f t="shared" si="7"/>
        <v>11018</v>
      </c>
      <c r="M14" s="1850">
        <f t="shared" si="7"/>
        <v>11018</v>
      </c>
      <c r="N14" s="1850">
        <f t="shared" si="7"/>
        <v>11018</v>
      </c>
      <c r="O14" s="1850">
        <f t="shared" si="7"/>
        <v>11018</v>
      </c>
      <c r="P14" s="1850">
        <f t="shared" si="7"/>
        <v>11018</v>
      </c>
      <c r="Q14" s="1850">
        <f t="shared" si="7"/>
        <v>11018</v>
      </c>
      <c r="R14" s="1850">
        <f t="shared" si="7"/>
        <v>11018</v>
      </c>
      <c r="S14" s="1850"/>
      <c r="T14" s="1850"/>
      <c r="U14" s="1850"/>
      <c r="V14" s="1850"/>
      <c r="W14" s="1850"/>
      <c r="X14" s="1850"/>
      <c r="Y14" s="1850"/>
      <c r="Z14" s="1850"/>
      <c r="AA14" s="1850"/>
      <c r="AB14" s="1850"/>
      <c r="AC14" s="1850"/>
      <c r="AD14" s="1850"/>
      <c r="AE14" s="1850"/>
      <c r="AF14" s="1850"/>
      <c r="AG14" s="1850"/>
      <c r="AH14" s="1850"/>
      <c r="AI14" s="1850"/>
      <c r="AJ14" s="1850"/>
      <c r="AK14" s="1850"/>
      <c r="AL14" s="1850">
        <f t="shared" si="2"/>
        <v>110180</v>
      </c>
      <c r="AP14" s="1851">
        <f>AP12+1</f>
        <v>4</v>
      </c>
      <c r="AR14" s="1778" t="s">
        <v>1483</v>
      </c>
      <c r="AS14" s="1850">
        <f>'G-2.09 NGL'!BP28</f>
        <v>0</v>
      </c>
      <c r="AT14" s="1850"/>
      <c r="AU14" s="1870"/>
      <c r="AV14" s="1850"/>
      <c r="AW14" s="1850"/>
      <c r="AX14" s="1850"/>
      <c r="AY14" s="1850"/>
      <c r="AZ14" s="1850"/>
      <c r="BA14" s="1850"/>
      <c r="BB14" s="1850"/>
      <c r="BC14" s="1850"/>
      <c r="BD14" s="1850"/>
      <c r="BE14" s="1850"/>
      <c r="BI14" s="1854"/>
      <c r="BJ14" s="1855" t="s">
        <v>1488</v>
      </c>
      <c r="BK14" s="1855" t="s">
        <v>1489</v>
      </c>
      <c r="BL14" s="1855" t="s">
        <v>1467</v>
      </c>
      <c r="BM14" s="1882"/>
      <c r="BN14" s="1864"/>
      <c r="BO14" s="1864"/>
      <c r="BU14" s="1854"/>
      <c r="BV14" s="1855" t="s">
        <v>1488</v>
      </c>
      <c r="BW14" s="1855" t="s">
        <v>1489</v>
      </c>
      <c r="BX14" s="1855"/>
      <c r="BY14" s="1882"/>
      <c r="BZ14" s="1864"/>
      <c r="CA14" s="1864"/>
      <c r="CB14" s="1874"/>
    </row>
    <row r="15" spans="1:83">
      <c r="A15" s="1851">
        <v>2005</v>
      </c>
      <c r="B15" s="1883">
        <v>244184</v>
      </c>
      <c r="C15" s="1850"/>
      <c r="D15" s="1850"/>
      <c r="E15" s="1850"/>
      <c r="F15" s="1850"/>
      <c r="G15" s="1850"/>
      <c r="H15" s="1850"/>
      <c r="I15" s="1850"/>
      <c r="J15" s="1850">
        <v>24418</v>
      </c>
      <c r="K15" s="1850">
        <v>24418</v>
      </c>
      <c r="L15" s="1850">
        <v>24418</v>
      </c>
      <c r="M15" s="1850">
        <v>24418</v>
      </c>
      <c r="N15" s="1850">
        <v>24418</v>
      </c>
      <c r="O15" s="1850">
        <v>24418</v>
      </c>
      <c r="P15" s="1850">
        <v>24418</v>
      </c>
      <c r="Q15" s="1850">
        <v>24418</v>
      </c>
      <c r="R15" s="1850">
        <v>24418</v>
      </c>
      <c r="S15" s="1850">
        <v>24418</v>
      </c>
      <c r="T15" s="1850"/>
      <c r="U15" s="1850"/>
      <c r="V15" s="1850"/>
      <c r="W15" s="1850"/>
      <c r="X15" s="1850"/>
      <c r="Y15" s="1850"/>
      <c r="Z15" s="1850"/>
      <c r="AA15" s="1850"/>
      <c r="AB15" s="1850"/>
      <c r="AC15" s="1850"/>
      <c r="AD15" s="1850"/>
      <c r="AE15" s="1850"/>
      <c r="AF15" s="1850"/>
      <c r="AG15" s="1850"/>
      <c r="AH15" s="1850"/>
      <c r="AI15" s="1850"/>
      <c r="AJ15" s="1850"/>
      <c r="AK15" s="1850"/>
      <c r="AL15" s="1850">
        <f>SUM(J15:AC15)</f>
        <v>244180</v>
      </c>
      <c r="AP15" s="1851"/>
      <c r="AS15" s="1850"/>
      <c r="AT15" s="1850"/>
      <c r="AU15" s="1870"/>
      <c r="AV15" s="1850"/>
      <c r="AW15" s="1850"/>
      <c r="AX15" s="1850"/>
      <c r="AY15" s="1850"/>
      <c r="AZ15" s="1850"/>
      <c r="BA15" s="1850"/>
      <c r="BB15" s="1850"/>
      <c r="BC15" s="1850"/>
      <c r="BD15" s="1850"/>
      <c r="BE15" s="1850"/>
      <c r="BI15" s="1854"/>
      <c r="BJ15" s="1855" t="s">
        <v>1490</v>
      </c>
      <c r="BK15" s="1855" t="s">
        <v>1491</v>
      </c>
      <c r="BL15" s="1855" t="s">
        <v>1467</v>
      </c>
      <c r="BM15" s="1884"/>
      <c r="BN15" s="1864"/>
      <c r="BO15" s="1864"/>
      <c r="BU15" s="1854"/>
      <c r="BV15" s="1855" t="s">
        <v>1490</v>
      </c>
      <c r="BW15" s="1855" t="s">
        <v>1491</v>
      </c>
      <c r="BX15" s="1855"/>
      <c r="BY15" s="1884"/>
      <c r="BZ15" s="1864"/>
      <c r="CA15" s="1864"/>
      <c r="CB15" s="1874"/>
    </row>
    <row r="16" spans="1:83">
      <c r="A16" s="1851">
        <v>2006</v>
      </c>
      <c r="B16" s="1883">
        <v>65410</v>
      </c>
      <c r="C16" s="1850"/>
      <c r="D16" s="1850"/>
      <c r="E16" s="1850"/>
      <c r="F16" s="1850"/>
      <c r="G16" s="1850"/>
      <c r="H16" s="1850"/>
      <c r="I16" s="1850"/>
      <c r="J16" s="1850"/>
      <c r="K16" s="1850">
        <v>6541</v>
      </c>
      <c r="L16" s="1850">
        <v>6541</v>
      </c>
      <c r="M16" s="1850">
        <v>6541</v>
      </c>
      <c r="N16" s="1850">
        <v>6541</v>
      </c>
      <c r="O16" s="1850">
        <v>6541</v>
      </c>
      <c r="P16" s="1850">
        <v>6541</v>
      </c>
      <c r="Q16" s="1850">
        <v>6541</v>
      </c>
      <c r="R16" s="1850">
        <v>6541</v>
      </c>
      <c r="S16" s="1850">
        <v>6541</v>
      </c>
      <c r="T16" s="1850">
        <v>6541</v>
      </c>
      <c r="U16" s="1850"/>
      <c r="V16" s="1850"/>
      <c r="W16" s="1850"/>
      <c r="X16" s="1850"/>
      <c r="Y16" s="1850"/>
      <c r="Z16" s="1850"/>
      <c r="AA16" s="1850"/>
      <c r="AB16" s="1850"/>
      <c r="AC16" s="1850"/>
      <c r="AD16" s="1850"/>
      <c r="AE16" s="1850"/>
      <c r="AF16" s="1850"/>
      <c r="AG16" s="1850"/>
      <c r="AH16" s="1850"/>
      <c r="AI16" s="1850"/>
      <c r="AJ16" s="1850"/>
      <c r="AK16" s="1850"/>
      <c r="AL16" s="1850">
        <f>SUM(J16:AC16)</f>
        <v>65410</v>
      </c>
      <c r="AP16" s="1851">
        <v>5</v>
      </c>
      <c r="AR16" s="1778" t="s">
        <v>1483</v>
      </c>
      <c r="AS16" s="1850">
        <f>'G-2.09 NGL'!BP40</f>
        <v>0</v>
      </c>
      <c r="AT16" s="1850"/>
      <c r="AV16" s="1850"/>
      <c r="AW16" s="1850"/>
      <c r="AX16" s="1850"/>
      <c r="AY16" s="1850"/>
      <c r="AZ16" s="1850"/>
      <c r="BA16" s="1850"/>
      <c r="BB16" s="1850"/>
      <c r="BC16" s="1850"/>
      <c r="BD16" s="1850"/>
      <c r="BE16" s="1850"/>
      <c r="BI16" s="1854"/>
      <c r="BJ16" s="1855" t="s">
        <v>1492</v>
      </c>
      <c r="BK16" s="1855" t="s">
        <v>1493</v>
      </c>
      <c r="BL16" s="1855" t="s">
        <v>110</v>
      </c>
      <c r="BM16" s="1885">
        <f>BM10-BM12</f>
        <v>0</v>
      </c>
      <c r="BN16" s="1864"/>
      <c r="BO16" s="1864"/>
      <c r="BP16" s="1886">
        <f>BM16</f>
        <v>0</v>
      </c>
      <c r="BQ16" s="1874"/>
      <c r="BR16" s="1887"/>
      <c r="BU16" s="1854"/>
      <c r="BV16" s="1855" t="s">
        <v>1492</v>
      </c>
      <c r="BW16" s="1855" t="s">
        <v>1493</v>
      </c>
      <c r="BX16" s="1855"/>
      <c r="BY16" s="1885">
        <f>+BY10-54117.94</f>
        <v>52575.839999999997</v>
      </c>
      <c r="BZ16" s="1864"/>
      <c r="CA16" s="1864"/>
      <c r="CB16" s="1886">
        <f>BY16</f>
        <v>52575.839999999997</v>
      </c>
      <c r="CC16" s="1874"/>
      <c r="CD16" s="1874"/>
      <c r="CE16" s="1877"/>
    </row>
    <row r="17" spans="1:81">
      <c r="A17" s="1851">
        <v>2007</v>
      </c>
      <c r="B17" s="1883">
        <v>166676</v>
      </c>
      <c r="C17" s="1850"/>
      <c r="D17" s="1850"/>
      <c r="E17" s="1850"/>
      <c r="F17" s="1850"/>
      <c r="G17" s="1850"/>
      <c r="H17" s="1850"/>
      <c r="I17" s="1850"/>
      <c r="J17" s="1850"/>
      <c r="K17" s="1850"/>
      <c r="L17" s="1850">
        <v>16668</v>
      </c>
      <c r="M17" s="1850">
        <v>16668</v>
      </c>
      <c r="N17" s="1850">
        <v>16668</v>
      </c>
      <c r="O17" s="1850">
        <v>16668</v>
      </c>
      <c r="P17" s="1850">
        <v>16668</v>
      </c>
      <c r="Q17" s="1850">
        <v>16668</v>
      </c>
      <c r="R17" s="1850">
        <v>16668</v>
      </c>
      <c r="S17" s="1850">
        <v>16668</v>
      </c>
      <c r="T17" s="1850">
        <v>16668</v>
      </c>
      <c r="U17" s="1850">
        <v>16668</v>
      </c>
      <c r="V17" s="1850"/>
      <c r="W17" s="1850"/>
      <c r="X17" s="1850"/>
      <c r="Y17" s="1850"/>
      <c r="Z17" s="1850"/>
      <c r="AA17" s="1850"/>
      <c r="AB17" s="1850"/>
      <c r="AC17" s="1850"/>
      <c r="AD17" s="1850"/>
      <c r="AE17" s="1850"/>
      <c r="AF17" s="1850"/>
      <c r="AG17" s="1850"/>
      <c r="AH17" s="1850"/>
      <c r="AI17" s="1850"/>
      <c r="AJ17" s="1850"/>
      <c r="AK17" s="1850"/>
      <c r="AL17" s="1850">
        <f>SUM(J17:AC17)</f>
        <v>166680</v>
      </c>
      <c r="AP17" s="1851"/>
      <c r="AS17" s="1850"/>
      <c r="AT17" s="1850"/>
      <c r="AV17" s="1850"/>
      <c r="AW17" s="1850"/>
      <c r="AX17" s="1850"/>
      <c r="AY17" s="1850"/>
      <c r="AZ17" s="1850"/>
      <c r="BA17" s="1850"/>
      <c r="BB17" s="1850"/>
      <c r="BC17" s="1850"/>
      <c r="BD17" s="1850"/>
      <c r="BE17" s="1850"/>
      <c r="BI17" s="1854"/>
      <c r="BJ17" s="1855"/>
      <c r="BK17" s="1855"/>
      <c r="BL17" s="1855"/>
      <c r="BM17" s="1864"/>
      <c r="BN17" s="1864"/>
      <c r="BO17" s="1864"/>
      <c r="BR17" s="1874"/>
      <c r="BU17" s="1854"/>
      <c r="BV17" s="1855"/>
      <c r="BW17" s="1855"/>
      <c r="BX17" s="1855"/>
      <c r="BY17" s="1864"/>
      <c r="BZ17" s="1864"/>
      <c r="CA17" s="1864"/>
    </row>
    <row r="18" spans="1:81">
      <c r="A18" s="1851">
        <v>2008</v>
      </c>
      <c r="B18" s="1883">
        <v>172857</v>
      </c>
      <c r="C18" s="1850"/>
      <c r="D18" s="1850"/>
      <c r="E18" s="1850"/>
      <c r="F18" s="1850"/>
      <c r="G18" s="1850"/>
      <c r="H18" s="1850"/>
      <c r="I18" s="1850"/>
      <c r="J18" s="1850"/>
      <c r="K18" s="1850"/>
      <c r="L18" s="1850"/>
      <c r="M18" s="1850">
        <v>17286</v>
      </c>
      <c r="N18" s="1850">
        <v>17286</v>
      </c>
      <c r="O18" s="1850">
        <v>17286</v>
      </c>
      <c r="P18" s="1850">
        <v>17286</v>
      </c>
      <c r="Q18" s="1850">
        <v>17286</v>
      </c>
      <c r="R18" s="1850">
        <v>17286</v>
      </c>
      <c r="S18" s="1850">
        <v>17286</v>
      </c>
      <c r="T18" s="1850">
        <v>17286</v>
      </c>
      <c r="U18" s="1850">
        <v>17286</v>
      </c>
      <c r="V18" s="1850">
        <v>17286</v>
      </c>
      <c r="W18" s="1850"/>
      <c r="X18" s="1850"/>
      <c r="Y18" s="1850"/>
      <c r="Z18" s="1850"/>
      <c r="AA18" s="1850"/>
      <c r="AB18" s="1850"/>
      <c r="AC18" s="1850"/>
      <c r="AD18" s="1850"/>
      <c r="AE18" s="1850"/>
      <c r="AF18" s="1850"/>
      <c r="AG18" s="1850"/>
      <c r="AH18" s="1850"/>
      <c r="AI18" s="1850"/>
      <c r="AJ18" s="1850"/>
      <c r="AK18" s="1850"/>
      <c r="AL18" s="1850">
        <f t="shared" ref="AL18:AL23" si="8">SUM(J18:AF18)</f>
        <v>172860</v>
      </c>
      <c r="AP18" s="1851">
        <v>6</v>
      </c>
      <c r="AR18" s="1778" t="s">
        <v>1483</v>
      </c>
      <c r="AS18" s="1888">
        <f>'G-2.09 NGL'!BP52</f>
        <v>0</v>
      </c>
      <c r="AT18" s="1888"/>
      <c r="AU18" s="1889"/>
      <c r="AV18" s="1888"/>
      <c r="AW18" s="1888"/>
      <c r="AX18" s="1888"/>
      <c r="AY18" s="1888"/>
      <c r="AZ18" s="1888"/>
      <c r="BA18" s="1888"/>
      <c r="BB18" s="1888"/>
      <c r="BC18" s="1888"/>
      <c r="BD18" s="1888"/>
      <c r="BE18" s="1850"/>
      <c r="BI18" s="1854" t="s">
        <v>1494</v>
      </c>
      <c r="BJ18" s="1855" t="s">
        <v>922</v>
      </c>
      <c r="BK18" s="1855" t="s">
        <v>1466</v>
      </c>
      <c r="BL18" s="1855"/>
      <c r="BM18" s="1865"/>
      <c r="BN18" s="1864"/>
      <c r="BO18" s="1864"/>
      <c r="BU18" s="1854" t="s">
        <v>1495</v>
      </c>
      <c r="BV18" s="1855" t="s">
        <v>922</v>
      </c>
      <c r="BW18" s="1855" t="s">
        <v>1466</v>
      </c>
      <c r="BX18" s="1855"/>
      <c r="BY18" s="1865" t="s">
        <v>1477</v>
      </c>
      <c r="BZ18" s="1864"/>
      <c r="CA18" s="1864"/>
    </row>
    <row r="19" spans="1:81">
      <c r="A19" s="1851">
        <v>2009</v>
      </c>
      <c r="B19" s="1883">
        <v>35772</v>
      </c>
      <c r="C19" s="1850"/>
      <c r="D19" s="1850"/>
      <c r="E19" s="1850"/>
      <c r="F19" s="1850"/>
      <c r="G19" s="1850"/>
      <c r="H19" s="1850"/>
      <c r="I19" s="1850"/>
      <c r="J19" s="1850"/>
      <c r="K19" s="1850"/>
      <c r="L19" s="1850"/>
      <c r="M19" s="1850"/>
      <c r="N19" s="1850">
        <v>3577</v>
      </c>
      <c r="O19" s="1850">
        <v>3577</v>
      </c>
      <c r="P19" s="1850">
        <v>3577</v>
      </c>
      <c r="Q19" s="1850">
        <v>3577</v>
      </c>
      <c r="R19" s="1850">
        <v>3577</v>
      </c>
      <c r="S19" s="1850">
        <v>3577</v>
      </c>
      <c r="T19" s="1850">
        <v>3577</v>
      </c>
      <c r="U19" s="1850">
        <v>3577</v>
      </c>
      <c r="V19" s="1850">
        <v>3577</v>
      </c>
      <c r="W19" s="1850">
        <v>3577</v>
      </c>
      <c r="X19" s="1850"/>
      <c r="Y19" s="1850"/>
      <c r="Z19" s="1850"/>
      <c r="AA19" s="1850"/>
      <c r="AB19" s="1850"/>
      <c r="AC19" s="1850"/>
      <c r="AD19" s="1850"/>
      <c r="AE19" s="1850"/>
      <c r="AF19" s="1850"/>
      <c r="AG19" s="1850"/>
      <c r="AH19" s="1850"/>
      <c r="AI19" s="1850"/>
      <c r="AJ19" s="1850"/>
      <c r="AK19" s="1850"/>
      <c r="AL19" s="1850">
        <f t="shared" si="8"/>
        <v>35770</v>
      </c>
      <c r="AP19" s="1851"/>
      <c r="AS19" s="1850"/>
      <c r="AT19" s="1850"/>
      <c r="AV19" s="1850"/>
      <c r="AW19" s="1850"/>
      <c r="AX19" s="1850"/>
      <c r="AY19" s="1850"/>
      <c r="AZ19" s="1850"/>
      <c r="BA19" s="1850"/>
      <c r="BB19" s="1850"/>
      <c r="BC19" s="1850"/>
      <c r="BD19" s="1850"/>
      <c r="BE19" s="1850"/>
      <c r="BI19" s="1854"/>
      <c r="BJ19" s="1855" t="s">
        <v>923</v>
      </c>
      <c r="BK19" s="1855" t="s">
        <v>1471</v>
      </c>
      <c r="BL19" s="1855"/>
      <c r="BM19" s="1868"/>
      <c r="BN19" s="1864"/>
      <c r="BO19" s="1864"/>
      <c r="BU19" s="1854"/>
      <c r="BV19" s="1855" t="s">
        <v>923</v>
      </c>
      <c r="BW19" s="1855" t="s">
        <v>1471</v>
      </c>
      <c r="BX19" s="1855"/>
      <c r="BY19" s="1864"/>
      <c r="BZ19" s="1864"/>
      <c r="CA19" s="1864"/>
    </row>
    <row r="20" spans="1:81">
      <c r="A20" s="1851">
        <v>2010</v>
      </c>
      <c r="B20" s="1883">
        <v>10483</v>
      </c>
      <c r="C20" s="1850"/>
      <c r="D20" s="1850"/>
      <c r="E20" s="1850"/>
      <c r="F20" s="1850"/>
      <c r="G20" s="1850"/>
      <c r="H20" s="1850"/>
      <c r="I20" s="1850"/>
      <c r="J20" s="1850"/>
      <c r="K20" s="1850"/>
      <c r="L20" s="1850"/>
      <c r="M20" s="1850"/>
      <c r="N20" s="1850"/>
      <c r="O20" s="1850">
        <v>1048</v>
      </c>
      <c r="P20" s="1850">
        <v>1048</v>
      </c>
      <c r="Q20" s="1850">
        <v>1048</v>
      </c>
      <c r="R20" s="1850">
        <v>1048</v>
      </c>
      <c r="S20" s="1850">
        <v>1048</v>
      </c>
      <c r="T20" s="1850">
        <v>1048</v>
      </c>
      <c r="U20" s="1850">
        <v>1048</v>
      </c>
      <c r="V20" s="1850">
        <v>1048</v>
      </c>
      <c r="W20" s="1850">
        <v>1048</v>
      </c>
      <c r="X20" s="1850">
        <v>1048</v>
      </c>
      <c r="Y20" s="1850"/>
      <c r="Z20" s="1850"/>
      <c r="AA20" s="1850"/>
      <c r="AB20" s="1850"/>
      <c r="AC20" s="1850"/>
      <c r="AD20" s="1850"/>
      <c r="AE20" s="1850"/>
      <c r="AF20" s="1850"/>
      <c r="AG20" s="1850"/>
      <c r="AH20" s="1850"/>
      <c r="AI20" s="1850"/>
      <c r="AJ20" s="1850"/>
      <c r="AK20" s="1850"/>
      <c r="AL20" s="1850">
        <f t="shared" si="8"/>
        <v>10480</v>
      </c>
      <c r="AP20" s="1890"/>
      <c r="AQ20" s="1197" t="s">
        <v>1496</v>
      </c>
      <c r="AR20" s="1891"/>
      <c r="AS20" s="1890">
        <f>SUM(AS8+AS10+AS12+AS14+AS16+AS18)</f>
        <v>1799247.31</v>
      </c>
      <c r="AT20" s="1890"/>
      <c r="AU20" s="1892"/>
      <c r="AV20" s="1890">
        <f>SUM(AV8:AV18)</f>
        <v>52576</v>
      </c>
      <c r="AW20" s="1890">
        <f>SUM(AW8:AW18)</f>
        <v>33858.944000000003</v>
      </c>
      <c r="AX20" s="1890">
        <f>SUM(AX8:AX18)</f>
        <v>18717.056</v>
      </c>
      <c r="AY20" s="1890"/>
      <c r="AZ20" s="1890">
        <f>SUM(AZ8:AZ18)</f>
        <v>0</v>
      </c>
      <c r="BA20" s="1890">
        <f>SUM(BA8:BA18)</f>
        <v>0</v>
      </c>
      <c r="BB20" s="1890">
        <f>SUM(BB8:BB18)</f>
        <v>0</v>
      </c>
      <c r="BC20" s="1893"/>
      <c r="BD20" s="1890">
        <f>SUM(BD8:BD18)</f>
        <v>0</v>
      </c>
      <c r="BE20" s="1890">
        <f>SUM(AV20,AZ20,BD20)</f>
        <v>52576</v>
      </c>
      <c r="BI20" s="1854"/>
      <c r="BJ20" s="1855" t="s">
        <v>924</v>
      </c>
      <c r="BK20" s="1855" t="s">
        <v>1474</v>
      </c>
      <c r="BL20" s="1855"/>
      <c r="BM20" s="1872"/>
      <c r="BN20" s="1864"/>
      <c r="BO20" s="1864"/>
      <c r="BU20" s="1854"/>
      <c r="BV20" s="1855" t="s">
        <v>924</v>
      </c>
      <c r="BW20" s="1855" t="s">
        <v>1474</v>
      </c>
      <c r="BX20" s="1855"/>
      <c r="BY20" s="1864"/>
      <c r="BZ20" s="1864"/>
      <c r="CA20" s="1864"/>
    </row>
    <row r="21" spans="1:81">
      <c r="A21" s="1851">
        <v>2011</v>
      </c>
      <c r="B21" s="1883">
        <v>-261</v>
      </c>
      <c r="C21" s="1850"/>
      <c r="D21" s="1850"/>
      <c r="E21" s="1850"/>
      <c r="F21" s="1850"/>
      <c r="G21" s="1850"/>
      <c r="H21" s="1850"/>
      <c r="I21" s="1850"/>
      <c r="J21" s="1850"/>
      <c r="K21" s="1850"/>
      <c r="L21" s="1850"/>
      <c r="M21" s="1850"/>
      <c r="N21" s="1850"/>
      <c r="O21" s="1850"/>
      <c r="P21" s="1850">
        <v>-26</v>
      </c>
      <c r="Q21" s="1850">
        <v>-26</v>
      </c>
      <c r="R21" s="1850">
        <v>-26</v>
      </c>
      <c r="S21" s="1850">
        <v>-26</v>
      </c>
      <c r="T21" s="1850">
        <v>-26</v>
      </c>
      <c r="U21" s="1850">
        <v>-26</v>
      </c>
      <c r="V21" s="1850">
        <v>-26</v>
      </c>
      <c r="W21" s="1850">
        <v>-26</v>
      </c>
      <c r="X21" s="1850">
        <v>-26</v>
      </c>
      <c r="Y21" s="1850">
        <v>-27</v>
      </c>
      <c r="Z21" s="1850"/>
      <c r="AA21" s="1850"/>
      <c r="AB21" s="1850"/>
      <c r="AC21" s="1850"/>
      <c r="AD21" s="1850"/>
      <c r="AE21" s="1850"/>
      <c r="AF21" s="1850"/>
      <c r="AG21" s="1850"/>
      <c r="AH21" s="1850"/>
      <c r="AI21" s="1850"/>
      <c r="AJ21" s="1850"/>
      <c r="AK21" s="1850"/>
      <c r="AL21" s="1850">
        <f t="shared" si="8"/>
        <v>-261</v>
      </c>
      <c r="AP21" s="1890"/>
      <c r="AQ21" s="1890"/>
      <c r="AR21" s="1891"/>
      <c r="AS21" s="1890"/>
      <c r="AT21" s="1890"/>
      <c r="AU21" s="1892"/>
      <c r="AV21" s="1890"/>
      <c r="AW21" s="1890"/>
      <c r="AX21" s="1890"/>
      <c r="AY21" s="1893"/>
      <c r="AZ21" s="1890"/>
      <c r="BA21" s="1890"/>
      <c r="BB21" s="1890"/>
      <c r="BC21" s="1893"/>
      <c r="BD21" s="1890"/>
      <c r="BE21" s="1890"/>
      <c r="BI21" s="1854"/>
      <c r="BJ21" s="1855" t="s">
        <v>1475</v>
      </c>
      <c r="BK21" s="1855" t="s">
        <v>1476</v>
      </c>
      <c r="BL21" s="1855"/>
      <c r="BM21" s="1864"/>
      <c r="BN21" s="1864"/>
      <c r="BO21" s="1864"/>
      <c r="BU21" s="1854"/>
      <c r="BV21" s="1855" t="s">
        <v>1475</v>
      </c>
      <c r="BW21" s="1855" t="s">
        <v>1476</v>
      </c>
      <c r="BX21" s="1855"/>
      <c r="BY21" s="1864"/>
      <c r="BZ21" s="1864"/>
      <c r="CA21" s="1864"/>
    </row>
    <row r="22" spans="1:81">
      <c r="A22" s="1851">
        <v>2012</v>
      </c>
      <c r="B22" s="1883">
        <v>0</v>
      </c>
      <c r="C22" s="1850"/>
      <c r="D22" s="1850"/>
      <c r="E22" s="1850"/>
      <c r="F22" s="1850"/>
      <c r="G22" s="1850"/>
      <c r="H22" s="1850"/>
      <c r="I22" s="1850"/>
      <c r="J22" s="1850"/>
      <c r="K22" s="1850"/>
      <c r="L22" s="1850"/>
      <c r="M22" s="1850"/>
      <c r="N22" s="1850"/>
      <c r="O22" s="1850"/>
      <c r="P22" s="1850"/>
      <c r="Q22" s="1850">
        <v>0</v>
      </c>
      <c r="R22" s="1850">
        <v>0</v>
      </c>
      <c r="S22" s="1850">
        <v>0</v>
      </c>
      <c r="T22" s="1850">
        <v>0</v>
      </c>
      <c r="U22" s="1850">
        <v>0</v>
      </c>
      <c r="V22" s="1850">
        <v>0</v>
      </c>
      <c r="W22" s="1850">
        <v>0</v>
      </c>
      <c r="X22" s="1850">
        <v>0</v>
      </c>
      <c r="Y22" s="1850">
        <v>0</v>
      </c>
      <c r="Z22" s="1850">
        <v>0</v>
      </c>
      <c r="AA22" s="1850">
        <v>0</v>
      </c>
      <c r="AB22" s="1850">
        <v>0</v>
      </c>
      <c r="AC22" s="1850"/>
      <c r="AD22" s="1850"/>
      <c r="AE22" s="1850"/>
      <c r="AF22" s="1850"/>
      <c r="AG22" s="1850"/>
      <c r="AH22" s="1850"/>
      <c r="AI22" s="1850"/>
      <c r="AJ22" s="1850"/>
      <c r="AK22" s="1850"/>
      <c r="AL22" s="1850">
        <f t="shared" si="8"/>
        <v>0</v>
      </c>
      <c r="AP22" s="1851"/>
      <c r="AS22" s="1894"/>
      <c r="AT22" s="1894"/>
      <c r="AU22" s="1853"/>
      <c r="AV22" s="1850"/>
      <c r="AW22" s="1850"/>
      <c r="AX22" s="1850"/>
      <c r="AY22" s="1850"/>
      <c r="AZ22" s="1850"/>
      <c r="BA22" s="1850"/>
      <c r="BB22" s="1850"/>
      <c r="BC22" s="1850"/>
      <c r="BD22" s="1850"/>
      <c r="BI22" s="1854"/>
      <c r="BJ22" s="1855" t="s">
        <v>1479</v>
      </c>
      <c r="BK22" s="1855" t="s">
        <v>1480</v>
      </c>
      <c r="BL22" s="1855"/>
      <c r="BM22" s="1895"/>
      <c r="BN22" s="1864"/>
      <c r="BO22" s="1864"/>
      <c r="BP22" s="1887"/>
      <c r="BU22" s="1854"/>
      <c r="BV22" s="1855" t="s">
        <v>1479</v>
      </c>
      <c r="BW22" s="1855" t="s">
        <v>1480</v>
      </c>
      <c r="BX22" s="1855"/>
      <c r="BY22" s="1873">
        <v>1787567.59</v>
      </c>
      <c r="BZ22" s="1864"/>
      <c r="CA22" s="1864"/>
      <c r="CB22" s="1874"/>
      <c r="CC22" s="1874"/>
    </row>
    <row r="23" spans="1:81">
      <c r="A23" s="1851">
        <v>2013</v>
      </c>
      <c r="B23" s="1883">
        <v>0</v>
      </c>
      <c r="C23" s="1850"/>
      <c r="D23" s="1850"/>
      <c r="E23" s="1850"/>
      <c r="F23" s="1850"/>
      <c r="G23" s="1850"/>
      <c r="H23" s="1850"/>
      <c r="I23" s="1850"/>
      <c r="J23" s="1850"/>
      <c r="K23" s="1850"/>
      <c r="L23" s="1850"/>
      <c r="M23" s="1850"/>
      <c r="N23" s="1850"/>
      <c r="O23" s="1850"/>
      <c r="P23" s="1850"/>
      <c r="Q23" s="1850"/>
      <c r="R23" s="1850">
        <v>0</v>
      </c>
      <c r="S23" s="1850">
        <v>0</v>
      </c>
      <c r="T23" s="1850">
        <v>0</v>
      </c>
      <c r="U23" s="1850">
        <v>0</v>
      </c>
      <c r="V23" s="1850">
        <v>0</v>
      </c>
      <c r="W23" s="1850">
        <v>0</v>
      </c>
      <c r="X23" s="1850">
        <v>0</v>
      </c>
      <c r="Y23" s="1850">
        <v>0</v>
      </c>
      <c r="Z23" s="1850">
        <v>0</v>
      </c>
      <c r="AA23" s="1850">
        <v>0</v>
      </c>
      <c r="AB23" s="1850">
        <v>0</v>
      </c>
      <c r="AC23" s="1850"/>
      <c r="AD23" s="1850"/>
      <c r="AE23" s="1850"/>
      <c r="AF23" s="1850"/>
      <c r="AG23" s="1850"/>
      <c r="AH23" s="1850"/>
      <c r="AI23" s="1850"/>
      <c r="AJ23" s="1850"/>
      <c r="AK23" s="1850"/>
      <c r="AL23" s="1850">
        <f t="shared" si="8"/>
        <v>0</v>
      </c>
      <c r="AP23" s="1851"/>
      <c r="AS23" s="1894"/>
      <c r="AT23" s="1894"/>
      <c r="AU23" s="1853"/>
      <c r="AV23" s="1850"/>
      <c r="AW23" s="1850"/>
      <c r="AX23" s="1850"/>
      <c r="AY23" s="1850"/>
      <c r="AZ23" s="1850"/>
      <c r="BA23" s="1850"/>
      <c r="BB23" s="1850"/>
      <c r="BC23" s="1850"/>
      <c r="BD23" s="1850"/>
      <c r="BI23" s="1854"/>
      <c r="BJ23" s="1855" t="s">
        <v>1481</v>
      </c>
      <c r="BK23" s="1855" t="s">
        <v>1482</v>
      </c>
      <c r="BL23" s="1855"/>
      <c r="BM23" s="1876"/>
      <c r="BN23" s="1864"/>
      <c r="BO23" s="1864"/>
      <c r="BU23" s="1854"/>
      <c r="BV23" s="1855" t="s">
        <v>1481</v>
      </c>
      <c r="BW23" s="1855" t="s">
        <v>1482</v>
      </c>
      <c r="BX23" s="1855"/>
      <c r="BY23" s="1876"/>
      <c r="BZ23" s="1864"/>
      <c r="CA23" s="1864"/>
      <c r="CB23" s="1874"/>
      <c r="CC23" s="1877"/>
    </row>
    <row r="24" spans="1:81">
      <c r="A24" s="1851">
        <v>2014</v>
      </c>
      <c r="B24" s="1883">
        <v>234733.7526336</v>
      </c>
      <c r="C24" s="1850"/>
      <c r="D24" s="1850"/>
      <c r="E24" s="1850"/>
      <c r="F24" s="1850"/>
      <c r="G24" s="1850"/>
      <c r="H24" s="1850"/>
      <c r="I24" s="1850"/>
      <c r="J24" s="1850"/>
      <c r="K24" s="1850"/>
      <c r="L24" s="1850"/>
      <c r="M24" s="1850"/>
      <c r="N24" s="1850"/>
      <c r="O24" s="1850"/>
      <c r="P24" s="1850"/>
      <c r="Q24" s="1850"/>
      <c r="R24" s="1850"/>
      <c r="S24" s="1850">
        <v>23473</v>
      </c>
      <c r="T24" s="1850">
        <v>23473</v>
      </c>
      <c r="U24" s="1850">
        <v>23473</v>
      </c>
      <c r="V24" s="1850">
        <v>23473</v>
      </c>
      <c r="W24" s="1850">
        <v>23473</v>
      </c>
      <c r="X24" s="1850">
        <v>23473</v>
      </c>
      <c r="Y24" s="1850">
        <v>23473</v>
      </c>
      <c r="Z24" s="1850">
        <v>23473</v>
      </c>
      <c r="AA24" s="1850">
        <v>23473</v>
      </c>
      <c r="AB24" s="1850">
        <v>23477</v>
      </c>
      <c r="AC24" s="1850"/>
      <c r="AD24" s="1850"/>
      <c r="AE24" s="1850"/>
      <c r="AF24" s="1850"/>
      <c r="AG24" s="1850"/>
      <c r="AH24" s="1850"/>
      <c r="AI24" s="1850"/>
      <c r="AJ24" s="1850"/>
      <c r="AK24" s="1850"/>
      <c r="AL24" s="1850">
        <f t="shared" ref="AL24:AL33" si="9">SUM(J24:AG24)</f>
        <v>234734</v>
      </c>
      <c r="AQ24" s="1896" t="s">
        <v>1497</v>
      </c>
      <c r="AR24" s="1863"/>
      <c r="AS24" s="1897"/>
      <c r="AT24" s="1897"/>
      <c r="BI24" s="1854"/>
      <c r="BJ24" s="1855" t="s">
        <v>1484</v>
      </c>
      <c r="BK24" s="1855" t="s">
        <v>1485</v>
      </c>
      <c r="BL24" s="1855"/>
      <c r="BM24" s="1879"/>
      <c r="BN24" s="1864"/>
      <c r="BO24" s="1864"/>
      <c r="BP24" s="1874"/>
      <c r="BU24" s="1854"/>
      <c r="BV24" s="1855" t="s">
        <v>1484</v>
      </c>
      <c r="BW24" s="1855" t="s">
        <v>1485</v>
      </c>
      <c r="BX24" s="1855"/>
      <c r="BY24" s="1879">
        <v>40896.120000000003</v>
      </c>
      <c r="BZ24" s="1864"/>
      <c r="CA24" s="1864"/>
      <c r="CB24" s="1874"/>
      <c r="CC24" s="1874"/>
    </row>
    <row r="25" spans="1:81">
      <c r="A25" s="1851">
        <v>2015</v>
      </c>
      <c r="B25" s="1883">
        <v>204354</v>
      </c>
      <c r="C25" s="1850"/>
      <c r="D25" s="1850"/>
      <c r="E25" s="1850"/>
      <c r="F25" s="1850"/>
      <c r="G25" s="1850"/>
      <c r="H25" s="1850"/>
      <c r="I25" s="1850"/>
      <c r="J25" s="1850"/>
      <c r="K25" s="1850"/>
      <c r="L25" s="1850"/>
      <c r="M25" s="1850"/>
      <c r="N25" s="1850"/>
      <c r="O25" s="1850"/>
      <c r="P25" s="1850"/>
      <c r="Q25" s="1850"/>
      <c r="R25" s="1850"/>
      <c r="S25" s="1850"/>
      <c r="T25" s="1850">
        <f t="shared" ref="T25:AC25" si="10">$B$25/10</f>
        <v>20435.400000000001</v>
      </c>
      <c r="U25" s="1850">
        <f t="shared" si="10"/>
        <v>20435.400000000001</v>
      </c>
      <c r="V25" s="1850">
        <f t="shared" si="10"/>
        <v>20435.400000000001</v>
      </c>
      <c r="W25" s="1850">
        <f t="shared" si="10"/>
        <v>20435.400000000001</v>
      </c>
      <c r="X25" s="1850">
        <f t="shared" si="10"/>
        <v>20435.400000000001</v>
      </c>
      <c r="Y25" s="1850">
        <f t="shared" si="10"/>
        <v>20435.400000000001</v>
      </c>
      <c r="Z25" s="1850">
        <f t="shared" si="10"/>
        <v>20435.400000000001</v>
      </c>
      <c r="AA25" s="1850">
        <f t="shared" si="10"/>
        <v>20435.400000000001</v>
      </c>
      <c r="AB25" s="1850">
        <f t="shared" si="10"/>
        <v>20435.400000000001</v>
      </c>
      <c r="AC25" s="1850">
        <f t="shared" si="10"/>
        <v>20435.400000000001</v>
      </c>
      <c r="AD25" s="1850"/>
      <c r="AE25" s="1850"/>
      <c r="AF25" s="1850"/>
      <c r="AG25" s="1850"/>
      <c r="AH25" s="1850"/>
      <c r="AI25" s="1850"/>
      <c r="AJ25" s="1850"/>
      <c r="AK25" s="1850"/>
      <c r="AL25" s="1850">
        <f t="shared" si="9"/>
        <v>204353.99999999997</v>
      </c>
      <c r="AQ25" s="1009" t="s">
        <v>1498</v>
      </c>
      <c r="AS25" s="1897"/>
      <c r="AT25" s="1897"/>
      <c r="AV25" s="1898">
        <f>AW25+AX25</f>
        <v>1</v>
      </c>
      <c r="AW25" s="1899">
        <v>0.64400000000000002</v>
      </c>
      <c r="AX25" s="1899">
        <v>0.35599999999999998</v>
      </c>
      <c r="BI25" s="1854"/>
      <c r="BJ25" s="1855" t="s">
        <v>1486</v>
      </c>
      <c r="BK25" s="1855" t="s">
        <v>1487</v>
      </c>
      <c r="BL25" s="1855"/>
      <c r="BM25" s="1881"/>
      <c r="BN25" s="1864"/>
      <c r="BO25" s="1864"/>
      <c r="BU25" s="1854"/>
      <c r="BV25" s="1855" t="s">
        <v>1486</v>
      </c>
      <c r="BW25" s="1855" t="s">
        <v>1487</v>
      </c>
      <c r="BX25" s="1855"/>
      <c r="BY25" s="1881"/>
      <c r="BZ25" s="1864"/>
      <c r="CA25" s="1864"/>
      <c r="CB25" s="1874"/>
    </row>
    <row r="26" spans="1:81">
      <c r="A26" s="1851">
        <v>2016</v>
      </c>
      <c r="B26" s="1883">
        <v>120035.50865891398</v>
      </c>
      <c r="C26" s="1850"/>
      <c r="D26" s="1850"/>
      <c r="E26" s="1850"/>
      <c r="F26" s="1850"/>
      <c r="G26" s="1850"/>
      <c r="H26" s="1850"/>
      <c r="I26" s="1850"/>
      <c r="J26" s="1850"/>
      <c r="K26" s="1850"/>
      <c r="L26" s="1850"/>
      <c r="M26" s="1850"/>
      <c r="N26" s="1850"/>
      <c r="O26" s="1850"/>
      <c r="P26" s="1850"/>
      <c r="Q26" s="1850"/>
      <c r="R26" s="1850"/>
      <c r="S26" s="1850"/>
      <c r="T26" s="1850"/>
      <c r="U26" s="1850">
        <f t="shared" ref="U26:AD26" si="11">$B$26/10</f>
        <v>12003.550865891399</v>
      </c>
      <c r="V26" s="1850">
        <f t="shared" si="11"/>
        <v>12003.550865891399</v>
      </c>
      <c r="W26" s="1850">
        <f t="shared" si="11"/>
        <v>12003.550865891399</v>
      </c>
      <c r="X26" s="1850">
        <f t="shared" si="11"/>
        <v>12003.550865891399</v>
      </c>
      <c r="Y26" s="1850">
        <f t="shared" si="11"/>
        <v>12003.550865891399</v>
      </c>
      <c r="Z26" s="1850">
        <f t="shared" si="11"/>
        <v>12003.550865891399</v>
      </c>
      <c r="AA26" s="1850">
        <f t="shared" si="11"/>
        <v>12003.550865891399</v>
      </c>
      <c r="AB26" s="1850">
        <f t="shared" si="11"/>
        <v>12003.550865891399</v>
      </c>
      <c r="AC26" s="1850">
        <f t="shared" si="11"/>
        <v>12003.550865891399</v>
      </c>
      <c r="AD26" s="1850">
        <f t="shared" si="11"/>
        <v>12003.550865891399</v>
      </c>
      <c r="AE26" s="1850"/>
      <c r="AF26" s="1850"/>
      <c r="AG26" s="1850"/>
      <c r="AH26" s="1850"/>
      <c r="AI26" s="1850"/>
      <c r="AJ26" s="1850"/>
      <c r="AK26" s="1850"/>
      <c r="AL26" s="1850">
        <f t="shared" si="9"/>
        <v>120035.50865891401</v>
      </c>
      <c r="AQ26" s="1009" t="s">
        <v>1499</v>
      </c>
      <c r="AS26" s="1897"/>
      <c r="AT26" s="1897"/>
      <c r="AV26" s="1900">
        <f>AW26+AX26</f>
        <v>1</v>
      </c>
      <c r="AW26" s="1899">
        <v>0.66942999999999997</v>
      </c>
      <c r="AX26" s="1899">
        <v>0.33056999999999997</v>
      </c>
      <c r="AZ26" s="1900">
        <f>SUM(BA26:BB26)</f>
        <v>1</v>
      </c>
      <c r="BA26" s="1899">
        <v>0.71745999999999999</v>
      </c>
      <c r="BB26" s="1899">
        <v>0.28254000000000001</v>
      </c>
      <c r="BD26" s="1900"/>
      <c r="BI26" s="1854"/>
      <c r="BJ26" s="1855" t="s">
        <v>1488</v>
      </c>
      <c r="BK26" s="1855" t="s">
        <v>1489</v>
      </c>
      <c r="BL26" s="1855"/>
      <c r="BM26" s="1882"/>
      <c r="BN26" s="1864"/>
      <c r="BO26" s="1864"/>
      <c r="BU26" s="1854"/>
      <c r="BV26" s="1855" t="s">
        <v>1488</v>
      </c>
      <c r="BW26" s="1855" t="s">
        <v>1489</v>
      </c>
      <c r="BX26" s="1855"/>
      <c r="BY26" s="1882"/>
      <c r="BZ26" s="1864"/>
      <c r="CA26" s="1864"/>
      <c r="CB26" s="1874"/>
    </row>
    <row r="27" spans="1:81">
      <c r="A27" s="1851">
        <v>2017</v>
      </c>
      <c r="B27" s="1883">
        <v>36793</v>
      </c>
      <c r="C27" s="1850"/>
      <c r="D27" s="1850"/>
      <c r="E27" s="1850"/>
      <c r="F27" s="1850"/>
      <c r="G27" s="1850"/>
      <c r="H27" s="1850"/>
      <c r="I27" s="1850"/>
      <c r="J27" s="1850"/>
      <c r="K27" s="1850"/>
      <c r="L27" s="1850"/>
      <c r="M27" s="1850"/>
      <c r="N27" s="1850"/>
      <c r="O27" s="1850"/>
      <c r="P27" s="1850"/>
      <c r="Q27" s="1850"/>
      <c r="R27" s="1850"/>
      <c r="S27" s="1850"/>
      <c r="T27" s="1850"/>
      <c r="U27" s="1850"/>
      <c r="V27" s="1850">
        <f t="shared" ref="V27:AE27" si="12">$B$27/10</f>
        <v>3679.3</v>
      </c>
      <c r="W27" s="1850">
        <f t="shared" si="12"/>
        <v>3679.3</v>
      </c>
      <c r="X27" s="1850">
        <f t="shared" si="12"/>
        <v>3679.3</v>
      </c>
      <c r="Y27" s="1850">
        <f t="shared" si="12"/>
        <v>3679.3</v>
      </c>
      <c r="Z27" s="1850">
        <f t="shared" si="12"/>
        <v>3679.3</v>
      </c>
      <c r="AA27" s="1850">
        <f t="shared" si="12"/>
        <v>3679.3</v>
      </c>
      <c r="AB27" s="1850">
        <f t="shared" si="12"/>
        <v>3679.3</v>
      </c>
      <c r="AC27" s="1850">
        <f t="shared" si="12"/>
        <v>3679.3</v>
      </c>
      <c r="AD27" s="1850">
        <f t="shared" si="12"/>
        <v>3679.3</v>
      </c>
      <c r="AE27" s="1850">
        <f t="shared" si="12"/>
        <v>3679.3</v>
      </c>
      <c r="AF27" s="1850"/>
      <c r="AG27" s="1850"/>
      <c r="AH27" s="1850"/>
      <c r="AI27" s="1850"/>
      <c r="AJ27" s="1850"/>
      <c r="AK27" s="1850"/>
      <c r="AL27" s="1850">
        <f t="shared" si="9"/>
        <v>36793</v>
      </c>
      <c r="AS27" s="1897"/>
      <c r="AT27" s="1897"/>
      <c r="AV27" s="1900"/>
      <c r="BI27" s="1854"/>
      <c r="BJ27" s="1855" t="s">
        <v>1490</v>
      </c>
      <c r="BK27" s="1855" t="s">
        <v>1491</v>
      </c>
      <c r="BL27" s="1855"/>
      <c r="BM27" s="1867"/>
      <c r="BN27" s="1864"/>
      <c r="BO27" s="1864"/>
      <c r="BU27" s="1854"/>
      <c r="BV27" s="1855" t="s">
        <v>1490</v>
      </c>
      <c r="BW27" s="1855" t="s">
        <v>1491</v>
      </c>
      <c r="BX27" s="1855"/>
      <c r="BY27" s="1867"/>
      <c r="BZ27" s="1864"/>
      <c r="CA27" s="1864"/>
      <c r="CB27" s="1874"/>
    </row>
    <row r="28" spans="1:81">
      <c r="A28" s="880">
        <v>2018</v>
      </c>
      <c r="B28" s="1901">
        <v>-15051.183274999999</v>
      </c>
      <c r="C28" s="477"/>
      <c r="D28" s="477"/>
      <c r="E28" s="477"/>
      <c r="F28" s="477"/>
      <c r="G28" s="477"/>
      <c r="H28" s="477"/>
      <c r="I28" s="477"/>
      <c r="J28" s="477"/>
      <c r="K28" s="477"/>
      <c r="L28" s="477"/>
      <c r="M28" s="477"/>
      <c r="N28" s="477"/>
      <c r="O28" s="477"/>
      <c r="P28" s="477"/>
      <c r="Q28" s="477"/>
      <c r="R28" s="477"/>
      <c r="S28" s="477"/>
      <c r="T28" s="477"/>
      <c r="U28" s="477"/>
      <c r="V28" s="477"/>
      <c r="W28" s="888">
        <f t="shared" ref="W28:AF28" si="13">ROUND($B$28/10,0)</f>
        <v>-1505</v>
      </c>
      <c r="X28" s="888">
        <f t="shared" si="13"/>
        <v>-1505</v>
      </c>
      <c r="Y28" s="888">
        <f t="shared" si="13"/>
        <v>-1505</v>
      </c>
      <c r="Z28" s="888">
        <f t="shared" si="13"/>
        <v>-1505</v>
      </c>
      <c r="AA28" s="888">
        <f t="shared" si="13"/>
        <v>-1505</v>
      </c>
      <c r="AB28" s="888">
        <f t="shared" si="13"/>
        <v>-1505</v>
      </c>
      <c r="AC28" s="888">
        <f t="shared" si="13"/>
        <v>-1505</v>
      </c>
      <c r="AD28" s="888">
        <f t="shared" si="13"/>
        <v>-1505</v>
      </c>
      <c r="AE28" s="888">
        <f t="shared" si="13"/>
        <v>-1505</v>
      </c>
      <c r="AF28" s="888">
        <f t="shared" si="13"/>
        <v>-1505</v>
      </c>
      <c r="AG28" s="888"/>
      <c r="AH28" s="888"/>
      <c r="AI28" s="888"/>
      <c r="AJ28" s="888"/>
      <c r="AK28" s="888"/>
      <c r="AL28" s="1850">
        <f t="shared" si="9"/>
        <v>-15050</v>
      </c>
      <c r="AQ28" s="1009" t="s">
        <v>1500</v>
      </c>
      <c r="AR28" s="1009"/>
      <c r="AS28" s="1898">
        <f>SUM(AV28:BD28)</f>
        <v>0.99999999999999989</v>
      </c>
      <c r="AU28" s="1009"/>
      <c r="AV28" s="1902">
        <v>0.70111999999999997</v>
      </c>
      <c r="AW28" s="1903"/>
      <c r="AX28" s="1903"/>
      <c r="AY28" s="1903"/>
      <c r="AZ28" s="1903">
        <v>0.20707999999999999</v>
      </c>
      <c r="BA28" s="1903"/>
      <c r="BB28" s="1903"/>
      <c r="BC28" s="1904"/>
      <c r="BD28" s="1903">
        <v>9.1800000000000007E-2</v>
      </c>
      <c r="BI28" s="1854"/>
      <c r="BJ28" s="1855" t="s">
        <v>1492</v>
      </c>
      <c r="BK28" s="1855" t="s">
        <v>1493</v>
      </c>
      <c r="BL28" s="1855"/>
      <c r="BM28" s="1885">
        <f>BM22-BM24</f>
        <v>0</v>
      </c>
      <c r="BN28" s="1864"/>
      <c r="BO28" s="1864"/>
      <c r="BP28" s="1886">
        <f>BM28</f>
        <v>0</v>
      </c>
      <c r="BQ28" s="1905"/>
      <c r="BU28" s="1854"/>
      <c r="BV28" s="1855" t="s">
        <v>1492</v>
      </c>
      <c r="BW28" s="1855" t="s">
        <v>1493</v>
      </c>
      <c r="BX28" s="1855"/>
      <c r="BY28" s="1885">
        <f>BY22-BY24</f>
        <v>1746671.47</v>
      </c>
      <c r="BZ28" s="1864"/>
      <c r="CA28" s="1864"/>
      <c r="CB28" s="1886">
        <f>BY28</f>
        <v>1746671.47</v>
      </c>
      <c r="CC28" s="1906" t="s">
        <v>1501</v>
      </c>
    </row>
    <row r="29" spans="1:81">
      <c r="A29" s="1851">
        <v>2019</v>
      </c>
      <c r="B29" s="1883">
        <v>-9410</v>
      </c>
      <c r="C29" s="1850"/>
      <c r="D29" s="1850"/>
      <c r="E29" s="1850"/>
      <c r="F29" s="1850"/>
      <c r="G29" s="1850"/>
      <c r="H29" s="1850"/>
      <c r="I29" s="1850"/>
      <c r="J29" s="1850"/>
      <c r="K29" s="1850"/>
      <c r="L29" s="1850"/>
      <c r="M29" s="1850"/>
      <c r="N29" s="1850"/>
      <c r="O29" s="1850"/>
      <c r="P29" s="1850"/>
      <c r="Q29" s="1850"/>
      <c r="R29" s="1850"/>
      <c r="S29" s="1850"/>
      <c r="T29" s="1850"/>
      <c r="U29" s="1850"/>
      <c r="V29" s="1850"/>
      <c r="W29" s="1850"/>
      <c r="X29" s="1850">
        <f t="shared" ref="X29:AG29" si="14">$B$29/10</f>
        <v>-941</v>
      </c>
      <c r="Y29" s="1850">
        <f t="shared" si="14"/>
        <v>-941</v>
      </c>
      <c r="Z29" s="1850">
        <f t="shared" si="14"/>
        <v>-941</v>
      </c>
      <c r="AA29" s="1850">
        <f t="shared" si="14"/>
        <v>-941</v>
      </c>
      <c r="AB29" s="1850">
        <f t="shared" si="14"/>
        <v>-941</v>
      </c>
      <c r="AC29" s="1850">
        <f t="shared" si="14"/>
        <v>-941</v>
      </c>
      <c r="AD29" s="1850">
        <f t="shared" si="14"/>
        <v>-941</v>
      </c>
      <c r="AE29" s="1850">
        <f t="shared" si="14"/>
        <v>-941</v>
      </c>
      <c r="AF29" s="1850">
        <f t="shared" si="14"/>
        <v>-941</v>
      </c>
      <c r="AG29" s="1850">
        <f t="shared" si="14"/>
        <v>-941</v>
      </c>
      <c r="AH29" s="1850"/>
      <c r="AI29" s="1850"/>
      <c r="AJ29" s="1850"/>
      <c r="AK29" s="1850"/>
      <c r="AL29" s="1850">
        <f t="shared" si="9"/>
        <v>-9410</v>
      </c>
      <c r="AQ29" s="1009" t="s">
        <v>1502</v>
      </c>
      <c r="AS29" s="1907">
        <f>SUM(AV29:AZ29)</f>
        <v>1</v>
      </c>
      <c r="AT29" s="1897"/>
      <c r="AV29" s="1899">
        <v>0.77144000000000001</v>
      </c>
      <c r="AW29" s="1899"/>
      <c r="AX29" s="1899"/>
      <c r="AY29" s="1899"/>
      <c r="AZ29" s="1899">
        <v>0.22856000000000001</v>
      </c>
      <c r="BI29" s="1854"/>
      <c r="BJ29" s="1855"/>
      <c r="BK29" s="1855"/>
      <c r="BL29" s="1855"/>
      <c r="BQ29" s="1874"/>
      <c r="BU29" s="1854"/>
      <c r="BV29" s="1855"/>
      <c r="BW29" s="1855"/>
      <c r="BX29" s="1855"/>
      <c r="BY29" s="1864"/>
      <c r="BZ29" s="1864"/>
      <c r="CA29" s="1864"/>
    </row>
    <row r="30" spans="1:81">
      <c r="A30" s="880">
        <v>2020</v>
      </c>
      <c r="B30" s="1883">
        <v>0</v>
      </c>
      <c r="C30" s="1850"/>
      <c r="D30" s="1850"/>
      <c r="E30" s="1850"/>
      <c r="F30" s="1850"/>
      <c r="G30" s="1850"/>
      <c r="H30" s="1850"/>
      <c r="I30" s="1850"/>
      <c r="J30" s="1850"/>
      <c r="K30" s="1850"/>
      <c r="L30" s="1850"/>
      <c r="M30" s="1850"/>
      <c r="N30" s="1850"/>
      <c r="O30" s="1850"/>
      <c r="P30" s="1850"/>
      <c r="Q30" s="1850"/>
      <c r="R30" s="1850"/>
      <c r="S30" s="1850"/>
      <c r="T30" s="1850"/>
      <c r="U30" s="1850"/>
      <c r="V30" s="1850"/>
      <c r="W30" s="1850"/>
      <c r="X30" s="1850"/>
      <c r="Y30" s="1850">
        <f t="shared" ref="Y30:AH30" si="15">$B$30/10</f>
        <v>0</v>
      </c>
      <c r="Z30" s="1850">
        <f t="shared" si="15"/>
        <v>0</v>
      </c>
      <c r="AA30" s="1850">
        <f t="shared" si="15"/>
        <v>0</v>
      </c>
      <c r="AB30" s="1850">
        <f t="shared" si="15"/>
        <v>0</v>
      </c>
      <c r="AC30" s="1850">
        <f t="shared" si="15"/>
        <v>0</v>
      </c>
      <c r="AD30" s="1850">
        <f t="shared" si="15"/>
        <v>0</v>
      </c>
      <c r="AE30" s="1850">
        <f t="shared" si="15"/>
        <v>0</v>
      </c>
      <c r="AF30" s="1850">
        <f t="shared" si="15"/>
        <v>0</v>
      </c>
      <c r="AG30" s="1850">
        <f t="shared" si="15"/>
        <v>0</v>
      </c>
      <c r="AH30" s="1850">
        <f t="shared" si="15"/>
        <v>0</v>
      </c>
      <c r="AI30" s="1850"/>
      <c r="AJ30" s="1850"/>
      <c r="AK30" s="1850"/>
      <c r="AL30" s="1850">
        <f t="shared" si="9"/>
        <v>0</v>
      </c>
      <c r="AS30" s="1897"/>
      <c r="AT30" s="1897"/>
      <c r="BI30" s="1854" t="s">
        <v>1468</v>
      </c>
      <c r="BJ30" s="1855" t="s">
        <v>922</v>
      </c>
      <c r="BK30" s="1855" t="s">
        <v>1466</v>
      </c>
      <c r="BL30" s="1855"/>
      <c r="BM30" s="1865"/>
      <c r="BN30" s="1864"/>
      <c r="BO30" s="1864"/>
      <c r="BU30" s="1854" t="s">
        <v>1503</v>
      </c>
      <c r="BV30" s="1855" t="s">
        <v>922</v>
      </c>
      <c r="BW30" s="1855" t="s">
        <v>1466</v>
      </c>
      <c r="BX30" s="1855"/>
      <c r="BY30" s="1865"/>
      <c r="BZ30" s="1864"/>
      <c r="CA30" s="1864"/>
    </row>
    <row r="31" spans="1:81">
      <c r="A31" s="1851">
        <v>2021</v>
      </c>
      <c r="B31" s="1883">
        <v>72497.976042384325</v>
      </c>
      <c r="C31" s="1850"/>
      <c r="D31" s="1850"/>
      <c r="E31" s="1850"/>
      <c r="F31" s="1850"/>
      <c r="G31" s="1850"/>
      <c r="H31" s="1850"/>
      <c r="I31" s="1850"/>
      <c r="J31" s="1850"/>
      <c r="K31" s="1850"/>
      <c r="L31" s="1850"/>
      <c r="M31" s="1850"/>
      <c r="N31" s="1850"/>
      <c r="O31" s="1850"/>
      <c r="P31" s="1850"/>
      <c r="Q31" s="1850"/>
      <c r="R31" s="1850"/>
      <c r="S31" s="1850"/>
      <c r="T31" s="1850"/>
      <c r="U31" s="1850"/>
      <c r="V31" s="1850"/>
      <c r="W31" s="1850"/>
      <c r="X31" s="1850"/>
      <c r="Y31" s="1850"/>
      <c r="Z31" s="1850">
        <f t="shared" ref="Z31:AI31" si="16">$B$31/10</f>
        <v>7249.7976042384325</v>
      </c>
      <c r="AA31" s="1850">
        <f t="shared" si="16"/>
        <v>7249.7976042384325</v>
      </c>
      <c r="AB31" s="1850">
        <f t="shared" si="16"/>
        <v>7249.7976042384325</v>
      </c>
      <c r="AC31" s="1850">
        <f t="shared" si="16"/>
        <v>7249.7976042384325</v>
      </c>
      <c r="AD31" s="1850">
        <f t="shared" si="16"/>
        <v>7249.7976042384325</v>
      </c>
      <c r="AE31" s="1850">
        <f t="shared" si="16"/>
        <v>7249.7976042384325</v>
      </c>
      <c r="AF31" s="1850">
        <f t="shared" si="16"/>
        <v>7249.7976042384325</v>
      </c>
      <c r="AG31" s="1850">
        <f t="shared" si="16"/>
        <v>7249.7976042384325</v>
      </c>
      <c r="AH31" s="1850">
        <f t="shared" si="16"/>
        <v>7249.7976042384325</v>
      </c>
      <c r="AI31" s="1850">
        <f t="shared" si="16"/>
        <v>7249.7976042384325</v>
      </c>
      <c r="AJ31" s="1850"/>
      <c r="AK31" s="1850"/>
      <c r="AL31" s="1850">
        <f t="shared" si="9"/>
        <v>57998.38083390746</v>
      </c>
      <c r="AS31" s="1897"/>
      <c r="AT31" s="1897"/>
      <c r="BI31" s="1854"/>
      <c r="BJ31" s="1855" t="s">
        <v>923</v>
      </c>
      <c r="BK31" s="1855" t="s">
        <v>1471</v>
      </c>
      <c r="BL31" s="1855"/>
      <c r="BM31" s="1868"/>
      <c r="BN31" s="1864"/>
      <c r="BO31" s="1864"/>
      <c r="BU31" s="1854"/>
      <c r="BV31" s="1855" t="s">
        <v>923</v>
      </c>
      <c r="BW31" s="1855" t="s">
        <v>1471</v>
      </c>
      <c r="BX31" s="1855"/>
      <c r="BY31" s="1864"/>
      <c r="BZ31" s="1864"/>
      <c r="CA31" s="1864"/>
    </row>
    <row r="32" spans="1:81">
      <c r="A32" s="1851">
        <v>2022</v>
      </c>
      <c r="B32" s="1883">
        <v>33859</v>
      </c>
      <c r="C32" s="1850"/>
      <c r="D32" s="1850"/>
      <c r="E32" s="1850"/>
      <c r="F32" s="1850"/>
      <c r="G32" s="1850"/>
      <c r="H32" s="1850"/>
      <c r="I32" s="1850"/>
      <c r="J32" s="1850"/>
      <c r="K32" s="1850"/>
      <c r="L32" s="1850"/>
      <c r="M32" s="1850"/>
      <c r="N32" s="1850"/>
      <c r="O32" s="1850"/>
      <c r="P32" s="1850"/>
      <c r="Q32" s="1850"/>
      <c r="R32" s="1850"/>
      <c r="S32" s="1850"/>
      <c r="T32" s="1850"/>
      <c r="U32" s="1850"/>
      <c r="V32" s="1850"/>
      <c r="W32" s="1850"/>
      <c r="X32" s="1850"/>
      <c r="Y32" s="1850"/>
      <c r="Z32" s="1850"/>
      <c r="AA32" s="1850">
        <f t="shared" ref="AA32:AJ32" si="17">$B$32/10</f>
        <v>3385.9</v>
      </c>
      <c r="AB32" s="1850">
        <f t="shared" si="17"/>
        <v>3385.9</v>
      </c>
      <c r="AC32" s="1850">
        <f t="shared" si="17"/>
        <v>3385.9</v>
      </c>
      <c r="AD32" s="1850">
        <f t="shared" si="17"/>
        <v>3385.9</v>
      </c>
      <c r="AE32" s="1850">
        <f t="shared" si="17"/>
        <v>3385.9</v>
      </c>
      <c r="AF32" s="1850">
        <f t="shared" si="17"/>
        <v>3385.9</v>
      </c>
      <c r="AG32" s="1850">
        <f t="shared" si="17"/>
        <v>3385.9</v>
      </c>
      <c r="AH32" s="1850">
        <f t="shared" si="17"/>
        <v>3385.9</v>
      </c>
      <c r="AI32" s="1850">
        <f t="shared" si="17"/>
        <v>3385.9</v>
      </c>
      <c r="AJ32" s="1850">
        <f t="shared" si="17"/>
        <v>3385.9</v>
      </c>
      <c r="AK32" s="1850"/>
      <c r="AL32" s="1850">
        <f t="shared" si="9"/>
        <v>23701.300000000003</v>
      </c>
      <c r="BI32" s="1854"/>
      <c r="BJ32" s="1855" t="s">
        <v>924</v>
      </c>
      <c r="BK32" s="1855" t="s">
        <v>1474</v>
      </c>
      <c r="BL32" s="1855"/>
      <c r="BM32" s="1872"/>
      <c r="BN32" s="1864"/>
      <c r="BO32" s="1864"/>
      <c r="BU32" s="1854"/>
      <c r="BV32" s="1855" t="s">
        <v>924</v>
      </c>
      <c r="BW32" s="1855" t="s">
        <v>1474</v>
      </c>
      <c r="BX32" s="1855"/>
      <c r="BY32" s="1864"/>
      <c r="BZ32" s="1864"/>
      <c r="CA32" s="1864"/>
    </row>
    <row r="33" spans="1:81">
      <c r="A33" s="1851">
        <v>2023</v>
      </c>
      <c r="B33" s="1883">
        <v>0</v>
      </c>
      <c r="C33" s="1850"/>
      <c r="D33" s="1850"/>
      <c r="E33" s="1850"/>
      <c r="F33" s="1850"/>
      <c r="G33" s="1850"/>
      <c r="H33" s="1850"/>
      <c r="I33" s="1850"/>
      <c r="J33" s="1850"/>
      <c r="K33" s="1850"/>
      <c r="L33" s="1850"/>
      <c r="M33" s="1850"/>
      <c r="N33" s="1850"/>
      <c r="O33" s="1850"/>
      <c r="P33" s="1850"/>
      <c r="Q33" s="1850"/>
      <c r="R33" s="1850"/>
      <c r="S33" s="1850"/>
      <c r="T33" s="1850"/>
      <c r="U33" s="1850"/>
      <c r="V33" s="1850"/>
      <c r="W33" s="1850"/>
      <c r="X33" s="1850"/>
      <c r="Y33" s="1850"/>
      <c r="Z33" s="1850"/>
      <c r="AA33" s="1850"/>
      <c r="AB33" s="1850">
        <f t="shared" ref="AB33:AK33" si="18">$B$33/10</f>
        <v>0</v>
      </c>
      <c r="AC33" s="1850">
        <f t="shared" si="18"/>
        <v>0</v>
      </c>
      <c r="AD33" s="1850">
        <f t="shared" si="18"/>
        <v>0</v>
      </c>
      <c r="AE33" s="1850">
        <f t="shared" si="18"/>
        <v>0</v>
      </c>
      <c r="AF33" s="1850">
        <f t="shared" si="18"/>
        <v>0</v>
      </c>
      <c r="AG33" s="1850">
        <f t="shared" si="18"/>
        <v>0</v>
      </c>
      <c r="AH33" s="1850">
        <f t="shared" si="18"/>
        <v>0</v>
      </c>
      <c r="AI33" s="1850">
        <f t="shared" si="18"/>
        <v>0</v>
      </c>
      <c r="AJ33" s="1850">
        <f t="shared" si="18"/>
        <v>0</v>
      </c>
      <c r="AK33" s="1850">
        <f t="shared" si="18"/>
        <v>0</v>
      </c>
      <c r="AL33" s="1850">
        <f t="shared" si="9"/>
        <v>0</v>
      </c>
      <c r="BI33" s="1854"/>
      <c r="BJ33" s="1855" t="s">
        <v>1475</v>
      </c>
      <c r="BK33" s="1855" t="s">
        <v>1476</v>
      </c>
      <c r="BL33" s="1855"/>
      <c r="BM33" s="1864"/>
      <c r="BN33" s="1864"/>
      <c r="BO33" s="1864"/>
      <c r="BU33" s="1854"/>
      <c r="BV33" s="1855" t="s">
        <v>1475</v>
      </c>
      <c r="BW33" s="1855" t="s">
        <v>1476</v>
      </c>
      <c r="BX33" s="1855"/>
      <c r="BY33" s="1864"/>
      <c r="BZ33" s="1864"/>
      <c r="CA33" s="1864"/>
    </row>
    <row r="34" spans="1:81" ht="13.5" thickBot="1">
      <c r="A34" s="1009" t="s">
        <v>706</v>
      </c>
      <c r="B34" s="1908">
        <f>SUM(B8:B33)</f>
        <v>1944606.0540598982</v>
      </c>
      <c r="C34" s="1908">
        <f t="shared" ref="C34:K34" si="19">SUM(C8:C29)</f>
        <v>0</v>
      </c>
      <c r="D34" s="1908">
        <f t="shared" si="19"/>
        <v>43563</v>
      </c>
      <c r="E34" s="1908">
        <f t="shared" si="19"/>
        <v>46021</v>
      </c>
      <c r="F34" s="1908">
        <f t="shared" si="19"/>
        <v>46989</v>
      </c>
      <c r="G34" s="1908">
        <f t="shared" si="19"/>
        <v>57792</v>
      </c>
      <c r="H34" s="1908">
        <f t="shared" si="19"/>
        <v>46149</v>
      </c>
      <c r="I34" s="1908">
        <f t="shared" si="19"/>
        <v>57167</v>
      </c>
      <c r="J34" s="1908">
        <f t="shared" si="19"/>
        <v>81585</v>
      </c>
      <c r="K34" s="1908">
        <f t="shared" si="19"/>
        <v>88126</v>
      </c>
      <c r="L34" s="1908">
        <f t="shared" ref="L34:AL34" si="20">SUM(L8:L33)</f>
        <v>104794</v>
      </c>
      <c r="M34" s="1908">
        <f t="shared" si="20"/>
        <v>122080</v>
      </c>
      <c r="N34" s="1908">
        <f t="shared" si="20"/>
        <v>82094</v>
      </c>
      <c r="O34" s="1908">
        <f t="shared" si="20"/>
        <v>80684</v>
      </c>
      <c r="P34" s="1908">
        <f t="shared" si="20"/>
        <v>79690</v>
      </c>
      <c r="Q34" s="1908">
        <f t="shared" si="20"/>
        <v>68887</v>
      </c>
      <c r="R34" s="1908">
        <f t="shared" si="20"/>
        <v>80530</v>
      </c>
      <c r="S34" s="1908">
        <f t="shared" si="20"/>
        <v>92985</v>
      </c>
      <c r="T34" s="1908">
        <f t="shared" si="20"/>
        <v>89002.4</v>
      </c>
      <c r="U34" s="1908">
        <f t="shared" si="20"/>
        <v>94464.950865891398</v>
      </c>
      <c r="V34" s="1908">
        <f t="shared" si="20"/>
        <v>81476.250865891401</v>
      </c>
      <c r="W34" s="1908">
        <f t="shared" si="20"/>
        <v>62685.250865891401</v>
      </c>
      <c r="X34" s="1908">
        <f t="shared" si="20"/>
        <v>58167.250865891401</v>
      </c>
      <c r="Y34" s="1908">
        <f t="shared" si="20"/>
        <v>57118.250865891401</v>
      </c>
      <c r="Z34" s="1908">
        <f t="shared" si="20"/>
        <v>64395.048470129834</v>
      </c>
      <c r="AA34" s="1908">
        <f t="shared" si="20"/>
        <v>67780.948470129835</v>
      </c>
      <c r="AB34" s="1908">
        <f t="shared" si="20"/>
        <v>67784.948470129835</v>
      </c>
      <c r="AC34" s="1908">
        <f t="shared" si="20"/>
        <v>44307.948470129835</v>
      </c>
      <c r="AD34" s="1908">
        <f t="shared" si="20"/>
        <v>23872.548470129834</v>
      </c>
      <c r="AE34" s="1908">
        <f t="shared" si="20"/>
        <v>11868.997604238431</v>
      </c>
      <c r="AF34" s="1908">
        <f t="shared" si="20"/>
        <v>8189.6976042384322</v>
      </c>
      <c r="AG34" s="1908">
        <f t="shared" si="20"/>
        <v>9694.6976042384322</v>
      </c>
      <c r="AH34" s="1908">
        <f t="shared" si="20"/>
        <v>10635.697604238432</v>
      </c>
      <c r="AI34" s="1908">
        <f t="shared" si="20"/>
        <v>10635.697604238432</v>
      </c>
      <c r="AJ34" s="1908">
        <f t="shared" si="20"/>
        <v>3385.9</v>
      </c>
      <c r="AK34" s="1908">
        <f t="shared" si="20"/>
        <v>0</v>
      </c>
      <c r="AL34" s="1908">
        <f t="shared" si="20"/>
        <v>1919945.1894928215</v>
      </c>
      <c r="BI34" s="1854"/>
      <c r="BJ34" s="1855" t="s">
        <v>1479</v>
      </c>
      <c r="BK34" s="1855" t="s">
        <v>1480</v>
      </c>
      <c r="BL34" s="1855"/>
      <c r="BM34" s="1873"/>
      <c r="BN34" s="1864"/>
      <c r="BO34" s="1864"/>
      <c r="BP34" s="1874"/>
      <c r="BQ34" s="1874"/>
      <c r="BU34" s="1854"/>
      <c r="BV34" s="1855" t="s">
        <v>1479</v>
      </c>
      <c r="BW34" s="1855" t="s">
        <v>1480</v>
      </c>
      <c r="BX34" s="1855"/>
      <c r="BY34" s="1909"/>
      <c r="BZ34" s="1864"/>
      <c r="CA34" s="1864"/>
      <c r="CB34" s="1874"/>
    </row>
    <row r="35" spans="1:81">
      <c r="A35" s="1009"/>
      <c r="B35" s="1850"/>
      <c r="C35" s="1850"/>
      <c r="D35" s="1850"/>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c r="AL35" s="1850"/>
      <c r="BI35" s="1854"/>
      <c r="BJ35" s="1855" t="s">
        <v>1481</v>
      </c>
      <c r="BK35" s="1855" t="s">
        <v>1482</v>
      </c>
      <c r="BL35" s="1855"/>
      <c r="BM35" s="1876"/>
      <c r="BN35" s="1864"/>
      <c r="BO35" s="1864"/>
      <c r="BP35" s="1874"/>
      <c r="BQ35" s="1877"/>
      <c r="BU35" s="1854"/>
      <c r="BV35" s="1855" t="s">
        <v>1481</v>
      </c>
      <c r="BW35" s="1855" t="s">
        <v>1482</v>
      </c>
      <c r="BX35" s="1855"/>
      <c r="BY35" s="1876"/>
      <c r="BZ35" s="1864"/>
      <c r="CA35" s="1864"/>
      <c r="CB35" s="1874"/>
    </row>
    <row r="36" spans="1:81">
      <c r="A36" s="1009"/>
      <c r="B36" s="1850"/>
      <c r="C36" s="1850"/>
      <c r="D36" s="1850"/>
      <c r="E36" s="1850"/>
      <c r="F36" s="1850"/>
      <c r="G36" s="1850"/>
      <c r="H36" s="1850"/>
      <c r="I36" s="1850"/>
      <c r="J36" s="1850"/>
      <c r="K36" s="1850"/>
      <c r="L36" s="1910"/>
      <c r="M36" s="1910"/>
      <c r="N36" s="1910"/>
      <c r="O36" s="1910"/>
      <c r="P36" s="1910"/>
      <c r="Q36" s="1910">
        <v>44743</v>
      </c>
      <c r="R36" s="1910">
        <v>44774</v>
      </c>
      <c r="S36" s="1910">
        <v>44805</v>
      </c>
      <c r="T36" s="1910">
        <v>44835</v>
      </c>
      <c r="U36" s="1910">
        <v>44866</v>
      </c>
      <c r="V36" s="1910">
        <v>44896</v>
      </c>
      <c r="W36" s="1910">
        <v>44927</v>
      </c>
      <c r="X36" s="1910">
        <v>44958</v>
      </c>
      <c r="Y36" s="1910">
        <v>44986</v>
      </c>
      <c r="Z36" s="1910">
        <v>45017</v>
      </c>
      <c r="AA36" s="1910">
        <v>45047</v>
      </c>
      <c r="AB36" s="1910">
        <v>45078</v>
      </c>
      <c r="AC36" s="1911"/>
      <c r="AD36" s="1911"/>
      <c r="AE36" s="1911"/>
      <c r="AF36" s="1911"/>
      <c r="AG36" s="1911"/>
      <c r="AH36" s="1911"/>
      <c r="AI36" s="1911"/>
      <c r="AJ36" s="1911"/>
      <c r="AK36" s="1911"/>
      <c r="AL36" s="1911" t="s">
        <v>24</v>
      </c>
      <c r="BI36" s="1854"/>
      <c r="BJ36" s="1855" t="s">
        <v>1484</v>
      </c>
      <c r="BK36" s="1855" t="s">
        <v>1485</v>
      </c>
      <c r="BL36" s="1855"/>
      <c r="BM36" s="1879"/>
      <c r="BN36" s="1864"/>
      <c r="BO36" s="1864"/>
      <c r="BP36" s="1874"/>
      <c r="BQ36" s="1874"/>
      <c r="BU36" s="1854"/>
      <c r="BV36" s="1855" t="s">
        <v>1484</v>
      </c>
      <c r="BW36" s="1855" t="s">
        <v>1485</v>
      </c>
      <c r="BX36" s="1855"/>
      <c r="BY36" s="1881"/>
      <c r="BZ36" s="1864"/>
      <c r="CA36" s="1864"/>
      <c r="CB36" s="1874"/>
    </row>
    <row r="37" spans="1:81">
      <c r="A37" s="1197" t="s">
        <v>1504</v>
      </c>
      <c r="B37" s="1850"/>
      <c r="C37" s="1850"/>
      <c r="D37" s="1850"/>
      <c r="E37" s="1850"/>
      <c r="F37" s="1850"/>
      <c r="G37" s="1850"/>
      <c r="H37" s="1850"/>
      <c r="I37" s="1850"/>
      <c r="J37" s="1850"/>
      <c r="K37" s="1850"/>
      <c r="L37" s="1850"/>
      <c r="M37" s="1850"/>
      <c r="N37" s="1850"/>
      <c r="O37" s="1850"/>
      <c r="P37" s="1850"/>
      <c r="Q37" s="1850">
        <f t="shared" ref="Q37:V37" si="21">$AA$34/12</f>
        <v>5648.4123725108193</v>
      </c>
      <c r="R37" s="1850">
        <f t="shared" si="21"/>
        <v>5648.4123725108193</v>
      </c>
      <c r="S37" s="1850">
        <f t="shared" si="21"/>
        <v>5648.4123725108193</v>
      </c>
      <c r="T37" s="1850">
        <f t="shared" si="21"/>
        <v>5648.4123725108193</v>
      </c>
      <c r="U37" s="1850">
        <f t="shared" si="21"/>
        <v>5648.4123725108193</v>
      </c>
      <c r="V37" s="1850">
        <f t="shared" si="21"/>
        <v>5648.4123725108193</v>
      </c>
      <c r="W37" s="1850">
        <f t="shared" ref="W37:AB37" si="22">$AB$34/12</f>
        <v>5648.7457058441532</v>
      </c>
      <c r="X37" s="1850">
        <f t="shared" si="22"/>
        <v>5648.7457058441532</v>
      </c>
      <c r="Y37" s="1850">
        <f t="shared" si="22"/>
        <v>5648.7457058441532</v>
      </c>
      <c r="Z37" s="1850">
        <f t="shared" si="22"/>
        <v>5648.7457058441532</v>
      </c>
      <c r="AA37" s="1850">
        <f t="shared" si="22"/>
        <v>5648.7457058441532</v>
      </c>
      <c r="AB37" s="1850">
        <f t="shared" si="22"/>
        <v>5648.7457058441532</v>
      </c>
      <c r="AC37" s="1850"/>
      <c r="AD37" s="1850"/>
      <c r="AE37" s="1850"/>
      <c r="AF37" s="1850"/>
      <c r="AG37" s="1850"/>
      <c r="AH37" s="1850"/>
      <c r="AI37" s="1850"/>
      <c r="AJ37" s="1850"/>
      <c r="AK37" s="1850"/>
      <c r="AL37" s="1912">
        <f>SUM(Q37:AB37)</f>
        <v>67782.948470129821</v>
      </c>
      <c r="BI37" s="1854"/>
      <c r="BJ37" s="1855" t="s">
        <v>1486</v>
      </c>
      <c r="BK37" s="1855" t="s">
        <v>1487</v>
      </c>
      <c r="BL37" s="1855"/>
      <c r="BM37" s="1881"/>
      <c r="BN37" s="1864"/>
      <c r="BO37" s="1864"/>
      <c r="BP37" s="1874"/>
      <c r="BU37" s="1854"/>
      <c r="BV37" s="1855" t="s">
        <v>1486</v>
      </c>
      <c r="BW37" s="1855" t="s">
        <v>1487</v>
      </c>
      <c r="BX37" s="1855"/>
      <c r="BY37" s="1881"/>
      <c r="BZ37" s="1864"/>
      <c r="CA37" s="1864"/>
      <c r="CB37" s="1874"/>
    </row>
    <row r="38" spans="1:81">
      <c r="A38" s="1009"/>
      <c r="B38" s="1850"/>
      <c r="C38" s="1850"/>
      <c r="D38" s="1850"/>
      <c r="E38" s="1850"/>
      <c r="F38" s="1850"/>
      <c r="G38" s="1850"/>
      <c r="H38" s="1850"/>
      <c r="I38" s="1850"/>
      <c r="J38" s="1850"/>
      <c r="K38" s="1850"/>
      <c r="L38" s="1850"/>
      <c r="M38" s="1850"/>
      <c r="N38" s="1009"/>
      <c r="Q38" s="1850"/>
      <c r="R38" s="1850"/>
      <c r="S38" s="1850"/>
      <c r="T38" s="1913"/>
      <c r="U38" s="1850"/>
      <c r="V38" s="1850"/>
      <c r="W38" s="1850"/>
      <c r="X38" s="1850"/>
      <c r="Y38" s="1850"/>
      <c r="Z38" s="1850"/>
      <c r="AA38" s="1850"/>
      <c r="AB38" s="1850"/>
      <c r="AC38" s="1850"/>
      <c r="AD38" s="1850"/>
      <c r="AE38" s="1850"/>
      <c r="AF38" s="1850"/>
      <c r="AG38" s="1850"/>
      <c r="AH38" s="1850"/>
      <c r="AI38" s="1850"/>
      <c r="AJ38" s="1850"/>
      <c r="AK38" s="1850"/>
      <c r="AL38" s="1850"/>
      <c r="BI38" s="1854"/>
      <c r="BJ38" s="1855" t="s">
        <v>1488</v>
      </c>
      <c r="BK38" s="1855" t="s">
        <v>1489</v>
      </c>
      <c r="BL38" s="1855"/>
      <c r="BM38" s="1882"/>
      <c r="BN38" s="1864"/>
      <c r="BO38" s="1864"/>
      <c r="BP38" s="1874"/>
      <c r="BU38" s="1854"/>
      <c r="BV38" s="1855" t="s">
        <v>1488</v>
      </c>
      <c r="BW38" s="1855" t="s">
        <v>1489</v>
      </c>
      <c r="BX38" s="1855"/>
      <c r="BY38" s="1882"/>
      <c r="BZ38" s="1864"/>
      <c r="CA38" s="1864"/>
      <c r="CB38" s="1874"/>
    </row>
    <row r="39" spans="1:81">
      <c r="A39" s="1009"/>
      <c r="B39" s="1009"/>
      <c r="C39" s="1009"/>
      <c r="D39" s="1009"/>
      <c r="E39" s="1009"/>
      <c r="F39" s="1009"/>
      <c r="G39" s="1009"/>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BI39" s="1854"/>
      <c r="BJ39" s="1855" t="s">
        <v>1490</v>
      </c>
      <c r="BK39" s="1855" t="s">
        <v>1491</v>
      </c>
      <c r="BL39" s="1855"/>
      <c r="BM39" s="1884"/>
      <c r="BN39" s="1864"/>
      <c r="BO39" s="1864"/>
      <c r="BP39" s="1874"/>
      <c r="BU39" s="1854"/>
      <c r="BV39" s="1855" t="s">
        <v>1490</v>
      </c>
      <c r="BW39" s="1855" t="s">
        <v>1491</v>
      </c>
      <c r="BX39" s="1855"/>
      <c r="BY39" s="1867"/>
      <c r="BZ39" s="1864"/>
      <c r="CA39" s="1864"/>
      <c r="CB39" s="1874"/>
    </row>
    <row r="40" spans="1:81">
      <c r="A40" s="1197" t="s">
        <v>78</v>
      </c>
      <c r="B40" s="1009"/>
      <c r="C40" s="3824" t="s">
        <v>1463</v>
      </c>
      <c r="D40" s="3825"/>
      <c r="E40" s="3825"/>
      <c r="F40" s="3825"/>
      <c r="G40" s="3825"/>
      <c r="H40" s="3825"/>
      <c r="I40" s="3825"/>
      <c r="J40" s="3825"/>
      <c r="K40" s="3825"/>
      <c r="L40" s="3825"/>
      <c r="M40" s="3825"/>
      <c r="N40" s="3825"/>
      <c r="O40" s="3825"/>
      <c r="P40" s="3825"/>
      <c r="Q40" s="3825"/>
      <c r="R40" s="3825"/>
      <c r="S40" s="3825"/>
      <c r="T40" s="3825"/>
      <c r="U40" s="3825"/>
      <c r="V40" s="3825"/>
      <c r="W40" s="3825"/>
      <c r="X40" s="3825"/>
      <c r="Y40" s="3825"/>
      <c r="Z40" s="3825"/>
      <c r="AA40" s="3825"/>
      <c r="AB40" s="3825"/>
      <c r="AC40" s="1316"/>
      <c r="AD40" s="1316"/>
      <c r="AE40" s="1316"/>
      <c r="AF40" s="1316"/>
      <c r="AG40" s="1316"/>
      <c r="AH40" s="1316"/>
      <c r="AI40" s="1316"/>
      <c r="AJ40" s="1316"/>
      <c r="AK40" s="1316"/>
      <c r="AL40" s="1009"/>
      <c r="BI40" s="1854"/>
      <c r="BJ40" s="1855" t="s">
        <v>1492</v>
      </c>
      <c r="BK40" s="1855" t="s">
        <v>1493</v>
      </c>
      <c r="BL40" s="1855"/>
      <c r="BM40" s="1885"/>
      <c r="BN40" s="1864"/>
      <c r="BO40" s="1864"/>
      <c r="BP40" s="1886">
        <f>BM40</f>
        <v>0</v>
      </c>
      <c r="BQ40" s="1874"/>
      <c r="BR40" s="1874"/>
      <c r="BU40" s="1854"/>
      <c r="BV40" s="1855" t="s">
        <v>1492</v>
      </c>
      <c r="BW40" s="1855" t="s">
        <v>1493</v>
      </c>
      <c r="BX40" s="1855"/>
      <c r="BY40" s="1914"/>
      <c r="BZ40" s="1864"/>
      <c r="CA40" s="1864"/>
      <c r="CB40" s="1886">
        <f>BY40</f>
        <v>0</v>
      </c>
      <c r="CC40" s="1905"/>
    </row>
    <row r="41" spans="1:81" ht="13.5" thickBot="1">
      <c r="A41" s="1866" t="s">
        <v>1291</v>
      </c>
      <c r="B41" s="1866" t="s">
        <v>1470</v>
      </c>
      <c r="C41" s="1866">
        <v>1998</v>
      </c>
      <c r="D41" s="1866">
        <v>1999</v>
      </c>
      <c r="E41" s="1866">
        <v>2000</v>
      </c>
      <c r="F41" s="1866">
        <v>2001</v>
      </c>
      <c r="G41" s="1866">
        <v>2002</v>
      </c>
      <c r="H41" s="1866">
        <v>2003</v>
      </c>
      <c r="I41" s="1866">
        <v>2004</v>
      </c>
      <c r="J41" s="1866">
        <v>2005</v>
      </c>
      <c r="K41" s="1866">
        <v>2006</v>
      </c>
      <c r="L41" s="1866">
        <v>2007</v>
      </c>
      <c r="M41" s="1866">
        <v>2008</v>
      </c>
      <c r="N41" s="1866">
        <v>2009</v>
      </c>
      <c r="O41" s="1866">
        <v>2010</v>
      </c>
      <c r="P41" s="1866">
        <v>2011</v>
      </c>
      <c r="Q41" s="1866">
        <v>2012</v>
      </c>
      <c r="R41" s="1866">
        <v>2013</v>
      </c>
      <c r="S41" s="1866">
        <v>2014</v>
      </c>
      <c r="T41" s="1866">
        <v>2015</v>
      </c>
      <c r="U41" s="1866">
        <v>2016</v>
      </c>
      <c r="V41" s="1866">
        <v>2017</v>
      </c>
      <c r="W41" s="1866">
        <v>2018</v>
      </c>
      <c r="X41" s="1866">
        <v>2019</v>
      </c>
      <c r="Y41" s="1866">
        <v>2020</v>
      </c>
      <c r="Z41" s="1866">
        <v>2021</v>
      </c>
      <c r="AA41" s="1866">
        <v>2022</v>
      </c>
      <c r="AB41" s="1866">
        <v>2023</v>
      </c>
      <c r="AC41" s="1866">
        <v>2024</v>
      </c>
      <c r="AD41" s="1866">
        <v>2025</v>
      </c>
      <c r="AE41" s="1866">
        <v>2026</v>
      </c>
      <c r="AF41" s="1866">
        <v>2027</v>
      </c>
      <c r="AG41" s="1866">
        <v>2028</v>
      </c>
      <c r="AH41" s="1866">
        <v>2029</v>
      </c>
      <c r="AI41" s="1866">
        <v>2030</v>
      </c>
      <c r="AJ41" s="1866">
        <v>2031</v>
      </c>
      <c r="AK41" s="1866">
        <v>2032</v>
      </c>
      <c r="AL41" s="1866" t="s">
        <v>198</v>
      </c>
      <c r="BI41" s="1854"/>
      <c r="BJ41" s="1855"/>
      <c r="BK41" s="1855"/>
      <c r="BL41" s="1855"/>
      <c r="BM41" s="1864"/>
      <c r="BN41" s="1864"/>
      <c r="BO41" s="1864"/>
      <c r="BU41" s="1854"/>
      <c r="BV41" s="1855"/>
      <c r="BW41" s="1855"/>
      <c r="BX41" s="1855"/>
      <c r="BY41" s="1864"/>
      <c r="BZ41" s="1864"/>
      <c r="CA41" s="1864"/>
    </row>
    <row r="42" spans="1:81">
      <c r="A42" s="1915">
        <v>1998</v>
      </c>
      <c r="B42" s="1916">
        <v>0</v>
      </c>
      <c r="C42" s="1917">
        <v>0</v>
      </c>
      <c r="D42" s="1917">
        <v>0</v>
      </c>
      <c r="E42" s="1917">
        <v>0</v>
      </c>
      <c r="F42" s="1917">
        <v>0</v>
      </c>
      <c r="G42" s="1917">
        <v>0</v>
      </c>
      <c r="H42" s="1917">
        <v>0</v>
      </c>
      <c r="I42" s="1917">
        <v>0</v>
      </c>
      <c r="J42" s="1917">
        <v>0</v>
      </c>
      <c r="K42" s="1917">
        <v>0</v>
      </c>
      <c r="L42" s="1917">
        <v>0</v>
      </c>
      <c r="M42" s="1917"/>
      <c r="N42" s="1917"/>
      <c r="O42" s="1917"/>
      <c r="P42" s="1917"/>
      <c r="Q42" s="1917"/>
      <c r="R42" s="1917"/>
      <c r="S42" s="1917"/>
      <c r="T42" s="1917"/>
      <c r="U42" s="1917"/>
      <c r="V42" s="1917"/>
      <c r="W42" s="1917"/>
      <c r="X42" s="1917"/>
      <c r="Y42" s="1917"/>
      <c r="Z42" s="1917"/>
      <c r="AA42" s="1917"/>
      <c r="AB42" s="1917"/>
      <c r="AC42" s="1917"/>
      <c r="AD42" s="1917"/>
      <c r="AE42" s="1917"/>
      <c r="AF42" s="1917"/>
      <c r="AG42" s="1917"/>
      <c r="AH42" s="1917"/>
      <c r="AI42" s="1917"/>
      <c r="AJ42" s="1917"/>
      <c r="AK42" s="1917"/>
      <c r="AL42" s="1850">
        <f>SUM(C42:Y42)</f>
        <v>0</v>
      </c>
      <c r="BI42" s="1854" t="s">
        <v>1495</v>
      </c>
      <c r="BJ42" s="1855" t="s">
        <v>922</v>
      </c>
      <c r="BK42" s="1855" t="s">
        <v>1466</v>
      </c>
      <c r="BL42" s="1855"/>
      <c r="BM42" s="1865"/>
      <c r="BN42" s="1864"/>
      <c r="BO42" s="1864"/>
      <c r="BU42" s="1854" t="s">
        <v>1505</v>
      </c>
      <c r="BV42" s="1855" t="s">
        <v>922</v>
      </c>
      <c r="BW42" s="1855" t="s">
        <v>1466</v>
      </c>
      <c r="BX42" s="1855"/>
      <c r="BY42" s="1865"/>
      <c r="BZ42" s="1864"/>
      <c r="CA42" s="1864"/>
    </row>
    <row r="43" spans="1:81">
      <c r="A43" s="1915">
        <v>1999</v>
      </c>
      <c r="B43" s="1916">
        <v>94593</v>
      </c>
      <c r="C43" s="1917"/>
      <c r="D43" s="1850">
        <f t="shared" ref="D43:M43" si="23">ROUND($B$43/10,0)</f>
        <v>9459</v>
      </c>
      <c r="E43" s="1850">
        <f t="shared" si="23"/>
        <v>9459</v>
      </c>
      <c r="F43" s="1850">
        <f t="shared" si="23"/>
        <v>9459</v>
      </c>
      <c r="G43" s="1850">
        <f t="shared" si="23"/>
        <v>9459</v>
      </c>
      <c r="H43" s="1850">
        <f t="shared" si="23"/>
        <v>9459</v>
      </c>
      <c r="I43" s="1850">
        <f t="shared" si="23"/>
        <v>9459</v>
      </c>
      <c r="J43" s="1850">
        <f t="shared" si="23"/>
        <v>9459</v>
      </c>
      <c r="K43" s="1850">
        <f t="shared" si="23"/>
        <v>9459</v>
      </c>
      <c r="L43" s="1850">
        <f t="shared" si="23"/>
        <v>9459</v>
      </c>
      <c r="M43" s="1850">
        <f t="shared" si="23"/>
        <v>9459</v>
      </c>
      <c r="N43" s="1917"/>
      <c r="O43" s="1917"/>
      <c r="P43" s="1917"/>
      <c r="Q43" s="1917"/>
      <c r="R43" s="1917"/>
      <c r="S43" s="1917"/>
      <c r="T43" s="1917"/>
      <c r="U43" s="1917"/>
      <c r="V43" s="1917"/>
      <c r="W43" s="1917"/>
      <c r="X43" s="1917"/>
      <c r="Y43" s="1917"/>
      <c r="Z43" s="1917"/>
      <c r="AA43" s="1917"/>
      <c r="AB43" s="1917"/>
      <c r="AC43" s="1917"/>
      <c r="AD43" s="1917"/>
      <c r="AE43" s="1917"/>
      <c r="AF43" s="1917"/>
      <c r="AG43" s="1917"/>
      <c r="AH43" s="1917"/>
      <c r="AI43" s="1917"/>
      <c r="AJ43" s="1917"/>
      <c r="AK43" s="1917"/>
      <c r="AL43" s="1850">
        <f t="shared" ref="AL43:AL48" si="24">SUM(D43:Y43)</f>
        <v>94590</v>
      </c>
      <c r="BI43" s="1854"/>
      <c r="BJ43" s="1855" t="s">
        <v>923</v>
      </c>
      <c r="BK43" s="1855" t="s">
        <v>1471</v>
      </c>
      <c r="BL43" s="1855"/>
      <c r="BM43" s="1864"/>
      <c r="BN43" s="1864"/>
      <c r="BO43" s="1864"/>
      <c r="BU43" s="1854"/>
      <c r="BV43" s="1855" t="s">
        <v>923</v>
      </c>
      <c r="BW43" s="1855" t="s">
        <v>1471</v>
      </c>
      <c r="BX43" s="1855"/>
      <c r="BY43" s="1864"/>
      <c r="BZ43" s="1864"/>
      <c r="CA43" s="1864"/>
    </row>
    <row r="44" spans="1:81">
      <c r="A44" s="1915">
        <v>2000</v>
      </c>
      <c r="B44" s="1916">
        <v>7096</v>
      </c>
      <c r="C44" s="1917"/>
      <c r="D44" s="1917"/>
      <c r="E44" s="1850">
        <f t="shared" ref="E44:N44" si="25">ROUND($B$44/10,0)</f>
        <v>710</v>
      </c>
      <c r="F44" s="1850">
        <f t="shared" si="25"/>
        <v>710</v>
      </c>
      <c r="G44" s="1850">
        <f t="shared" si="25"/>
        <v>710</v>
      </c>
      <c r="H44" s="1850">
        <f t="shared" si="25"/>
        <v>710</v>
      </c>
      <c r="I44" s="1850">
        <f t="shared" si="25"/>
        <v>710</v>
      </c>
      <c r="J44" s="1850">
        <f t="shared" si="25"/>
        <v>710</v>
      </c>
      <c r="K44" s="1850">
        <f t="shared" si="25"/>
        <v>710</v>
      </c>
      <c r="L44" s="1850">
        <f t="shared" si="25"/>
        <v>710</v>
      </c>
      <c r="M44" s="1850">
        <f t="shared" si="25"/>
        <v>710</v>
      </c>
      <c r="N44" s="1850">
        <f t="shared" si="25"/>
        <v>710</v>
      </c>
      <c r="O44" s="1917"/>
      <c r="P44" s="1917"/>
      <c r="Q44" s="1917"/>
      <c r="R44" s="1917"/>
      <c r="S44" s="1917"/>
      <c r="T44" s="1917"/>
      <c r="U44" s="1917"/>
      <c r="V44" s="1917"/>
      <c r="W44" s="1917"/>
      <c r="X44" s="1917"/>
      <c r="Y44" s="1917"/>
      <c r="Z44" s="1917"/>
      <c r="AA44" s="1917"/>
      <c r="AB44" s="1917"/>
      <c r="AC44" s="1917"/>
      <c r="AD44" s="1917"/>
      <c r="AE44" s="1917"/>
      <c r="AF44" s="1917"/>
      <c r="AG44" s="1917"/>
      <c r="AH44" s="1917"/>
      <c r="AI44" s="1917"/>
      <c r="AJ44" s="1917"/>
      <c r="AK44" s="1917"/>
      <c r="AL44" s="1850">
        <f t="shared" si="24"/>
        <v>7100</v>
      </c>
      <c r="BI44" s="1854"/>
      <c r="BJ44" s="1855" t="s">
        <v>924</v>
      </c>
      <c r="BK44" s="1855" t="s">
        <v>1474</v>
      </c>
      <c r="BL44" s="1855"/>
      <c r="BM44" s="1864"/>
      <c r="BN44" s="1864"/>
      <c r="BO44" s="1864"/>
      <c r="BU44" s="1854"/>
      <c r="BV44" s="1855" t="s">
        <v>924</v>
      </c>
      <c r="BW44" s="1855" t="s">
        <v>1474</v>
      </c>
      <c r="BX44" s="1855"/>
      <c r="BY44" s="1864"/>
      <c r="BZ44" s="1864"/>
      <c r="CA44" s="1864"/>
    </row>
    <row r="45" spans="1:81">
      <c r="A45" s="1915">
        <v>2001</v>
      </c>
      <c r="B45" s="1916">
        <v>3918</v>
      </c>
      <c r="C45" s="1917"/>
      <c r="D45" s="1917"/>
      <c r="E45" s="1917"/>
      <c r="F45" s="1850">
        <f t="shared" ref="F45:O45" si="26">ROUND($B$45/10,0)</f>
        <v>392</v>
      </c>
      <c r="G45" s="1850">
        <f t="shared" si="26"/>
        <v>392</v>
      </c>
      <c r="H45" s="1850">
        <f t="shared" si="26"/>
        <v>392</v>
      </c>
      <c r="I45" s="1850">
        <f t="shared" si="26"/>
        <v>392</v>
      </c>
      <c r="J45" s="1850">
        <f t="shared" si="26"/>
        <v>392</v>
      </c>
      <c r="K45" s="1850">
        <f t="shared" si="26"/>
        <v>392</v>
      </c>
      <c r="L45" s="1850">
        <f t="shared" si="26"/>
        <v>392</v>
      </c>
      <c r="M45" s="1850">
        <f t="shared" si="26"/>
        <v>392</v>
      </c>
      <c r="N45" s="1850">
        <f t="shared" si="26"/>
        <v>392</v>
      </c>
      <c r="O45" s="1850">
        <f t="shared" si="26"/>
        <v>392</v>
      </c>
      <c r="P45" s="1917"/>
      <c r="Q45" s="1917"/>
      <c r="R45" s="1917"/>
      <c r="S45" s="1917"/>
      <c r="T45" s="1917"/>
      <c r="U45" s="1917"/>
      <c r="V45" s="1917"/>
      <c r="W45" s="1917"/>
      <c r="X45" s="1917"/>
      <c r="Y45" s="1917"/>
      <c r="Z45" s="1917"/>
      <c r="AA45" s="1917"/>
      <c r="AB45" s="1917"/>
      <c r="AC45" s="1917"/>
      <c r="AD45" s="1917"/>
      <c r="AE45" s="1917"/>
      <c r="AF45" s="1917"/>
      <c r="AG45" s="1917"/>
      <c r="AH45" s="1917"/>
      <c r="AI45" s="1917"/>
      <c r="AJ45" s="1917"/>
      <c r="AK45" s="1917"/>
      <c r="AL45" s="1850">
        <f t="shared" si="24"/>
        <v>3920</v>
      </c>
      <c r="BI45" s="1854"/>
      <c r="BJ45" s="1855" t="s">
        <v>1475</v>
      </c>
      <c r="BK45" s="1855" t="s">
        <v>1476</v>
      </c>
      <c r="BL45" s="1855"/>
      <c r="BM45" s="1864"/>
      <c r="BN45" s="1864"/>
      <c r="BO45" s="1864"/>
      <c r="BU45" s="1854"/>
      <c r="BV45" s="1855" t="s">
        <v>1475</v>
      </c>
      <c r="BW45" s="1855" t="s">
        <v>1476</v>
      </c>
      <c r="BX45" s="1855"/>
      <c r="BY45" s="1864"/>
      <c r="BZ45" s="1864"/>
      <c r="CA45" s="1864"/>
    </row>
    <row r="46" spans="1:81">
      <c r="A46" s="1915">
        <v>2002</v>
      </c>
      <c r="B46" s="1916">
        <v>25315</v>
      </c>
      <c r="C46" s="1917"/>
      <c r="D46" s="1917"/>
      <c r="E46" s="1917"/>
      <c r="F46" s="1917"/>
      <c r="G46" s="1850">
        <f t="shared" ref="G46:P46" si="27">ROUND($B$46/10,0)</f>
        <v>2532</v>
      </c>
      <c r="H46" s="1850">
        <f t="shared" si="27"/>
        <v>2532</v>
      </c>
      <c r="I46" s="1850">
        <f t="shared" si="27"/>
        <v>2532</v>
      </c>
      <c r="J46" s="1850">
        <f t="shared" si="27"/>
        <v>2532</v>
      </c>
      <c r="K46" s="1850">
        <f t="shared" si="27"/>
        <v>2532</v>
      </c>
      <c r="L46" s="1850">
        <f t="shared" si="27"/>
        <v>2532</v>
      </c>
      <c r="M46" s="1850">
        <f t="shared" si="27"/>
        <v>2532</v>
      </c>
      <c r="N46" s="1850">
        <f t="shared" si="27"/>
        <v>2532</v>
      </c>
      <c r="O46" s="1850">
        <f t="shared" si="27"/>
        <v>2532</v>
      </c>
      <c r="P46" s="1850">
        <f t="shared" si="27"/>
        <v>2532</v>
      </c>
      <c r="Q46" s="1917"/>
      <c r="R46" s="1917"/>
      <c r="S46" s="1917"/>
      <c r="T46" s="1917"/>
      <c r="U46" s="1917"/>
      <c r="V46" s="1917"/>
      <c r="W46" s="1917"/>
      <c r="X46" s="1917"/>
      <c r="Y46" s="1917"/>
      <c r="Z46" s="1917"/>
      <c r="AA46" s="1917"/>
      <c r="AB46" s="1917"/>
      <c r="AC46" s="1917"/>
      <c r="AD46" s="1917"/>
      <c r="AE46" s="1917"/>
      <c r="AF46" s="1917"/>
      <c r="AG46" s="1917"/>
      <c r="AH46" s="1917"/>
      <c r="AI46" s="1917"/>
      <c r="AJ46" s="1917"/>
      <c r="AK46" s="1917"/>
      <c r="AL46" s="1850">
        <f t="shared" si="24"/>
        <v>25320</v>
      </c>
      <c r="BI46" s="1854"/>
      <c r="BJ46" s="1855" t="s">
        <v>1479</v>
      </c>
      <c r="BK46" s="1855" t="s">
        <v>1480</v>
      </c>
      <c r="BL46" s="1855"/>
      <c r="BM46" s="1873"/>
      <c r="BN46" s="1864"/>
      <c r="BO46" s="1864"/>
      <c r="BP46" s="1874"/>
      <c r="BQ46" s="1874"/>
      <c r="BU46" s="1854"/>
      <c r="BV46" s="1855" t="s">
        <v>1479</v>
      </c>
      <c r="BW46" s="1855" t="s">
        <v>1480</v>
      </c>
      <c r="BX46" s="1855"/>
      <c r="BY46" s="1909"/>
      <c r="BZ46" s="1864"/>
      <c r="CA46" s="1864"/>
      <c r="CB46" s="1874"/>
    </row>
    <row r="47" spans="1:81">
      <c r="A47" s="1915">
        <v>2003</v>
      </c>
      <c r="B47" s="1916">
        <v>-2137</v>
      </c>
      <c r="C47" s="1917"/>
      <c r="D47" s="1917"/>
      <c r="E47" s="1917"/>
      <c r="F47" s="1917"/>
      <c r="G47" s="1917"/>
      <c r="H47" s="1850">
        <f t="shared" ref="H47:Q47" si="28">ROUND($B$47/10,0)</f>
        <v>-214</v>
      </c>
      <c r="I47" s="1850">
        <f t="shared" si="28"/>
        <v>-214</v>
      </c>
      <c r="J47" s="1850">
        <f t="shared" si="28"/>
        <v>-214</v>
      </c>
      <c r="K47" s="1850">
        <f t="shared" si="28"/>
        <v>-214</v>
      </c>
      <c r="L47" s="1850">
        <f t="shared" si="28"/>
        <v>-214</v>
      </c>
      <c r="M47" s="1850">
        <f t="shared" si="28"/>
        <v>-214</v>
      </c>
      <c r="N47" s="1850">
        <f t="shared" si="28"/>
        <v>-214</v>
      </c>
      <c r="O47" s="1850">
        <f t="shared" si="28"/>
        <v>-214</v>
      </c>
      <c r="P47" s="1850">
        <f t="shared" si="28"/>
        <v>-214</v>
      </c>
      <c r="Q47" s="1850">
        <f t="shared" si="28"/>
        <v>-214</v>
      </c>
      <c r="R47" s="1917"/>
      <c r="S47" s="1917"/>
      <c r="T47" s="1917"/>
      <c r="U47" s="1917"/>
      <c r="V47" s="1917"/>
      <c r="W47" s="1917"/>
      <c r="X47" s="1917"/>
      <c r="Y47" s="1917"/>
      <c r="Z47" s="1917"/>
      <c r="AA47" s="1917"/>
      <c r="AB47" s="1917"/>
      <c r="AC47" s="1917"/>
      <c r="AD47" s="1917"/>
      <c r="AE47" s="1917"/>
      <c r="AF47" s="1917"/>
      <c r="AG47" s="1917"/>
      <c r="AH47" s="1917"/>
      <c r="AI47" s="1917"/>
      <c r="AJ47" s="1917"/>
      <c r="AK47" s="1917"/>
      <c r="AL47" s="1850">
        <f t="shared" si="24"/>
        <v>-2140</v>
      </c>
      <c r="BI47" s="1854"/>
      <c r="BJ47" s="1855" t="s">
        <v>1481</v>
      </c>
      <c r="BK47" s="1855" t="s">
        <v>1482</v>
      </c>
      <c r="BL47" s="1855"/>
      <c r="BM47" s="1876"/>
      <c r="BN47" s="1864"/>
      <c r="BO47" s="1864"/>
      <c r="BP47" s="1874"/>
      <c r="BQ47" s="1877"/>
      <c r="BU47" s="1854"/>
      <c r="BV47" s="1855" t="s">
        <v>1481</v>
      </c>
      <c r="BW47" s="1855" t="s">
        <v>1482</v>
      </c>
      <c r="BX47" s="1855"/>
      <c r="BY47" s="1876"/>
      <c r="BZ47" s="1864"/>
      <c r="CA47" s="1864"/>
      <c r="CB47" s="1874"/>
    </row>
    <row r="48" spans="1:81">
      <c r="A48" s="1915">
        <v>2004</v>
      </c>
      <c r="B48" s="1916">
        <v>61</v>
      </c>
      <c r="C48" s="1917"/>
      <c r="D48" s="1917"/>
      <c r="E48" s="1917"/>
      <c r="F48" s="1917"/>
      <c r="G48" s="1917"/>
      <c r="H48" s="1917"/>
      <c r="I48" s="1850">
        <f t="shared" ref="I48:R48" si="29">ROUND($B$48/10,0)</f>
        <v>6</v>
      </c>
      <c r="J48" s="1850">
        <f t="shared" si="29"/>
        <v>6</v>
      </c>
      <c r="K48" s="1850">
        <f t="shared" si="29"/>
        <v>6</v>
      </c>
      <c r="L48" s="1850">
        <f t="shared" si="29"/>
        <v>6</v>
      </c>
      <c r="M48" s="1850">
        <f t="shared" si="29"/>
        <v>6</v>
      </c>
      <c r="N48" s="1850">
        <f t="shared" si="29"/>
        <v>6</v>
      </c>
      <c r="O48" s="1850">
        <f t="shared" si="29"/>
        <v>6</v>
      </c>
      <c r="P48" s="1850">
        <f t="shared" si="29"/>
        <v>6</v>
      </c>
      <c r="Q48" s="1850">
        <f t="shared" si="29"/>
        <v>6</v>
      </c>
      <c r="R48" s="1850">
        <f t="shared" si="29"/>
        <v>6</v>
      </c>
      <c r="S48" s="1917"/>
      <c r="T48" s="1917"/>
      <c r="U48" s="1917"/>
      <c r="V48" s="1917"/>
      <c r="W48" s="1917"/>
      <c r="X48" s="1917"/>
      <c r="Y48" s="1917"/>
      <c r="Z48" s="1917"/>
      <c r="AA48" s="1917"/>
      <c r="AB48" s="1917"/>
      <c r="AC48" s="1917"/>
      <c r="AD48" s="1917"/>
      <c r="AE48" s="1917"/>
      <c r="AF48" s="1917"/>
      <c r="AG48" s="1917"/>
      <c r="AH48" s="1917"/>
      <c r="AI48" s="1917"/>
      <c r="AJ48" s="1917"/>
      <c r="AK48" s="1917"/>
      <c r="AL48" s="1850">
        <f t="shared" si="24"/>
        <v>60</v>
      </c>
      <c r="BI48" s="1854"/>
      <c r="BJ48" s="1855" t="s">
        <v>1484</v>
      </c>
      <c r="BK48" s="1855" t="s">
        <v>1485</v>
      </c>
      <c r="BL48" s="1855"/>
      <c r="BM48" s="1879"/>
      <c r="BN48" s="1864"/>
      <c r="BO48" s="1864"/>
      <c r="BP48" s="1874"/>
      <c r="BQ48" s="1874"/>
      <c r="BU48" s="1854"/>
      <c r="BV48" s="1855" t="s">
        <v>1484</v>
      </c>
      <c r="BW48" s="1855" t="s">
        <v>1485</v>
      </c>
      <c r="BX48" s="1855"/>
      <c r="BY48" s="1881"/>
      <c r="BZ48" s="1864"/>
      <c r="CA48" s="1864"/>
      <c r="CB48" s="1874"/>
    </row>
    <row r="49" spans="1:81">
      <c r="A49" s="1915">
        <v>2005</v>
      </c>
      <c r="B49" s="1918">
        <v>625</v>
      </c>
      <c r="C49" s="1917"/>
      <c r="D49" s="1917"/>
      <c r="E49" s="1917"/>
      <c r="F49" s="1917"/>
      <c r="G49" s="1917"/>
      <c r="H49" s="1917"/>
      <c r="I49" s="1917"/>
      <c r="J49" s="1850">
        <v>63</v>
      </c>
      <c r="K49" s="1850">
        <v>63</v>
      </c>
      <c r="L49" s="1850">
        <v>63</v>
      </c>
      <c r="M49" s="1850">
        <v>63</v>
      </c>
      <c r="N49" s="1850">
        <v>63</v>
      </c>
      <c r="O49" s="1850">
        <v>63</v>
      </c>
      <c r="P49" s="1850">
        <v>63</v>
      </c>
      <c r="Q49" s="1850">
        <v>63</v>
      </c>
      <c r="R49" s="1850">
        <v>63</v>
      </c>
      <c r="S49" s="1850">
        <v>63</v>
      </c>
      <c r="T49" s="1850"/>
      <c r="U49" s="1850"/>
      <c r="V49" s="1850"/>
      <c r="W49" s="1850"/>
      <c r="X49" s="1850"/>
      <c r="Y49" s="1850"/>
      <c r="Z49" s="1850"/>
      <c r="AA49" s="1850"/>
      <c r="AB49" s="1850"/>
      <c r="AC49" s="1850"/>
      <c r="AD49" s="1850"/>
      <c r="AE49" s="1850"/>
      <c r="AF49" s="1850"/>
      <c r="AG49" s="1850"/>
      <c r="AH49" s="1850"/>
      <c r="AI49" s="1850"/>
      <c r="AJ49" s="1850"/>
      <c r="AK49" s="1850"/>
      <c r="AL49" s="1850">
        <v>630</v>
      </c>
      <c r="BI49" s="1854"/>
      <c r="BJ49" s="1855" t="s">
        <v>1486</v>
      </c>
      <c r="BK49" s="1855" t="s">
        <v>1487</v>
      </c>
      <c r="BL49" s="1855"/>
      <c r="BM49" s="1881"/>
      <c r="BN49" s="1864"/>
      <c r="BO49" s="1864"/>
      <c r="BP49" s="1874"/>
      <c r="BU49" s="1854"/>
      <c r="BV49" s="1855" t="s">
        <v>1486</v>
      </c>
      <c r="BW49" s="1855" t="s">
        <v>1487</v>
      </c>
      <c r="BX49" s="1855"/>
      <c r="BY49" s="1881"/>
      <c r="BZ49" s="1864"/>
      <c r="CA49" s="1864"/>
      <c r="CB49" s="1874"/>
    </row>
    <row r="50" spans="1:81">
      <c r="A50" s="1915">
        <v>2006</v>
      </c>
      <c r="B50" s="1918">
        <v>99</v>
      </c>
      <c r="C50" s="1917"/>
      <c r="D50" s="1917"/>
      <c r="E50" s="1917"/>
      <c r="F50" s="1917"/>
      <c r="G50" s="1917"/>
      <c r="H50" s="1917"/>
      <c r="I50" s="1917"/>
      <c r="J50" s="1917"/>
      <c r="K50" s="1850">
        <v>10</v>
      </c>
      <c r="L50" s="1850">
        <v>10</v>
      </c>
      <c r="M50" s="1850">
        <v>10</v>
      </c>
      <c r="N50" s="1850">
        <v>10</v>
      </c>
      <c r="O50" s="1850">
        <v>10</v>
      </c>
      <c r="P50" s="1850">
        <v>10</v>
      </c>
      <c r="Q50" s="1850">
        <v>10</v>
      </c>
      <c r="R50" s="1850">
        <v>10</v>
      </c>
      <c r="S50" s="1850">
        <v>10</v>
      </c>
      <c r="T50" s="1850">
        <v>10</v>
      </c>
      <c r="U50" s="1850"/>
      <c r="V50" s="1850"/>
      <c r="W50" s="1850"/>
      <c r="X50" s="1850"/>
      <c r="Y50" s="1850"/>
      <c r="Z50" s="1850"/>
      <c r="AA50" s="1850"/>
      <c r="AB50" s="1850"/>
      <c r="AC50" s="1850"/>
      <c r="AD50" s="1850"/>
      <c r="AE50" s="1850"/>
      <c r="AF50" s="1850"/>
      <c r="AG50" s="1850"/>
      <c r="AH50" s="1850"/>
      <c r="AI50" s="1850"/>
      <c r="AJ50" s="1850"/>
      <c r="AK50" s="1850"/>
      <c r="AL50" s="1850">
        <v>100</v>
      </c>
      <c r="BI50" s="1854"/>
      <c r="BJ50" s="1855" t="s">
        <v>1488</v>
      </c>
      <c r="BK50" s="1855" t="s">
        <v>1489</v>
      </c>
      <c r="BL50" s="1855"/>
      <c r="BM50" s="1882"/>
      <c r="BN50" s="1864"/>
      <c r="BO50" s="1864"/>
      <c r="BP50" s="1874"/>
      <c r="BU50" s="1854"/>
      <c r="BV50" s="1855" t="s">
        <v>1488</v>
      </c>
      <c r="BW50" s="1855" t="s">
        <v>1489</v>
      </c>
      <c r="BX50" s="1855"/>
      <c r="BY50" s="1882"/>
      <c r="BZ50" s="1864"/>
      <c r="CA50" s="1864"/>
      <c r="CB50" s="1874"/>
    </row>
    <row r="51" spans="1:81">
      <c r="A51" s="1915">
        <v>2007</v>
      </c>
      <c r="B51" s="1918">
        <v>25</v>
      </c>
      <c r="C51" s="1917"/>
      <c r="D51" s="1917"/>
      <c r="E51" s="1917"/>
      <c r="F51" s="1917"/>
      <c r="G51" s="1917"/>
      <c r="H51" s="1917"/>
      <c r="I51" s="1917"/>
      <c r="J51" s="1917"/>
      <c r="K51" s="1917"/>
      <c r="L51" s="1850">
        <v>3</v>
      </c>
      <c r="M51" s="1850">
        <v>3</v>
      </c>
      <c r="N51" s="1850">
        <v>3</v>
      </c>
      <c r="O51" s="1850">
        <v>3</v>
      </c>
      <c r="P51" s="1850">
        <v>3</v>
      </c>
      <c r="Q51" s="1850">
        <v>3</v>
      </c>
      <c r="R51" s="1850">
        <v>3</v>
      </c>
      <c r="S51" s="1850">
        <v>3</v>
      </c>
      <c r="T51" s="1850">
        <v>3</v>
      </c>
      <c r="U51" s="1850">
        <v>0</v>
      </c>
      <c r="V51" s="1850"/>
      <c r="W51" s="1850"/>
      <c r="X51" s="1850"/>
      <c r="Y51" s="1850"/>
      <c r="Z51" s="1850"/>
      <c r="AA51" s="1850"/>
      <c r="AB51" s="1850"/>
      <c r="AC51" s="1850"/>
      <c r="AD51" s="1850"/>
      <c r="AE51" s="1850"/>
      <c r="AF51" s="1850"/>
      <c r="AG51" s="1850"/>
      <c r="AH51" s="1850"/>
      <c r="AI51" s="1850"/>
      <c r="AJ51" s="1850"/>
      <c r="AK51" s="1850"/>
      <c r="AL51" s="1850">
        <f>SUM(K51:AC51)</f>
        <v>27</v>
      </c>
      <c r="BI51" s="1854"/>
      <c r="BJ51" s="1855" t="s">
        <v>1490</v>
      </c>
      <c r="BK51" s="1855" t="s">
        <v>1491</v>
      </c>
      <c r="BL51" s="1855"/>
      <c r="BM51" s="1867"/>
      <c r="BN51" s="1864"/>
      <c r="BO51" s="1864"/>
      <c r="BP51" s="1874"/>
      <c r="BU51" s="1854"/>
      <c r="BV51" s="1855" t="s">
        <v>1490</v>
      </c>
      <c r="BW51" s="1855" t="s">
        <v>1491</v>
      </c>
      <c r="BX51" s="1855"/>
      <c r="BY51" s="1884"/>
      <c r="BZ51" s="1864"/>
      <c r="CA51" s="1864"/>
      <c r="CB51" s="1874"/>
    </row>
    <row r="52" spans="1:81">
      <c r="A52" s="1851">
        <v>2008</v>
      </c>
      <c r="B52" s="1918">
        <v>3452</v>
      </c>
      <c r="C52" s="1917"/>
      <c r="D52" s="1917"/>
      <c r="E52" s="1917"/>
      <c r="F52" s="1917"/>
      <c r="G52" s="1917"/>
      <c r="H52" s="1917"/>
      <c r="I52" s="1917"/>
      <c r="J52" s="1917"/>
      <c r="K52" s="1917"/>
      <c r="L52" s="1917"/>
      <c r="M52" s="1850">
        <v>345</v>
      </c>
      <c r="N52" s="1850">
        <v>345</v>
      </c>
      <c r="O52" s="1850">
        <v>345</v>
      </c>
      <c r="P52" s="1850">
        <v>345</v>
      </c>
      <c r="Q52" s="1850">
        <v>345</v>
      </c>
      <c r="R52" s="1850">
        <v>345</v>
      </c>
      <c r="S52" s="1850">
        <v>345</v>
      </c>
      <c r="T52" s="1850">
        <v>345</v>
      </c>
      <c r="U52" s="1850">
        <v>345</v>
      </c>
      <c r="V52" s="1850">
        <v>347</v>
      </c>
      <c r="W52" s="1850"/>
      <c r="X52" s="1850"/>
      <c r="Y52" s="1850"/>
      <c r="Z52" s="1850"/>
      <c r="AA52" s="1850"/>
      <c r="AB52" s="1850"/>
      <c r="AC52" s="1850"/>
      <c r="AD52" s="1850"/>
      <c r="AE52" s="1850"/>
      <c r="AF52" s="1850"/>
      <c r="AG52" s="1850"/>
      <c r="AH52" s="1850"/>
      <c r="AI52" s="1850"/>
      <c r="AJ52" s="1850"/>
      <c r="AK52" s="1850"/>
      <c r="AL52" s="1850">
        <f t="shared" ref="AL52:AL67" si="30">SUM(M52:AG52)</f>
        <v>3452</v>
      </c>
      <c r="BI52" s="1854"/>
      <c r="BJ52" s="1855" t="s">
        <v>1492</v>
      </c>
      <c r="BK52" s="1855" t="s">
        <v>1493</v>
      </c>
      <c r="BL52" s="1855"/>
      <c r="BM52" s="1885"/>
      <c r="BN52" s="1864"/>
      <c r="BO52" s="1864"/>
      <c r="BP52" s="1886">
        <f>BM52</f>
        <v>0</v>
      </c>
      <c r="BQ52" s="1874"/>
      <c r="BU52" s="1854"/>
      <c r="BV52" s="1855" t="s">
        <v>1492</v>
      </c>
      <c r="BW52" s="1855" t="s">
        <v>1493</v>
      </c>
      <c r="BX52" s="1855"/>
      <c r="BY52" s="1914"/>
      <c r="BZ52" s="1864"/>
      <c r="CA52" s="1864"/>
      <c r="CB52" s="1886">
        <f>BY46-BY47-BY48+BY49</f>
        <v>0</v>
      </c>
      <c r="CC52" s="1905"/>
    </row>
    <row r="53" spans="1:81">
      <c r="A53" s="1851">
        <v>2009</v>
      </c>
      <c r="B53" s="1918">
        <v>1496</v>
      </c>
      <c r="C53" s="1917"/>
      <c r="D53" s="1917"/>
      <c r="E53" s="1917"/>
      <c r="F53" s="1917"/>
      <c r="G53" s="1917"/>
      <c r="H53" s="1917"/>
      <c r="I53" s="1917"/>
      <c r="J53" s="1917"/>
      <c r="K53" s="1917"/>
      <c r="L53" s="1917"/>
      <c r="M53" s="1917"/>
      <c r="N53" s="1850">
        <v>150</v>
      </c>
      <c r="O53" s="1850">
        <v>150</v>
      </c>
      <c r="P53" s="1850">
        <v>150</v>
      </c>
      <c r="Q53" s="1850">
        <v>150</v>
      </c>
      <c r="R53" s="1850">
        <v>150</v>
      </c>
      <c r="S53" s="1850">
        <v>150</v>
      </c>
      <c r="T53" s="1850">
        <v>150</v>
      </c>
      <c r="U53" s="1850">
        <v>150</v>
      </c>
      <c r="V53" s="1850">
        <v>150</v>
      </c>
      <c r="W53" s="1850">
        <v>146</v>
      </c>
      <c r="X53" s="1850"/>
      <c r="Y53" s="1850"/>
      <c r="Z53" s="1850"/>
      <c r="AA53" s="1850"/>
      <c r="AB53" s="1850"/>
      <c r="AC53" s="1850"/>
      <c r="AD53" s="1850"/>
      <c r="AE53" s="1850"/>
      <c r="AF53" s="1850"/>
      <c r="AG53" s="1850"/>
      <c r="AH53" s="1850"/>
      <c r="AI53" s="1850"/>
      <c r="AJ53" s="1850"/>
      <c r="AK53" s="1850"/>
      <c r="AL53" s="1850">
        <f t="shared" si="30"/>
        <v>1496</v>
      </c>
      <c r="BI53" s="1854"/>
      <c r="BJ53" s="1855"/>
      <c r="BK53" s="1855"/>
      <c r="BL53" s="1855"/>
      <c r="BM53" s="1864"/>
      <c r="BN53" s="1864"/>
      <c r="BO53" s="1864"/>
      <c r="BU53" s="1854"/>
      <c r="BV53" s="1855"/>
      <c r="BW53" s="1855"/>
      <c r="BX53" s="1855"/>
      <c r="BY53" s="1864"/>
      <c r="BZ53" s="1864"/>
      <c r="CA53" s="1864"/>
    </row>
    <row r="54" spans="1:81">
      <c r="A54" s="1851">
        <v>2010</v>
      </c>
      <c r="B54" s="1918">
        <v>426</v>
      </c>
      <c r="C54" s="1917"/>
      <c r="D54" s="1917"/>
      <c r="E54" s="1917"/>
      <c r="F54" s="1917"/>
      <c r="G54" s="1917"/>
      <c r="H54" s="1917"/>
      <c r="I54" s="1917"/>
      <c r="J54" s="1917"/>
      <c r="K54" s="1917"/>
      <c r="L54" s="1917"/>
      <c r="M54" s="1917"/>
      <c r="N54" s="1917"/>
      <c r="O54" s="1850">
        <v>43</v>
      </c>
      <c r="P54" s="1850">
        <v>43</v>
      </c>
      <c r="Q54" s="1850">
        <v>43</v>
      </c>
      <c r="R54" s="1850">
        <v>43</v>
      </c>
      <c r="S54" s="1850">
        <v>43</v>
      </c>
      <c r="T54" s="1850">
        <v>43</v>
      </c>
      <c r="U54" s="1850">
        <v>43</v>
      </c>
      <c r="V54" s="1850">
        <v>43</v>
      </c>
      <c r="W54" s="1850">
        <v>43</v>
      </c>
      <c r="X54" s="1850">
        <v>39</v>
      </c>
      <c r="Y54" s="1850"/>
      <c r="Z54" s="1850"/>
      <c r="AA54" s="1850"/>
      <c r="AB54" s="1850"/>
      <c r="AC54" s="1850"/>
      <c r="AD54" s="1850"/>
      <c r="AE54" s="1850"/>
      <c r="AF54" s="1850"/>
      <c r="AG54" s="1850"/>
      <c r="AH54" s="1850"/>
      <c r="AI54" s="1850"/>
      <c r="AJ54" s="1850"/>
      <c r="AK54" s="1850"/>
      <c r="AL54" s="1850">
        <f t="shared" si="30"/>
        <v>426</v>
      </c>
      <c r="BI54" s="1854" t="s">
        <v>1506</v>
      </c>
      <c r="BJ54" s="1855" t="s">
        <v>922</v>
      </c>
      <c r="BK54" s="1855" t="s">
        <v>1466</v>
      </c>
      <c r="BL54" s="1855"/>
      <c r="BM54" s="1865"/>
      <c r="BN54" s="1864"/>
      <c r="BO54" s="1864"/>
      <c r="BU54" s="1854" t="s">
        <v>1507</v>
      </c>
      <c r="BV54" s="1855" t="s">
        <v>922</v>
      </c>
      <c r="BW54" s="1855" t="s">
        <v>1466</v>
      </c>
      <c r="BX54" s="1855"/>
      <c r="BY54" s="1865"/>
      <c r="BZ54" s="1864"/>
      <c r="CA54" s="1864"/>
    </row>
    <row r="55" spans="1:81">
      <c r="A55" s="1851">
        <v>2011</v>
      </c>
      <c r="B55" s="1918">
        <v>0</v>
      </c>
      <c r="C55" s="1917"/>
      <c r="D55" s="1917"/>
      <c r="E55" s="1917"/>
      <c r="F55" s="1917"/>
      <c r="G55" s="1917"/>
      <c r="H55" s="1917"/>
      <c r="I55" s="1917"/>
      <c r="J55" s="1917"/>
      <c r="K55" s="1917"/>
      <c r="L55" s="1917"/>
      <c r="M55" s="1917"/>
      <c r="N55" s="1917"/>
      <c r="O55" s="1917"/>
      <c r="P55" s="1850">
        <v>0</v>
      </c>
      <c r="Q55" s="1850">
        <v>0</v>
      </c>
      <c r="R55" s="1850">
        <v>0</v>
      </c>
      <c r="S55" s="1850">
        <v>0</v>
      </c>
      <c r="T55" s="1850">
        <v>0</v>
      </c>
      <c r="U55" s="1850">
        <v>0</v>
      </c>
      <c r="V55" s="1850">
        <v>0</v>
      </c>
      <c r="W55" s="1850">
        <v>0</v>
      </c>
      <c r="X55" s="1850">
        <v>0</v>
      </c>
      <c r="Y55" s="1850">
        <v>0</v>
      </c>
      <c r="Z55" s="1850">
        <v>0</v>
      </c>
      <c r="AA55" s="1850">
        <v>0</v>
      </c>
      <c r="AB55" s="1850">
        <v>0</v>
      </c>
      <c r="AC55" s="1850">
        <v>0</v>
      </c>
      <c r="AD55" s="1850"/>
      <c r="AE55" s="1850"/>
      <c r="AF55" s="1850"/>
      <c r="AG55" s="1850"/>
      <c r="AH55" s="1850"/>
      <c r="AI55" s="1850"/>
      <c r="AJ55" s="1850"/>
      <c r="AK55" s="1850"/>
      <c r="AL55" s="1850">
        <f t="shared" si="30"/>
        <v>0</v>
      </c>
      <c r="BI55" s="1854"/>
      <c r="BJ55" s="1855" t="s">
        <v>923</v>
      </c>
      <c r="BK55" s="1855" t="s">
        <v>1471</v>
      </c>
      <c r="BL55" s="1855"/>
      <c r="BM55" s="1864"/>
      <c r="BN55" s="1864"/>
      <c r="BO55" s="1864"/>
      <c r="BU55" s="1854"/>
      <c r="BV55" s="1855" t="s">
        <v>923</v>
      </c>
      <c r="BW55" s="1855" t="s">
        <v>1471</v>
      </c>
      <c r="BX55" s="1855"/>
      <c r="BY55" s="1864"/>
      <c r="BZ55" s="1864"/>
      <c r="CA55" s="1864"/>
    </row>
    <row r="56" spans="1:81">
      <c r="A56" s="1851">
        <v>2012</v>
      </c>
      <c r="B56" s="1883">
        <v>0</v>
      </c>
      <c r="C56" s="1850"/>
      <c r="D56" s="1850"/>
      <c r="E56" s="1850"/>
      <c r="F56" s="1850"/>
      <c r="G56" s="1850"/>
      <c r="H56" s="1850"/>
      <c r="I56" s="1850"/>
      <c r="J56" s="1850"/>
      <c r="K56" s="1850"/>
      <c r="L56" s="1850"/>
      <c r="M56" s="1850"/>
      <c r="N56" s="1850"/>
      <c r="O56" s="1850"/>
      <c r="P56" s="1850"/>
      <c r="Q56" s="1850">
        <v>0</v>
      </c>
      <c r="R56" s="1850">
        <v>0</v>
      </c>
      <c r="S56" s="1850">
        <v>0</v>
      </c>
      <c r="T56" s="1850">
        <v>0</v>
      </c>
      <c r="U56" s="1850">
        <v>0</v>
      </c>
      <c r="V56" s="1850">
        <v>0</v>
      </c>
      <c r="W56" s="1850">
        <v>0</v>
      </c>
      <c r="X56" s="1850">
        <v>0</v>
      </c>
      <c r="Y56" s="1850">
        <v>0</v>
      </c>
      <c r="Z56" s="1850">
        <v>0</v>
      </c>
      <c r="AA56" s="1850">
        <v>0</v>
      </c>
      <c r="AB56" s="1850">
        <v>0</v>
      </c>
      <c r="AC56" s="1850">
        <v>0</v>
      </c>
      <c r="AD56" s="1850"/>
      <c r="AE56" s="1850"/>
      <c r="AF56" s="1850"/>
      <c r="AG56" s="1850"/>
      <c r="AH56" s="1850"/>
      <c r="AI56" s="1850"/>
      <c r="AJ56" s="1850"/>
      <c r="AK56" s="1850"/>
      <c r="AL56" s="1850">
        <f t="shared" si="30"/>
        <v>0</v>
      </c>
      <c r="BI56" s="1854"/>
      <c r="BJ56" s="1855" t="s">
        <v>924</v>
      </c>
      <c r="BK56" s="1855" t="s">
        <v>1474</v>
      </c>
      <c r="BL56" s="1855"/>
      <c r="BM56" s="1864"/>
      <c r="BN56" s="1864"/>
      <c r="BO56" s="1864"/>
      <c r="BU56" s="1854"/>
      <c r="BV56" s="1855" t="s">
        <v>924</v>
      </c>
      <c r="BW56" s="1855" t="s">
        <v>1474</v>
      </c>
      <c r="BX56" s="1855"/>
      <c r="BY56" s="1864"/>
      <c r="BZ56" s="1864"/>
      <c r="CA56" s="1864"/>
    </row>
    <row r="57" spans="1:81">
      <c r="A57" s="1851">
        <v>2013</v>
      </c>
      <c r="B57" s="1883">
        <v>0</v>
      </c>
      <c r="C57" s="1850"/>
      <c r="D57" s="1850"/>
      <c r="E57" s="1850"/>
      <c r="F57" s="1850"/>
      <c r="G57" s="1850"/>
      <c r="H57" s="1850"/>
      <c r="I57" s="1850"/>
      <c r="J57" s="1850"/>
      <c r="K57" s="1850"/>
      <c r="L57" s="1850"/>
      <c r="M57" s="1850"/>
      <c r="N57" s="1850"/>
      <c r="O57" s="1850"/>
      <c r="P57" s="1850"/>
      <c r="Q57" s="1850"/>
      <c r="R57" s="1850">
        <v>0</v>
      </c>
      <c r="S57" s="1850">
        <v>0</v>
      </c>
      <c r="T57" s="1850">
        <v>0</v>
      </c>
      <c r="U57" s="1850">
        <v>0</v>
      </c>
      <c r="V57" s="1850">
        <v>0</v>
      </c>
      <c r="W57" s="1850">
        <v>0</v>
      </c>
      <c r="X57" s="1850">
        <v>0</v>
      </c>
      <c r="Y57" s="1850">
        <v>0</v>
      </c>
      <c r="Z57" s="1850">
        <v>0</v>
      </c>
      <c r="AA57" s="1850">
        <v>0</v>
      </c>
      <c r="AB57" s="1850">
        <v>0</v>
      </c>
      <c r="AC57" s="1850">
        <v>0</v>
      </c>
      <c r="AD57" s="1850"/>
      <c r="AE57" s="1850"/>
      <c r="AF57" s="1850"/>
      <c r="AG57" s="1850"/>
      <c r="AH57" s="1850"/>
      <c r="AI57" s="1850"/>
      <c r="AJ57" s="1850"/>
      <c r="AK57" s="1850"/>
      <c r="AL57" s="1850">
        <f t="shared" si="30"/>
        <v>0</v>
      </c>
      <c r="BI57" s="1854"/>
      <c r="BJ57" s="1855" t="s">
        <v>1475</v>
      </c>
      <c r="BK57" s="1855" t="s">
        <v>1476</v>
      </c>
      <c r="BL57" s="1855"/>
      <c r="BM57" s="1864"/>
      <c r="BN57" s="1864"/>
      <c r="BO57" s="1864"/>
      <c r="BU57" s="1854"/>
      <c r="BV57" s="1855" t="s">
        <v>1475</v>
      </c>
      <c r="BW57" s="1855" t="s">
        <v>1476</v>
      </c>
      <c r="BX57" s="1855"/>
      <c r="BY57" s="1864"/>
      <c r="BZ57" s="1864"/>
      <c r="CA57" s="1864"/>
    </row>
    <row r="58" spans="1:81">
      <c r="A58" s="1851">
        <v>2014</v>
      </c>
      <c r="B58" s="1883">
        <v>56271.997366399992</v>
      </c>
      <c r="C58" s="1850"/>
      <c r="D58" s="1850"/>
      <c r="E58" s="1850"/>
      <c r="F58" s="1850"/>
      <c r="G58" s="1850"/>
      <c r="H58" s="1850"/>
      <c r="I58" s="1850"/>
      <c r="J58" s="1850"/>
      <c r="K58" s="1850"/>
      <c r="L58" s="1850"/>
      <c r="M58" s="1850"/>
      <c r="N58" s="1850"/>
      <c r="O58" s="1850"/>
      <c r="P58" s="1850"/>
      <c r="Q58" s="1850"/>
      <c r="R58" s="1850"/>
      <c r="S58" s="1850">
        <v>5627</v>
      </c>
      <c r="T58" s="1850">
        <v>5627</v>
      </c>
      <c r="U58" s="1850">
        <v>5627</v>
      </c>
      <c r="V58" s="1850">
        <v>5627</v>
      </c>
      <c r="W58" s="1850">
        <v>5627</v>
      </c>
      <c r="X58" s="1850">
        <v>5627</v>
      </c>
      <c r="Y58" s="1850">
        <v>5627</v>
      </c>
      <c r="Z58" s="1850">
        <v>5627</v>
      </c>
      <c r="AA58" s="1850">
        <v>5627</v>
      </c>
      <c r="AB58" s="1850">
        <v>5629</v>
      </c>
      <c r="AC58" s="1850"/>
      <c r="AD58" s="1850"/>
      <c r="AE58" s="1850"/>
      <c r="AF58" s="1850"/>
      <c r="AG58" s="1850"/>
      <c r="AH58" s="1850"/>
      <c r="AI58" s="1850"/>
      <c r="AJ58" s="1850"/>
      <c r="AK58" s="1850"/>
      <c r="AL58" s="1850">
        <f t="shared" si="30"/>
        <v>56272</v>
      </c>
      <c r="BI58" s="1854"/>
      <c r="BJ58" s="1855" t="s">
        <v>1479</v>
      </c>
      <c r="BK58" s="1855" t="s">
        <v>1480</v>
      </c>
      <c r="BL58" s="1855"/>
      <c r="BM58" s="1873"/>
      <c r="BN58" s="1864"/>
      <c r="BO58" s="1864"/>
      <c r="BP58" s="1874"/>
      <c r="BU58" s="1854"/>
      <c r="BV58" s="1855" t="s">
        <v>1479</v>
      </c>
      <c r="BW58" s="1855" t="s">
        <v>1480</v>
      </c>
      <c r="BX58" s="1855"/>
      <c r="BY58" s="1909"/>
      <c r="BZ58" s="1864"/>
      <c r="CA58" s="1864"/>
      <c r="CB58" s="1874"/>
    </row>
    <row r="59" spans="1:81">
      <c r="A59" s="1851">
        <v>2015</v>
      </c>
      <c r="B59" s="1883">
        <v>37065</v>
      </c>
      <c r="C59" s="1850"/>
      <c r="D59" s="1850"/>
      <c r="E59" s="1850"/>
      <c r="F59" s="1850"/>
      <c r="G59" s="1850"/>
      <c r="H59" s="1850"/>
      <c r="I59" s="1850"/>
      <c r="J59" s="1850"/>
      <c r="K59" s="1850"/>
      <c r="L59" s="1850"/>
      <c r="M59" s="1850"/>
      <c r="N59" s="1850"/>
      <c r="O59" s="1850"/>
      <c r="P59" s="1850"/>
      <c r="Q59" s="1850"/>
      <c r="R59" s="1850"/>
      <c r="S59" s="1850"/>
      <c r="T59" s="1850">
        <f t="shared" ref="T59:AC59" si="31">$B$59/10</f>
        <v>3706.5</v>
      </c>
      <c r="U59" s="1850">
        <f t="shared" si="31"/>
        <v>3706.5</v>
      </c>
      <c r="V59" s="1850">
        <f t="shared" si="31"/>
        <v>3706.5</v>
      </c>
      <c r="W59" s="1850">
        <f t="shared" si="31"/>
        <v>3706.5</v>
      </c>
      <c r="X59" s="1850">
        <f t="shared" si="31"/>
        <v>3706.5</v>
      </c>
      <c r="Y59" s="1850">
        <f t="shared" si="31"/>
        <v>3706.5</v>
      </c>
      <c r="Z59" s="1850">
        <f t="shared" si="31"/>
        <v>3706.5</v>
      </c>
      <c r="AA59" s="1850">
        <f t="shared" si="31"/>
        <v>3706.5</v>
      </c>
      <c r="AB59" s="1850">
        <f t="shared" si="31"/>
        <v>3706.5</v>
      </c>
      <c r="AC59" s="1850">
        <f t="shared" si="31"/>
        <v>3706.5</v>
      </c>
      <c r="AD59" s="1850"/>
      <c r="AE59" s="1850"/>
      <c r="AF59" s="1850"/>
      <c r="AG59" s="1850"/>
      <c r="AH59" s="1850"/>
      <c r="AI59" s="1850"/>
      <c r="AJ59" s="1850"/>
      <c r="AK59" s="1850"/>
      <c r="AL59" s="1850">
        <f t="shared" si="30"/>
        <v>37065</v>
      </c>
      <c r="BI59" s="1854"/>
      <c r="BJ59" s="1855" t="s">
        <v>1481</v>
      </c>
      <c r="BK59" s="1855" t="s">
        <v>1482</v>
      </c>
      <c r="BL59" s="1855"/>
      <c r="BM59" s="1876"/>
      <c r="BN59" s="1864"/>
      <c r="BO59" s="1864"/>
      <c r="BP59" s="1874"/>
      <c r="BU59" s="1854"/>
      <c r="BV59" s="1855" t="s">
        <v>1481</v>
      </c>
      <c r="BW59" s="1855" t="s">
        <v>1482</v>
      </c>
      <c r="BX59" s="1855"/>
      <c r="BY59" s="1876"/>
      <c r="BZ59" s="1864"/>
      <c r="CA59" s="1864"/>
      <c r="CB59" s="1874"/>
    </row>
    <row r="60" spans="1:81">
      <c r="A60" s="1851">
        <v>2016</v>
      </c>
      <c r="B60" s="1883">
        <v>31612.808314672198</v>
      </c>
      <c r="C60" s="1850"/>
      <c r="D60" s="1850"/>
      <c r="E60" s="1850"/>
      <c r="F60" s="1850"/>
      <c r="G60" s="1850"/>
      <c r="H60" s="1850"/>
      <c r="I60" s="1850"/>
      <c r="J60" s="1850"/>
      <c r="K60" s="1850"/>
      <c r="L60" s="1850"/>
      <c r="M60" s="1850"/>
      <c r="N60" s="1850"/>
      <c r="O60" s="1850"/>
      <c r="P60" s="1850"/>
      <c r="Q60" s="1850"/>
      <c r="R60" s="1850"/>
      <c r="S60" s="1850"/>
      <c r="T60" s="1850"/>
      <c r="U60" s="1850">
        <f t="shared" ref="U60:AD60" si="32">$B$60/10</f>
        <v>3161.2808314672197</v>
      </c>
      <c r="V60" s="1850">
        <f t="shared" si="32"/>
        <v>3161.2808314672197</v>
      </c>
      <c r="W60" s="1850">
        <f t="shared" si="32"/>
        <v>3161.2808314672197</v>
      </c>
      <c r="X60" s="1850">
        <f t="shared" si="32"/>
        <v>3161.2808314672197</v>
      </c>
      <c r="Y60" s="1850">
        <f t="shared" si="32"/>
        <v>3161.2808314672197</v>
      </c>
      <c r="Z60" s="1850">
        <f t="shared" si="32"/>
        <v>3161.2808314672197</v>
      </c>
      <c r="AA60" s="1850">
        <f t="shared" si="32"/>
        <v>3161.2808314672197</v>
      </c>
      <c r="AB60" s="1850">
        <f t="shared" si="32"/>
        <v>3161.2808314672197</v>
      </c>
      <c r="AC60" s="1850">
        <f t="shared" si="32"/>
        <v>3161.2808314672197</v>
      </c>
      <c r="AD60" s="1850">
        <f t="shared" si="32"/>
        <v>3161.2808314672197</v>
      </c>
      <c r="AE60" s="1850"/>
      <c r="AF60" s="1850"/>
      <c r="AG60" s="1850"/>
      <c r="AH60" s="1850"/>
      <c r="AI60" s="1850"/>
      <c r="AJ60" s="1850"/>
      <c r="AK60" s="1850"/>
      <c r="AL60" s="1850">
        <f t="shared" si="30"/>
        <v>31612.808314672191</v>
      </c>
      <c r="BI60" s="1854"/>
      <c r="BJ60" s="1855" t="s">
        <v>1484</v>
      </c>
      <c r="BK60" s="1855" t="s">
        <v>1485</v>
      </c>
      <c r="BL60" s="1855"/>
      <c r="BM60" s="1879"/>
      <c r="BN60" s="1864"/>
      <c r="BO60" s="1864"/>
      <c r="BP60" s="1874"/>
      <c r="BU60" s="1854"/>
      <c r="BV60" s="1855" t="s">
        <v>1484</v>
      </c>
      <c r="BW60" s="1855" t="s">
        <v>1485</v>
      </c>
      <c r="BX60" s="1855"/>
      <c r="BY60" s="1881"/>
      <c r="BZ60" s="1864"/>
      <c r="CA60" s="1864"/>
      <c r="CB60" s="1874"/>
    </row>
    <row r="61" spans="1:81">
      <c r="A61" s="1851">
        <v>2017</v>
      </c>
      <c r="B61" s="1883">
        <v>0</v>
      </c>
      <c r="C61" s="1850"/>
      <c r="D61" s="1850"/>
      <c r="E61" s="1850"/>
      <c r="F61" s="1850"/>
      <c r="G61" s="1850"/>
      <c r="H61" s="1850"/>
      <c r="I61" s="1850"/>
      <c r="J61" s="1850"/>
      <c r="K61" s="1850"/>
      <c r="L61" s="1850"/>
      <c r="M61" s="1850"/>
      <c r="N61" s="1850"/>
      <c r="O61" s="1850"/>
      <c r="P61" s="1850"/>
      <c r="Q61" s="1850"/>
      <c r="R61" s="1850"/>
      <c r="S61" s="1850"/>
      <c r="T61" s="1850"/>
      <c r="U61" s="1850"/>
      <c r="V61" s="1850">
        <f t="shared" ref="V61:AE61" si="33">$B$61/10</f>
        <v>0</v>
      </c>
      <c r="W61" s="1850">
        <f t="shared" si="33"/>
        <v>0</v>
      </c>
      <c r="X61" s="1850">
        <f t="shared" si="33"/>
        <v>0</v>
      </c>
      <c r="Y61" s="1850">
        <f t="shared" si="33"/>
        <v>0</v>
      </c>
      <c r="Z61" s="1850">
        <f t="shared" si="33"/>
        <v>0</v>
      </c>
      <c r="AA61" s="1850">
        <f t="shared" si="33"/>
        <v>0</v>
      </c>
      <c r="AB61" s="1850">
        <f t="shared" si="33"/>
        <v>0</v>
      </c>
      <c r="AC61" s="1850">
        <f t="shared" si="33"/>
        <v>0</v>
      </c>
      <c r="AD61" s="1850">
        <f t="shared" si="33"/>
        <v>0</v>
      </c>
      <c r="AE61" s="1850">
        <f t="shared" si="33"/>
        <v>0</v>
      </c>
      <c r="AF61" s="1850"/>
      <c r="AG61" s="1850"/>
      <c r="AH61" s="1850"/>
      <c r="AI61" s="1850"/>
      <c r="AJ61" s="1850"/>
      <c r="AK61" s="1850"/>
      <c r="AL61" s="1850">
        <f t="shared" si="30"/>
        <v>0</v>
      </c>
      <c r="BI61" s="1854"/>
      <c r="BJ61" s="1855" t="s">
        <v>1486</v>
      </c>
      <c r="BK61" s="1855" t="s">
        <v>1487</v>
      </c>
      <c r="BL61" s="1855"/>
      <c r="BM61" s="1881"/>
      <c r="BN61" s="1864"/>
      <c r="BO61" s="1864"/>
      <c r="BP61" s="1874"/>
      <c r="BU61" s="1854"/>
      <c r="BV61" s="1855" t="s">
        <v>1486</v>
      </c>
      <c r="BW61" s="1855" t="s">
        <v>1487</v>
      </c>
      <c r="BX61" s="1855"/>
      <c r="BY61" s="1881"/>
      <c r="BZ61" s="1864"/>
      <c r="CA61" s="1864"/>
      <c r="CB61" s="1874"/>
    </row>
    <row r="62" spans="1:81">
      <c r="A62" s="1851">
        <v>2018</v>
      </c>
      <c r="B62" s="1883">
        <v>0</v>
      </c>
      <c r="C62" s="1850"/>
      <c r="D62" s="1850"/>
      <c r="E62" s="1850"/>
      <c r="F62" s="1850"/>
      <c r="G62" s="1850"/>
      <c r="H62" s="1850"/>
      <c r="I62" s="1850"/>
      <c r="J62" s="1850"/>
      <c r="K62" s="1850"/>
      <c r="L62" s="1850"/>
      <c r="M62" s="1850"/>
      <c r="N62" s="1850"/>
      <c r="O62" s="1850"/>
      <c r="P62" s="1850"/>
      <c r="Q62" s="1850"/>
      <c r="R62" s="1850"/>
      <c r="S62" s="1850"/>
      <c r="T62" s="1850"/>
      <c r="U62" s="1850"/>
      <c r="V62" s="1850"/>
      <c r="W62" s="1850">
        <f t="shared" ref="W62:AF62" si="34">$B$62/10</f>
        <v>0</v>
      </c>
      <c r="X62" s="1850">
        <f t="shared" si="34"/>
        <v>0</v>
      </c>
      <c r="Y62" s="1850">
        <f t="shared" si="34"/>
        <v>0</v>
      </c>
      <c r="Z62" s="1850">
        <f t="shared" si="34"/>
        <v>0</v>
      </c>
      <c r="AA62" s="1850">
        <f t="shared" si="34"/>
        <v>0</v>
      </c>
      <c r="AB62" s="1850">
        <f t="shared" si="34"/>
        <v>0</v>
      </c>
      <c r="AC62" s="1850">
        <f t="shared" si="34"/>
        <v>0</v>
      </c>
      <c r="AD62" s="1850">
        <f t="shared" si="34"/>
        <v>0</v>
      </c>
      <c r="AE62" s="1850">
        <f t="shared" si="34"/>
        <v>0</v>
      </c>
      <c r="AF62" s="1850">
        <f t="shared" si="34"/>
        <v>0</v>
      </c>
      <c r="AG62" s="1850"/>
      <c r="AH62" s="1850"/>
      <c r="AI62" s="1850"/>
      <c r="AJ62" s="1850"/>
      <c r="AK62" s="1850"/>
      <c r="AL62" s="1850">
        <f t="shared" si="30"/>
        <v>0</v>
      </c>
      <c r="BI62" s="1854"/>
      <c r="BJ62" s="1855" t="s">
        <v>1488</v>
      </c>
      <c r="BK62" s="1855" t="s">
        <v>1489</v>
      </c>
      <c r="BL62" s="1855"/>
      <c r="BM62" s="1882"/>
      <c r="BN62" s="1864"/>
      <c r="BO62" s="1864"/>
      <c r="BP62" s="1874"/>
      <c r="BU62" s="1854"/>
      <c r="BV62" s="1855" t="s">
        <v>1488</v>
      </c>
      <c r="BW62" s="1855" t="s">
        <v>1489</v>
      </c>
      <c r="BX62" s="1855"/>
      <c r="BY62" s="1882"/>
      <c r="BZ62" s="1864"/>
      <c r="CA62" s="1864"/>
      <c r="CB62" s="1874"/>
    </row>
    <row r="63" spans="1:81">
      <c r="A63" s="1851">
        <v>2019</v>
      </c>
      <c r="B63" s="1883">
        <v>-15629</v>
      </c>
      <c r="C63" s="1850"/>
      <c r="D63" s="1850"/>
      <c r="E63" s="1850"/>
      <c r="F63" s="1850"/>
      <c r="G63" s="1850"/>
      <c r="H63" s="1850"/>
      <c r="I63" s="1850"/>
      <c r="J63" s="1850"/>
      <c r="K63" s="1850"/>
      <c r="L63" s="1850"/>
      <c r="M63" s="1850"/>
      <c r="N63" s="1850"/>
      <c r="O63" s="1850"/>
      <c r="P63" s="1850"/>
      <c r="Q63" s="1850"/>
      <c r="R63" s="1850"/>
      <c r="S63" s="1850"/>
      <c r="T63" s="1850"/>
      <c r="U63" s="1850"/>
      <c r="V63" s="1850"/>
      <c r="W63" s="1850"/>
      <c r="X63" s="1850">
        <f t="shared" ref="X63:AG63" si="35">$B$63/10</f>
        <v>-1562.9</v>
      </c>
      <c r="Y63" s="1850">
        <f t="shared" si="35"/>
        <v>-1562.9</v>
      </c>
      <c r="Z63" s="1850">
        <f t="shared" si="35"/>
        <v>-1562.9</v>
      </c>
      <c r="AA63" s="1850">
        <f t="shared" si="35"/>
        <v>-1562.9</v>
      </c>
      <c r="AB63" s="1850">
        <f t="shared" si="35"/>
        <v>-1562.9</v>
      </c>
      <c r="AC63" s="1850">
        <f t="shared" si="35"/>
        <v>-1562.9</v>
      </c>
      <c r="AD63" s="1850">
        <f t="shared" si="35"/>
        <v>-1562.9</v>
      </c>
      <c r="AE63" s="1850">
        <f t="shared" si="35"/>
        <v>-1562.9</v>
      </c>
      <c r="AF63" s="1850">
        <f t="shared" si="35"/>
        <v>-1562.9</v>
      </c>
      <c r="AG63" s="1850">
        <f t="shared" si="35"/>
        <v>-1562.9</v>
      </c>
      <c r="AH63" s="1850"/>
      <c r="AI63" s="1850"/>
      <c r="AJ63" s="1850"/>
      <c r="AK63" s="1850"/>
      <c r="AL63" s="1850">
        <f t="shared" si="30"/>
        <v>-15628.999999999998</v>
      </c>
      <c r="BI63" s="1854"/>
      <c r="BJ63" s="1855" t="s">
        <v>1490</v>
      </c>
      <c r="BK63" s="1855" t="s">
        <v>1491</v>
      </c>
      <c r="BL63" s="1855"/>
      <c r="BM63" s="1867"/>
      <c r="BN63" s="1864"/>
      <c r="BO63" s="1864"/>
      <c r="BP63" s="1874"/>
      <c r="BU63" s="1854"/>
      <c r="BV63" s="1855" t="s">
        <v>1490</v>
      </c>
      <c r="BW63" s="1855" t="s">
        <v>1491</v>
      </c>
      <c r="BX63" s="1855"/>
      <c r="BY63" s="1884"/>
      <c r="BZ63" s="1864"/>
      <c r="CA63" s="1864"/>
      <c r="CB63" s="1874"/>
    </row>
    <row r="64" spans="1:81">
      <c r="A64" s="1851">
        <v>2020</v>
      </c>
      <c r="B64" s="1883">
        <v>0</v>
      </c>
      <c r="C64" s="1850"/>
      <c r="D64" s="1850"/>
      <c r="E64" s="1850"/>
      <c r="F64" s="1850"/>
      <c r="G64" s="1850"/>
      <c r="H64" s="1850"/>
      <c r="I64" s="1850"/>
      <c r="J64" s="1850"/>
      <c r="K64" s="1850"/>
      <c r="L64" s="1850"/>
      <c r="M64" s="1850"/>
      <c r="N64" s="1850"/>
      <c r="O64" s="1850"/>
      <c r="P64" s="1850"/>
      <c r="Q64" s="1850"/>
      <c r="R64" s="1850"/>
      <c r="S64" s="1850"/>
      <c r="T64" s="1850"/>
      <c r="U64" s="1850"/>
      <c r="V64" s="1850"/>
      <c r="W64" s="1850"/>
      <c r="X64" s="1850"/>
      <c r="Y64" s="1850">
        <f t="shared" ref="Y64:AH64" si="36">$B$64/10</f>
        <v>0</v>
      </c>
      <c r="Z64" s="1850">
        <f t="shared" si="36"/>
        <v>0</v>
      </c>
      <c r="AA64" s="1850">
        <f t="shared" si="36"/>
        <v>0</v>
      </c>
      <c r="AB64" s="1850">
        <f t="shared" si="36"/>
        <v>0</v>
      </c>
      <c r="AC64" s="1850">
        <f t="shared" si="36"/>
        <v>0</v>
      </c>
      <c r="AD64" s="1850">
        <f t="shared" si="36"/>
        <v>0</v>
      </c>
      <c r="AE64" s="1850">
        <f t="shared" si="36"/>
        <v>0</v>
      </c>
      <c r="AF64" s="1850">
        <f t="shared" si="36"/>
        <v>0</v>
      </c>
      <c r="AG64" s="1850">
        <f t="shared" si="36"/>
        <v>0</v>
      </c>
      <c r="AH64" s="1850">
        <f t="shared" si="36"/>
        <v>0</v>
      </c>
      <c r="AI64" s="1850"/>
      <c r="AJ64" s="1850"/>
      <c r="AK64" s="1850"/>
      <c r="AL64" s="1850">
        <f t="shared" si="30"/>
        <v>0</v>
      </c>
      <c r="BI64" s="1854"/>
      <c r="BJ64" s="1855" t="s">
        <v>1492</v>
      </c>
      <c r="BK64" s="1855" t="s">
        <v>1493</v>
      </c>
      <c r="BL64" s="1855"/>
      <c r="BM64" s="1914"/>
      <c r="BN64" s="1864"/>
      <c r="BO64" s="1864"/>
      <c r="BP64" s="1886">
        <f>BM64</f>
        <v>0</v>
      </c>
      <c r="BQ64" s="1905"/>
      <c r="BU64" s="1854"/>
      <c r="BV64" s="1855" t="s">
        <v>1492</v>
      </c>
      <c r="BW64" s="1855" t="s">
        <v>1493</v>
      </c>
      <c r="BX64" s="1855"/>
      <c r="BY64" s="1914"/>
      <c r="BZ64" s="1864"/>
      <c r="CA64" s="1864"/>
      <c r="CB64" s="1886">
        <f>BY58-BY59-BY60+BY61</f>
        <v>0</v>
      </c>
      <c r="CC64" s="1905"/>
    </row>
    <row r="65" spans="1:81">
      <c r="A65" s="1851">
        <v>2021</v>
      </c>
      <c r="B65" s="1883">
        <v>-595.29703831619997</v>
      </c>
      <c r="C65" s="1850"/>
      <c r="D65" s="1850"/>
      <c r="E65" s="1850"/>
      <c r="F65" s="1850"/>
      <c r="G65" s="1850"/>
      <c r="H65" s="1850"/>
      <c r="I65" s="1850"/>
      <c r="J65" s="1850"/>
      <c r="K65" s="1850"/>
      <c r="L65" s="1850"/>
      <c r="M65" s="1850"/>
      <c r="N65" s="1850"/>
      <c r="O65" s="1850"/>
      <c r="P65" s="1850"/>
      <c r="Q65" s="1850"/>
      <c r="R65" s="1850"/>
      <c r="S65" s="1850"/>
      <c r="T65" s="1850"/>
      <c r="U65" s="1850"/>
      <c r="V65" s="1850"/>
      <c r="W65" s="1850"/>
      <c r="X65" s="1850"/>
      <c r="Y65" s="1850"/>
      <c r="Z65" s="1850">
        <f t="shared" ref="Z65:AI65" si="37">$B$65/10</f>
        <v>-59.529703831619997</v>
      </c>
      <c r="AA65" s="1850">
        <f t="shared" si="37"/>
        <v>-59.529703831619997</v>
      </c>
      <c r="AB65" s="1850">
        <f t="shared" si="37"/>
        <v>-59.529703831619997</v>
      </c>
      <c r="AC65" s="1850">
        <f t="shared" si="37"/>
        <v>-59.529703831619997</v>
      </c>
      <c r="AD65" s="1850">
        <f t="shared" si="37"/>
        <v>-59.529703831619997</v>
      </c>
      <c r="AE65" s="1850">
        <f t="shared" si="37"/>
        <v>-59.529703831619997</v>
      </c>
      <c r="AF65" s="1850">
        <f t="shared" si="37"/>
        <v>-59.529703831619997</v>
      </c>
      <c r="AG65" s="1850">
        <f t="shared" si="37"/>
        <v>-59.529703831619997</v>
      </c>
      <c r="AH65" s="1850">
        <f t="shared" si="37"/>
        <v>-59.529703831619997</v>
      </c>
      <c r="AI65" s="1850">
        <f t="shared" si="37"/>
        <v>-59.529703831619997</v>
      </c>
      <c r="AJ65" s="1850"/>
      <c r="AK65" s="1850"/>
      <c r="AL65" s="1850">
        <f t="shared" si="30"/>
        <v>-476.23763065295998</v>
      </c>
      <c r="BI65" s="1854"/>
      <c r="BJ65" s="1855"/>
      <c r="BK65" s="1855"/>
      <c r="BL65" s="1855"/>
      <c r="BM65" s="1864"/>
      <c r="BN65" s="1864"/>
      <c r="BO65" s="1864"/>
      <c r="BU65" s="1854"/>
      <c r="BV65" s="1855"/>
      <c r="BW65" s="1855"/>
      <c r="BX65" s="1855"/>
      <c r="BY65" s="1864"/>
      <c r="BZ65" s="1864"/>
      <c r="CA65" s="1864"/>
    </row>
    <row r="66" spans="1:81">
      <c r="A66" s="1851">
        <v>2022</v>
      </c>
      <c r="B66" s="1883">
        <v>0</v>
      </c>
      <c r="C66" s="1850"/>
      <c r="D66" s="1850"/>
      <c r="E66" s="1850"/>
      <c r="F66" s="1850"/>
      <c r="G66" s="1850"/>
      <c r="H66" s="1850"/>
      <c r="I66" s="1850"/>
      <c r="J66" s="1850"/>
      <c r="K66" s="1850"/>
      <c r="L66" s="1850"/>
      <c r="M66" s="1850"/>
      <c r="N66" s="1850"/>
      <c r="O66" s="1850"/>
      <c r="P66" s="1850"/>
      <c r="Q66" s="1850"/>
      <c r="R66" s="1850"/>
      <c r="S66" s="1850"/>
      <c r="T66" s="1850"/>
      <c r="U66" s="1850"/>
      <c r="V66" s="1850"/>
      <c r="W66" s="1850"/>
      <c r="X66" s="1850"/>
      <c r="Y66" s="1850"/>
      <c r="Z66" s="1850"/>
      <c r="AA66" s="1850">
        <f t="shared" ref="AA66:AJ66" si="38">$B$66/10</f>
        <v>0</v>
      </c>
      <c r="AB66" s="1850">
        <f t="shared" si="38"/>
        <v>0</v>
      </c>
      <c r="AC66" s="1850">
        <f t="shared" si="38"/>
        <v>0</v>
      </c>
      <c r="AD66" s="1850">
        <f t="shared" si="38"/>
        <v>0</v>
      </c>
      <c r="AE66" s="1850">
        <f t="shared" si="38"/>
        <v>0</v>
      </c>
      <c r="AF66" s="1850">
        <f t="shared" si="38"/>
        <v>0</v>
      </c>
      <c r="AG66" s="1850">
        <f t="shared" si="38"/>
        <v>0</v>
      </c>
      <c r="AH66" s="1850">
        <f t="shared" si="38"/>
        <v>0</v>
      </c>
      <c r="AI66" s="1850">
        <f t="shared" si="38"/>
        <v>0</v>
      </c>
      <c r="AJ66" s="1850">
        <f t="shared" si="38"/>
        <v>0</v>
      </c>
      <c r="AK66" s="1850"/>
      <c r="AL66" s="1850">
        <f t="shared" si="30"/>
        <v>0</v>
      </c>
      <c r="BI66" s="1854" t="s">
        <v>1503</v>
      </c>
      <c r="BJ66" s="1855" t="s">
        <v>922</v>
      </c>
      <c r="BK66" s="1855" t="s">
        <v>1466</v>
      </c>
      <c r="BL66" s="1855"/>
      <c r="BM66" s="1865"/>
      <c r="BN66" s="1864"/>
      <c r="BO66" s="1864"/>
      <c r="BU66" s="1854" t="s">
        <v>1508</v>
      </c>
      <c r="BV66" s="1855" t="s">
        <v>922</v>
      </c>
      <c r="BW66" s="1855" t="s">
        <v>1466</v>
      </c>
      <c r="BX66" s="1855"/>
      <c r="BZ66" s="1864"/>
      <c r="CA66" s="1864"/>
    </row>
    <row r="67" spans="1:81">
      <c r="A67" s="1851">
        <v>2023</v>
      </c>
      <c r="B67" s="1883">
        <v>0</v>
      </c>
      <c r="C67" s="1850"/>
      <c r="D67" s="1850"/>
      <c r="E67" s="1850"/>
      <c r="F67" s="1850"/>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f t="shared" ref="AB67:AK67" si="39">$B$67/10</f>
        <v>0</v>
      </c>
      <c r="AC67" s="1850">
        <f t="shared" si="39"/>
        <v>0</v>
      </c>
      <c r="AD67" s="1850">
        <f t="shared" si="39"/>
        <v>0</v>
      </c>
      <c r="AE67" s="1850">
        <f t="shared" si="39"/>
        <v>0</v>
      </c>
      <c r="AF67" s="1850">
        <f t="shared" si="39"/>
        <v>0</v>
      </c>
      <c r="AG67" s="1850">
        <f t="shared" si="39"/>
        <v>0</v>
      </c>
      <c r="AH67" s="1850">
        <f t="shared" si="39"/>
        <v>0</v>
      </c>
      <c r="AI67" s="1850">
        <f t="shared" si="39"/>
        <v>0</v>
      </c>
      <c r="AJ67" s="1850">
        <f t="shared" si="39"/>
        <v>0</v>
      </c>
      <c r="AK67" s="1850">
        <f t="shared" si="39"/>
        <v>0</v>
      </c>
      <c r="AL67" s="1850">
        <f t="shared" si="30"/>
        <v>0</v>
      </c>
      <c r="BI67" s="1854"/>
      <c r="BJ67" s="1855" t="s">
        <v>923</v>
      </c>
      <c r="BK67" s="1855" t="s">
        <v>1471</v>
      </c>
      <c r="BL67" s="1855"/>
      <c r="BM67" s="1864"/>
      <c r="BN67" s="1864"/>
      <c r="BO67" s="1864"/>
      <c r="BU67" s="1854"/>
      <c r="BV67" s="1855" t="s">
        <v>923</v>
      </c>
      <c r="BW67" s="1855" t="s">
        <v>1471</v>
      </c>
      <c r="BX67" s="1855"/>
      <c r="BY67" s="1864"/>
      <c r="BZ67" s="1864"/>
      <c r="CA67" s="1864"/>
    </row>
    <row r="68" spans="1:81" ht="13.5" thickBot="1">
      <c r="A68" s="1009" t="s">
        <v>706</v>
      </c>
      <c r="B68" s="1919">
        <f>SUM(B42:B67)</f>
        <v>243694.508642756</v>
      </c>
      <c r="C68" s="1919">
        <f t="shared" ref="C68:K68" si="40">SUM(C42:C63)</f>
        <v>0</v>
      </c>
      <c r="D68" s="1919">
        <f t="shared" si="40"/>
        <v>9459</v>
      </c>
      <c r="E68" s="1919">
        <f t="shared" si="40"/>
        <v>10169</v>
      </c>
      <c r="F68" s="1919">
        <f t="shared" si="40"/>
        <v>10561</v>
      </c>
      <c r="G68" s="1919">
        <f t="shared" si="40"/>
        <v>13093</v>
      </c>
      <c r="H68" s="1919">
        <f t="shared" si="40"/>
        <v>12879</v>
      </c>
      <c r="I68" s="1919">
        <f t="shared" si="40"/>
        <v>12885</v>
      </c>
      <c r="J68" s="1919">
        <f t="shared" si="40"/>
        <v>12948</v>
      </c>
      <c r="K68" s="1919">
        <f t="shared" si="40"/>
        <v>12958</v>
      </c>
      <c r="L68" s="1919">
        <f t="shared" ref="L68:AL68" si="41">SUM(L42:L67)</f>
        <v>12961</v>
      </c>
      <c r="M68" s="1919">
        <f t="shared" si="41"/>
        <v>13306</v>
      </c>
      <c r="N68" s="1919">
        <f t="shared" si="41"/>
        <v>3997</v>
      </c>
      <c r="O68" s="1919">
        <f t="shared" si="41"/>
        <v>3330</v>
      </c>
      <c r="P68" s="1919">
        <f t="shared" si="41"/>
        <v>2938</v>
      </c>
      <c r="Q68" s="1919">
        <f t="shared" si="41"/>
        <v>406</v>
      </c>
      <c r="R68" s="1919">
        <f t="shared" si="41"/>
        <v>620</v>
      </c>
      <c r="S68" s="1919">
        <f t="shared" si="41"/>
        <v>6241</v>
      </c>
      <c r="T68" s="1919">
        <f t="shared" si="41"/>
        <v>9884.5</v>
      </c>
      <c r="U68" s="1919">
        <f t="shared" si="41"/>
        <v>13032.78083146722</v>
      </c>
      <c r="V68" s="1919">
        <f t="shared" si="41"/>
        <v>13034.78083146722</v>
      </c>
      <c r="W68" s="1919">
        <f t="shared" si="41"/>
        <v>12683.78083146722</v>
      </c>
      <c r="X68" s="1919">
        <f t="shared" si="41"/>
        <v>10970.880831467221</v>
      </c>
      <c r="Y68" s="1919">
        <f t="shared" si="41"/>
        <v>10931.880831467221</v>
      </c>
      <c r="Z68" s="1919">
        <f t="shared" si="41"/>
        <v>10872.3511276356</v>
      </c>
      <c r="AA68" s="1919">
        <f t="shared" si="41"/>
        <v>10872.3511276356</v>
      </c>
      <c r="AB68" s="1919">
        <f t="shared" si="41"/>
        <v>10874.3511276356</v>
      </c>
      <c r="AC68" s="1919">
        <f t="shared" si="41"/>
        <v>5245.3511276356003</v>
      </c>
      <c r="AD68" s="1919">
        <f t="shared" si="41"/>
        <v>1538.8511276355996</v>
      </c>
      <c r="AE68" s="1919">
        <f t="shared" si="41"/>
        <v>-1622.4297038316201</v>
      </c>
      <c r="AF68" s="1919">
        <f t="shared" si="41"/>
        <v>-1622.4297038316201</v>
      </c>
      <c r="AG68" s="1919">
        <f t="shared" si="41"/>
        <v>-1622.4297038316201</v>
      </c>
      <c r="AH68" s="1919">
        <f t="shared" si="41"/>
        <v>-59.529703831619997</v>
      </c>
      <c r="AI68" s="1919">
        <f t="shared" si="41"/>
        <v>-59.529703831619997</v>
      </c>
      <c r="AJ68" s="1919">
        <f t="shared" si="41"/>
        <v>0</v>
      </c>
      <c r="AK68" s="1919">
        <f t="shared" si="41"/>
        <v>0</v>
      </c>
      <c r="AL68" s="1919">
        <f t="shared" si="41"/>
        <v>243825.57068401924</v>
      </c>
      <c r="BI68" s="1854"/>
      <c r="BJ68" s="1855" t="s">
        <v>924</v>
      </c>
      <c r="BK68" s="1855" t="s">
        <v>1474</v>
      </c>
      <c r="BL68" s="1855"/>
      <c r="BM68" s="1864"/>
      <c r="BN68" s="1864"/>
      <c r="BO68" s="1864"/>
      <c r="BU68" s="1854"/>
      <c r="BV68" s="1855" t="s">
        <v>924</v>
      </c>
      <c r="BW68" s="1855" t="s">
        <v>1474</v>
      </c>
      <c r="BX68" s="1855"/>
      <c r="BY68" s="1920"/>
      <c r="BZ68" s="1864"/>
      <c r="CA68" s="1864"/>
    </row>
    <row r="69" spans="1:81">
      <c r="A69" s="1009"/>
      <c r="B69" s="1921"/>
      <c r="C69" s="1921"/>
      <c r="D69" s="1921"/>
      <c r="E69" s="1921"/>
      <c r="F69" s="1921"/>
      <c r="G69" s="1921"/>
      <c r="H69" s="1921"/>
      <c r="I69" s="1921"/>
      <c r="J69" s="1921"/>
      <c r="K69" s="1921"/>
      <c r="L69" s="1921"/>
      <c r="M69" s="1921"/>
      <c r="N69" s="1921"/>
      <c r="O69" s="1921"/>
      <c r="P69" s="1921"/>
      <c r="Q69" s="1921"/>
      <c r="R69" s="1921"/>
      <c r="S69" s="1921"/>
      <c r="T69" s="1921"/>
      <c r="U69" s="1921"/>
      <c r="V69" s="1921"/>
      <c r="W69" s="1921"/>
      <c r="X69" s="1921"/>
      <c r="Y69" s="1921"/>
      <c r="Z69" s="1921"/>
      <c r="AA69" s="1921"/>
      <c r="AB69" s="1921"/>
      <c r="AC69" s="1921"/>
      <c r="AD69" s="1921"/>
      <c r="AE69" s="1921"/>
      <c r="AF69" s="1921"/>
      <c r="AG69" s="1921"/>
      <c r="AH69" s="1921"/>
      <c r="AI69" s="1921"/>
      <c r="AJ69" s="1921"/>
      <c r="AK69" s="1921"/>
      <c r="AL69" s="1921"/>
      <c r="BI69" s="1854"/>
      <c r="BJ69" s="1855" t="s">
        <v>1475</v>
      </c>
      <c r="BK69" s="1855" t="s">
        <v>1476</v>
      </c>
      <c r="BL69" s="1855"/>
      <c r="BM69" s="1864"/>
      <c r="BN69" s="1864"/>
      <c r="BO69" s="1864"/>
      <c r="BU69" s="1854"/>
      <c r="BV69" s="1855" t="s">
        <v>1475</v>
      </c>
      <c r="BW69" s="1855" t="s">
        <v>1476</v>
      </c>
      <c r="BX69" s="1855"/>
      <c r="BY69" s="1864"/>
      <c r="BZ69" s="1864"/>
      <c r="CA69" s="1864"/>
    </row>
    <row r="70" spans="1:81">
      <c r="A70" s="1009"/>
      <c r="B70" s="1850"/>
      <c r="C70" s="1850"/>
      <c r="D70" s="1850"/>
      <c r="E70" s="1850"/>
      <c r="F70" s="1850"/>
      <c r="G70" s="1850"/>
      <c r="H70" s="1850"/>
      <c r="I70" s="1850"/>
      <c r="J70" s="1850"/>
      <c r="K70" s="1850"/>
      <c r="L70" s="1910"/>
      <c r="M70" s="1910"/>
      <c r="N70" s="1910"/>
      <c r="O70" s="1910"/>
      <c r="P70" s="1910"/>
      <c r="Q70" s="1910">
        <v>44743</v>
      </c>
      <c r="R70" s="1910">
        <v>44774</v>
      </c>
      <c r="S70" s="1910">
        <v>44805</v>
      </c>
      <c r="T70" s="1910">
        <v>44835</v>
      </c>
      <c r="U70" s="1910">
        <v>44866</v>
      </c>
      <c r="V70" s="1910">
        <v>44896</v>
      </c>
      <c r="W70" s="1910">
        <v>44927</v>
      </c>
      <c r="X70" s="1910">
        <v>44958</v>
      </c>
      <c r="Y70" s="1910">
        <v>44986</v>
      </c>
      <c r="Z70" s="1910">
        <v>45017</v>
      </c>
      <c r="AA70" s="1910">
        <v>45047</v>
      </c>
      <c r="AB70" s="1910">
        <v>45078</v>
      </c>
      <c r="AC70" s="1911"/>
      <c r="AD70" s="1911"/>
      <c r="AE70" s="1911"/>
      <c r="AF70" s="1911"/>
      <c r="AG70" s="1911"/>
      <c r="AH70" s="1911"/>
      <c r="AI70" s="1911"/>
      <c r="AJ70" s="1911"/>
      <c r="AK70" s="1911"/>
      <c r="AL70" s="1911" t="s">
        <v>24</v>
      </c>
      <c r="BI70" s="1854"/>
      <c r="BJ70" s="1855" t="s">
        <v>1479</v>
      </c>
      <c r="BK70" s="1855" t="s">
        <v>1480</v>
      </c>
      <c r="BL70" s="1855"/>
      <c r="BM70" s="1909"/>
      <c r="BN70" s="1864"/>
      <c r="BO70" s="1864"/>
      <c r="BP70" s="1874"/>
      <c r="BU70" s="1854"/>
      <c r="BV70" s="1855" t="s">
        <v>1479</v>
      </c>
      <c r="BW70" s="1855" t="s">
        <v>1480</v>
      </c>
      <c r="BX70" s="1855"/>
      <c r="BY70" s="1909"/>
      <c r="BZ70" s="1864"/>
      <c r="CA70" s="1864"/>
      <c r="CB70" s="1874"/>
    </row>
    <row r="71" spans="1:81">
      <c r="A71" s="1197" t="s">
        <v>1509</v>
      </c>
      <c r="B71" s="1850"/>
      <c r="C71" s="1850"/>
      <c r="D71" s="1850"/>
      <c r="E71" s="1850"/>
      <c r="F71" s="1850"/>
      <c r="G71" s="1850"/>
      <c r="H71" s="1850"/>
      <c r="I71" s="1850"/>
      <c r="J71" s="1850"/>
      <c r="K71" s="1850"/>
      <c r="L71" s="1850"/>
      <c r="M71" s="1850"/>
      <c r="N71" s="1850"/>
      <c r="O71" s="1850"/>
      <c r="P71" s="1850"/>
      <c r="Q71" s="1850">
        <f t="shared" ref="Q71:V71" si="42">$AA$68/12</f>
        <v>906.02926063630002</v>
      </c>
      <c r="R71" s="1850">
        <f t="shared" si="42"/>
        <v>906.02926063630002</v>
      </c>
      <c r="S71" s="1850">
        <f t="shared" si="42"/>
        <v>906.02926063630002</v>
      </c>
      <c r="T71" s="1850">
        <f t="shared" si="42"/>
        <v>906.02926063630002</v>
      </c>
      <c r="U71" s="1850">
        <f t="shared" si="42"/>
        <v>906.02926063630002</v>
      </c>
      <c r="V71" s="1850">
        <f t="shared" si="42"/>
        <v>906.02926063630002</v>
      </c>
      <c r="W71" s="1850">
        <f t="shared" ref="W71:AB71" si="43">$AB$68/12</f>
        <v>906.19592730296665</v>
      </c>
      <c r="X71" s="1850">
        <f t="shared" si="43"/>
        <v>906.19592730296665</v>
      </c>
      <c r="Y71" s="1850">
        <f t="shared" si="43"/>
        <v>906.19592730296665</v>
      </c>
      <c r="Z71" s="1850">
        <f t="shared" si="43"/>
        <v>906.19592730296665</v>
      </c>
      <c r="AA71" s="1850">
        <f t="shared" si="43"/>
        <v>906.19592730296665</v>
      </c>
      <c r="AB71" s="1850">
        <f t="shared" si="43"/>
        <v>906.19592730296665</v>
      </c>
      <c r="AC71" s="1850"/>
      <c r="AD71" s="1850"/>
      <c r="AE71" s="1850"/>
      <c r="AF71" s="1850"/>
      <c r="AG71" s="1850"/>
      <c r="AH71" s="1850"/>
      <c r="AI71" s="1850"/>
      <c r="AJ71" s="1850"/>
      <c r="AK71" s="1850"/>
      <c r="AL71" s="1912">
        <f>SUM(Q71:AB71)</f>
        <v>10873.3511276356</v>
      </c>
      <c r="BI71" s="1854"/>
      <c r="BJ71" s="1855" t="s">
        <v>1481</v>
      </c>
      <c r="BK71" s="1855" t="s">
        <v>1482</v>
      </c>
      <c r="BL71" s="1855"/>
      <c r="BM71" s="1876"/>
      <c r="BN71" s="1864"/>
      <c r="BO71" s="1864"/>
      <c r="BP71" s="1874"/>
      <c r="BU71" s="1854"/>
      <c r="BV71" s="1855" t="s">
        <v>1481</v>
      </c>
      <c r="BW71" s="1855" t="s">
        <v>1482</v>
      </c>
      <c r="BX71" s="1855"/>
      <c r="BY71" s="1876"/>
      <c r="BZ71" s="1864"/>
      <c r="CA71" s="1864"/>
      <c r="CB71" s="1874"/>
    </row>
    <row r="72" spans="1:81">
      <c r="A72" s="1009"/>
      <c r="B72" s="1009"/>
      <c r="C72" s="1009"/>
      <c r="D72" s="1009"/>
      <c r="E72" s="1009"/>
      <c r="F72" s="1009"/>
      <c r="G72" s="1009"/>
      <c r="H72" s="1009"/>
      <c r="I72" s="1009"/>
      <c r="J72" s="1009"/>
      <c r="K72" s="1009"/>
      <c r="L72" s="1009"/>
      <c r="M72" s="1009"/>
      <c r="N72" s="1009"/>
      <c r="Q72" s="1850"/>
      <c r="R72" s="1850"/>
      <c r="S72" s="1850"/>
      <c r="T72" s="1913"/>
      <c r="U72" s="1850"/>
      <c r="V72" s="1009"/>
      <c r="W72" s="1009"/>
      <c r="X72" s="1009"/>
      <c r="Y72" s="1009"/>
      <c r="Z72" s="1009"/>
      <c r="AA72" s="1009"/>
      <c r="AB72" s="1009"/>
      <c r="AC72" s="1009"/>
      <c r="AD72" s="1009"/>
      <c r="AE72" s="1009"/>
      <c r="AF72" s="1009"/>
      <c r="AG72" s="1009"/>
      <c r="AH72" s="1009"/>
      <c r="AI72" s="1009"/>
      <c r="AJ72" s="1009"/>
      <c r="AK72" s="1009"/>
      <c r="AL72" s="1009"/>
      <c r="BI72" s="1854"/>
      <c r="BJ72" s="1855" t="s">
        <v>1484</v>
      </c>
      <c r="BK72" s="1855" t="s">
        <v>1485</v>
      </c>
      <c r="BL72" s="1855"/>
      <c r="BM72" s="1881"/>
      <c r="BN72" s="1864"/>
      <c r="BO72" s="1864"/>
      <c r="BP72" s="1874"/>
      <c r="BU72" s="1854"/>
      <c r="BV72" s="1855" t="s">
        <v>1484</v>
      </c>
      <c r="BW72" s="1855" t="s">
        <v>1485</v>
      </c>
      <c r="BX72" s="1855"/>
      <c r="BY72" s="1881"/>
      <c r="BZ72" s="1864"/>
      <c r="CA72" s="1864"/>
      <c r="CB72" s="1874"/>
    </row>
    <row r="73" spans="1:81">
      <c r="BI73" s="1854"/>
      <c r="BJ73" s="1855" t="s">
        <v>1486</v>
      </c>
      <c r="BK73" s="1855" t="s">
        <v>1487</v>
      </c>
      <c r="BL73" s="1855"/>
      <c r="BM73" s="1881"/>
      <c r="BN73" s="1864"/>
      <c r="BO73" s="1864"/>
      <c r="BP73" s="1874"/>
      <c r="BU73" s="1854"/>
      <c r="BV73" s="1855" t="s">
        <v>1486</v>
      </c>
      <c r="BW73" s="1855" t="s">
        <v>1487</v>
      </c>
      <c r="BX73" s="1855"/>
      <c r="BY73" s="1881"/>
      <c r="BZ73" s="1864"/>
      <c r="CA73" s="1864"/>
      <c r="CB73" s="1874"/>
    </row>
    <row r="74" spans="1:81">
      <c r="BI74" s="1854"/>
      <c r="BJ74" s="1855" t="s">
        <v>1488</v>
      </c>
      <c r="BK74" s="1855" t="s">
        <v>1489</v>
      </c>
      <c r="BL74" s="1855"/>
      <c r="BM74" s="1882"/>
      <c r="BN74" s="1864"/>
      <c r="BO74" s="1864"/>
      <c r="BP74" s="1874"/>
      <c r="BU74" s="1854"/>
      <c r="BV74" s="1855" t="s">
        <v>1488</v>
      </c>
      <c r="BW74" s="1855" t="s">
        <v>1489</v>
      </c>
      <c r="BX74" s="1855"/>
      <c r="BY74" s="1882"/>
      <c r="BZ74" s="1864"/>
      <c r="CA74" s="1864"/>
      <c r="CB74" s="1874"/>
    </row>
    <row r="75" spans="1:81">
      <c r="BI75" s="1854"/>
      <c r="BJ75" s="1855" t="s">
        <v>1490</v>
      </c>
      <c r="BK75" s="1855" t="s">
        <v>1491</v>
      </c>
      <c r="BL75" s="1855"/>
      <c r="BM75" s="1867"/>
      <c r="BN75" s="1864"/>
      <c r="BO75" s="1864"/>
      <c r="BP75" s="1874"/>
      <c r="BU75" s="1854"/>
      <c r="BV75" s="1855" t="s">
        <v>1490</v>
      </c>
      <c r="BW75" s="1855" t="s">
        <v>1491</v>
      </c>
      <c r="BX75" s="1855"/>
      <c r="BY75" s="1884"/>
      <c r="BZ75" s="1864"/>
      <c r="CA75" s="1864"/>
      <c r="CB75" s="1874"/>
    </row>
    <row r="76" spans="1:81">
      <c r="BI76" s="1854"/>
      <c r="BJ76" s="1855" t="s">
        <v>1492</v>
      </c>
      <c r="BK76" s="1855" t="s">
        <v>1493</v>
      </c>
      <c r="BL76" s="1855"/>
      <c r="BM76" s="1914"/>
      <c r="BN76" s="1864"/>
      <c r="BO76" s="1864"/>
      <c r="BP76" s="1886">
        <f>BM76</f>
        <v>0</v>
      </c>
      <c r="BQ76" s="1905"/>
      <c r="BU76" s="1854"/>
      <c r="BV76" s="1855" t="s">
        <v>1492</v>
      </c>
      <c r="BW76" s="1855" t="s">
        <v>1493</v>
      </c>
      <c r="BX76" s="1855"/>
      <c r="BY76" s="1914"/>
      <c r="BZ76" s="1864"/>
      <c r="CA76" s="1864"/>
      <c r="CB76" s="1886">
        <f>BY70-BY71-BY72+BY73</f>
        <v>0</v>
      </c>
      <c r="CC76" s="1905"/>
    </row>
    <row r="77" spans="1:81">
      <c r="BI77" s="1854"/>
      <c r="BJ77" s="1855"/>
      <c r="BK77" s="1855"/>
      <c r="BL77" s="1855"/>
      <c r="BM77" s="1864"/>
      <c r="BN77" s="1864"/>
      <c r="BO77" s="1864"/>
      <c r="BU77" s="1854"/>
      <c r="BV77" s="1855"/>
      <c r="BW77" s="1855"/>
      <c r="BX77" s="1855"/>
      <c r="BY77" s="1864"/>
      <c r="BZ77" s="1864"/>
      <c r="CA77" s="1864"/>
    </row>
    <row r="78" spans="1:81">
      <c r="BI78" s="1854" t="s">
        <v>1505</v>
      </c>
      <c r="BJ78" s="1855" t="s">
        <v>922</v>
      </c>
      <c r="BK78" s="1855" t="s">
        <v>1466</v>
      </c>
      <c r="BL78" s="1855"/>
      <c r="BM78" s="1865"/>
      <c r="BN78" s="1864"/>
      <c r="BO78" s="1864"/>
      <c r="BU78" s="1854" t="s">
        <v>1510</v>
      </c>
      <c r="BV78" s="1855" t="s">
        <v>922</v>
      </c>
      <c r="BW78" s="1855" t="s">
        <v>1466</v>
      </c>
      <c r="BX78" s="1855"/>
      <c r="BY78" s="1865"/>
      <c r="BZ78" s="1864"/>
      <c r="CA78" s="1864"/>
    </row>
    <row r="79" spans="1:81">
      <c r="BI79" s="1854"/>
      <c r="BJ79" s="1855" t="s">
        <v>923</v>
      </c>
      <c r="BK79" s="1855" t="s">
        <v>1471</v>
      </c>
      <c r="BL79" s="1855"/>
      <c r="BM79" s="1864"/>
      <c r="BN79" s="1864"/>
      <c r="BO79" s="1864"/>
      <c r="BU79" s="1854"/>
      <c r="BV79" s="1855" t="s">
        <v>923</v>
      </c>
      <c r="BW79" s="1855" t="s">
        <v>1471</v>
      </c>
      <c r="BX79" s="1855"/>
      <c r="BY79" s="1864"/>
      <c r="BZ79" s="1864"/>
      <c r="CA79" s="1864"/>
    </row>
    <row r="80" spans="1:81">
      <c r="BI80" s="1854"/>
      <c r="BJ80" s="1855" t="s">
        <v>924</v>
      </c>
      <c r="BK80" s="1855" t="s">
        <v>1474</v>
      </c>
      <c r="BL80" s="1855"/>
      <c r="BM80" s="1864"/>
      <c r="BN80" s="1864"/>
      <c r="BO80" s="1864"/>
      <c r="BU80" s="1854"/>
      <c r="BV80" s="1855" t="s">
        <v>924</v>
      </c>
      <c r="BW80" s="1855" t="s">
        <v>1474</v>
      </c>
      <c r="BX80" s="1855"/>
      <c r="BY80" s="1864"/>
      <c r="BZ80" s="1864"/>
      <c r="CA80" s="1864"/>
    </row>
    <row r="81" spans="61:82">
      <c r="BI81" s="1854"/>
      <c r="BJ81" s="1855" t="s">
        <v>1475</v>
      </c>
      <c r="BK81" s="1855" t="s">
        <v>1476</v>
      </c>
      <c r="BL81" s="1855"/>
      <c r="BM81" s="1864"/>
      <c r="BN81" s="1864"/>
      <c r="BO81" s="1864"/>
      <c r="BU81" s="1854"/>
      <c r="BV81" s="1855" t="s">
        <v>1475</v>
      </c>
      <c r="BW81" s="1855" t="s">
        <v>1476</v>
      </c>
      <c r="BX81" s="1855"/>
      <c r="BY81" s="1864"/>
      <c r="BZ81" s="1864"/>
      <c r="CA81" s="1864"/>
    </row>
    <row r="82" spans="61:82">
      <c r="BI82" s="1854"/>
      <c r="BJ82" s="1855" t="s">
        <v>1479</v>
      </c>
      <c r="BK82" s="1855" t="s">
        <v>1480</v>
      </c>
      <c r="BL82" s="1855"/>
      <c r="BM82" s="1909"/>
      <c r="BN82" s="1864"/>
      <c r="BO82" s="1864"/>
      <c r="BP82" s="1874"/>
      <c r="BU82" s="1854"/>
      <c r="BV82" s="1855" t="s">
        <v>1479</v>
      </c>
      <c r="BW82" s="1855" t="s">
        <v>1480</v>
      </c>
      <c r="BX82" s="1855"/>
      <c r="BY82" s="1909">
        <v>0</v>
      </c>
      <c r="BZ82" s="1864"/>
      <c r="CA82" s="1864"/>
      <c r="CB82" s="1874"/>
    </row>
    <row r="83" spans="61:82">
      <c r="BI83" s="1854"/>
      <c r="BJ83" s="1855" t="s">
        <v>1481</v>
      </c>
      <c r="BK83" s="1855" t="s">
        <v>1482</v>
      </c>
      <c r="BL83" s="1855"/>
      <c r="BM83" s="1876"/>
      <c r="BN83" s="1864"/>
      <c r="BO83" s="1864"/>
      <c r="BP83" s="1874"/>
      <c r="BU83" s="1854"/>
      <c r="BV83" s="1855" t="s">
        <v>1481</v>
      </c>
      <c r="BW83" s="1855" t="s">
        <v>1482</v>
      </c>
      <c r="BX83" s="1855"/>
      <c r="BY83" s="1876">
        <v>0</v>
      </c>
      <c r="BZ83" s="1864"/>
      <c r="CA83" s="1864"/>
      <c r="CB83" s="1874"/>
    </row>
    <row r="84" spans="61:82">
      <c r="BI84" s="1854"/>
      <c r="BJ84" s="1855" t="s">
        <v>1484</v>
      </c>
      <c r="BK84" s="1855" t="s">
        <v>1485</v>
      </c>
      <c r="BL84" s="1855"/>
      <c r="BM84" s="1881"/>
      <c r="BN84" s="1864"/>
      <c r="BO84" s="1864"/>
      <c r="BP84" s="1874"/>
      <c r="BU84" s="1854"/>
      <c r="BV84" s="1855" t="s">
        <v>1484</v>
      </c>
      <c r="BW84" s="1855" t="s">
        <v>1485</v>
      </c>
      <c r="BX84" s="1855"/>
      <c r="BY84" s="1881">
        <v>0</v>
      </c>
      <c r="BZ84" s="1864"/>
      <c r="CA84" s="1864"/>
      <c r="CB84" s="1874"/>
    </row>
    <row r="85" spans="61:82">
      <c r="BI85" s="1854"/>
      <c r="BJ85" s="1855" t="s">
        <v>1486</v>
      </c>
      <c r="BK85" s="1855" t="s">
        <v>1487</v>
      </c>
      <c r="BL85" s="1855"/>
      <c r="BM85" s="1881"/>
      <c r="BN85" s="1864"/>
      <c r="BO85" s="1864"/>
      <c r="BP85" s="1874"/>
      <c r="BU85" s="1854"/>
      <c r="BV85" s="1855" t="s">
        <v>1486</v>
      </c>
      <c r="BW85" s="1855" t="s">
        <v>1487</v>
      </c>
      <c r="BX85" s="1855"/>
      <c r="BY85" s="1881">
        <v>0</v>
      </c>
      <c r="BZ85" s="1864"/>
      <c r="CA85" s="1864"/>
      <c r="CB85" s="1874"/>
    </row>
    <row r="86" spans="61:82">
      <c r="BI86" s="1854"/>
      <c r="BJ86" s="1855" t="s">
        <v>1488</v>
      </c>
      <c r="BK86" s="1855" t="s">
        <v>1489</v>
      </c>
      <c r="BL86" s="1855"/>
      <c r="BM86" s="1882"/>
      <c r="BN86" s="1864"/>
      <c r="BO86" s="1864"/>
      <c r="BP86" s="1874"/>
      <c r="BU86" s="1854"/>
      <c r="BV86" s="1855" t="s">
        <v>1488</v>
      </c>
      <c r="BW86" s="1855" t="s">
        <v>1489</v>
      </c>
      <c r="BX86" s="1855"/>
      <c r="BY86" s="1882"/>
      <c r="BZ86" s="1864"/>
      <c r="CA86" s="1864"/>
      <c r="CB86" s="1874"/>
    </row>
    <row r="87" spans="61:82">
      <c r="BI87" s="1854"/>
      <c r="BJ87" s="1855" t="s">
        <v>1490</v>
      </c>
      <c r="BK87" s="1855" t="s">
        <v>1491</v>
      </c>
      <c r="BL87" s="1855"/>
      <c r="BM87" s="1884"/>
      <c r="BN87" s="1864"/>
      <c r="BO87" s="1864"/>
      <c r="BP87" s="1874"/>
      <c r="BU87" s="1854"/>
      <c r="BV87" s="1855" t="s">
        <v>1490</v>
      </c>
      <c r="BW87" s="1855" t="s">
        <v>1491</v>
      </c>
      <c r="BX87" s="1855"/>
      <c r="BY87" s="1884"/>
      <c r="BZ87" s="1864"/>
      <c r="CA87" s="1864"/>
      <c r="CB87" s="1874"/>
    </row>
    <row r="88" spans="61:82">
      <c r="BI88" s="1854"/>
      <c r="BJ88" s="1855" t="s">
        <v>1492</v>
      </c>
      <c r="BK88" s="1855" t="s">
        <v>1493</v>
      </c>
      <c r="BL88" s="1855"/>
      <c r="BM88" s="1914"/>
      <c r="BN88" s="1864"/>
      <c r="BO88" s="1864"/>
      <c r="BP88" s="1886">
        <f>BM82-BM83-BM84+BM85</f>
        <v>0</v>
      </c>
      <c r="BQ88" s="1905"/>
      <c r="BU88" s="1854"/>
      <c r="BV88" s="1855" t="s">
        <v>1492</v>
      </c>
      <c r="BW88" s="1855" t="s">
        <v>1493</v>
      </c>
      <c r="BX88" s="1855"/>
      <c r="BY88" s="1914">
        <f>BY82-BY83-BY84+BY85</f>
        <v>0</v>
      </c>
      <c r="BZ88" s="1864"/>
      <c r="CA88" s="1864"/>
      <c r="CB88" s="1886">
        <f>BY82-BY83-BY84+BY85</f>
        <v>0</v>
      </c>
    </row>
    <row r="89" spans="61:82">
      <c r="BI89" s="1854"/>
      <c r="BJ89" s="1855"/>
      <c r="BK89" s="1855"/>
      <c r="BL89" s="1855"/>
      <c r="BM89" s="1864"/>
      <c r="BN89" s="1864"/>
      <c r="BO89" s="1864"/>
      <c r="BU89" s="1854"/>
      <c r="BV89" s="1855"/>
      <c r="BW89" s="1855"/>
      <c r="BX89" s="1855"/>
      <c r="BY89" s="1864"/>
      <c r="BZ89" s="1864"/>
      <c r="CA89" s="1864"/>
    </row>
    <row r="90" spans="61:82">
      <c r="BI90" s="1854" t="s">
        <v>1507</v>
      </c>
      <c r="BJ90" s="1855" t="s">
        <v>922</v>
      </c>
      <c r="BK90" s="1855" t="s">
        <v>1466</v>
      </c>
      <c r="BL90" s="1855"/>
      <c r="BM90" s="1865"/>
      <c r="BN90" s="1864"/>
      <c r="BO90" s="1864"/>
    </row>
    <row r="91" spans="61:82">
      <c r="BI91" s="1854"/>
      <c r="BJ91" s="1855" t="s">
        <v>923</v>
      </c>
      <c r="BK91" s="1855" t="s">
        <v>1471</v>
      </c>
      <c r="BL91" s="1855"/>
      <c r="BM91" s="1864"/>
      <c r="BN91" s="1864"/>
      <c r="BO91" s="1864"/>
      <c r="BU91" s="1854"/>
      <c r="BV91" s="1855"/>
      <c r="BW91" s="1855"/>
      <c r="BX91" s="1855"/>
      <c r="BY91" s="1864"/>
      <c r="BZ91" s="1864"/>
      <c r="CA91" s="1864"/>
      <c r="CB91" s="1886">
        <f>SUM(CB6:CB90)</f>
        <v>1799247.31</v>
      </c>
      <c r="CC91" s="1852" t="s">
        <v>24</v>
      </c>
      <c r="CD91" s="1852" t="s">
        <v>1511</v>
      </c>
    </row>
    <row r="92" spans="61:82">
      <c r="BI92" s="1854"/>
      <c r="BJ92" s="1855" t="s">
        <v>924</v>
      </c>
      <c r="BK92" s="1855" t="s">
        <v>1474</v>
      </c>
      <c r="BL92" s="1855"/>
      <c r="BM92" s="1864"/>
      <c r="BN92" s="1864"/>
      <c r="BO92" s="1864"/>
      <c r="CB92" s="1874">
        <v>51389.620000000112</v>
      </c>
    </row>
    <row r="93" spans="61:82">
      <c r="BI93" s="1854"/>
      <c r="BJ93" s="1855" t="s">
        <v>1475</v>
      </c>
      <c r="BK93" s="1855" t="s">
        <v>1476</v>
      </c>
      <c r="BL93" s="1855"/>
      <c r="BM93" s="1864"/>
      <c r="BN93" s="1864"/>
      <c r="BO93" s="1864"/>
      <c r="CB93" s="1874"/>
    </row>
    <row r="94" spans="61:82">
      <c r="BI94" s="1854"/>
      <c r="BJ94" s="1855" t="s">
        <v>1479</v>
      </c>
      <c r="BK94" s="1855" t="s">
        <v>1480</v>
      </c>
      <c r="BL94" s="1855"/>
      <c r="BM94" s="1909"/>
      <c r="BN94" s="1864"/>
      <c r="BO94" s="1864"/>
      <c r="BP94" s="1874"/>
    </row>
    <row r="95" spans="61:82">
      <c r="BI95" s="1854"/>
      <c r="BJ95" s="1855" t="s">
        <v>1481</v>
      </c>
      <c r="BK95" s="1855" t="s">
        <v>1482</v>
      </c>
      <c r="BL95" s="1855"/>
      <c r="BM95" s="1876"/>
      <c r="BN95" s="1864"/>
      <c r="BO95" s="1864"/>
      <c r="BP95" s="1874"/>
    </row>
    <row r="96" spans="61:82">
      <c r="BI96" s="1854"/>
      <c r="BJ96" s="1855" t="s">
        <v>1484</v>
      </c>
      <c r="BK96" s="1855" t="s">
        <v>1485</v>
      </c>
      <c r="BL96" s="1855"/>
      <c r="BM96" s="1881"/>
      <c r="BN96" s="1864"/>
      <c r="BO96" s="1864"/>
      <c r="BP96" s="1874"/>
    </row>
    <row r="97" spans="61:69">
      <c r="BI97" s="1854"/>
      <c r="BJ97" s="1855" t="s">
        <v>1486</v>
      </c>
      <c r="BK97" s="1855" t="s">
        <v>1487</v>
      </c>
      <c r="BL97" s="1855"/>
      <c r="BM97" s="1881"/>
      <c r="BN97" s="1864"/>
      <c r="BO97" s="1864"/>
      <c r="BP97" s="1874"/>
    </row>
    <row r="98" spans="61:69">
      <c r="BI98" s="1854"/>
      <c r="BJ98" s="1855" t="s">
        <v>1488</v>
      </c>
      <c r="BK98" s="1855" t="s">
        <v>1489</v>
      </c>
      <c r="BL98" s="1855"/>
      <c r="BM98" s="1882"/>
      <c r="BN98" s="1864"/>
      <c r="BO98" s="1864"/>
      <c r="BP98" s="1874"/>
    </row>
    <row r="99" spans="61:69">
      <c r="BI99" s="1854"/>
      <c r="BJ99" s="1855" t="s">
        <v>1490</v>
      </c>
      <c r="BK99" s="1855" t="s">
        <v>1491</v>
      </c>
      <c r="BL99" s="1855"/>
      <c r="BM99" s="1884"/>
      <c r="BN99" s="1864"/>
      <c r="BO99" s="1864"/>
      <c r="BP99" s="1874"/>
    </row>
    <row r="100" spans="61:69">
      <c r="BI100" s="1854"/>
      <c r="BJ100" s="1855" t="s">
        <v>1492</v>
      </c>
      <c r="BK100" s="1855" t="s">
        <v>1493</v>
      </c>
      <c r="BL100" s="1855"/>
      <c r="BM100" s="1914"/>
      <c r="BN100" s="1864"/>
      <c r="BO100" s="1864"/>
      <c r="BP100" s="1886">
        <f>BM94-BM95-BM96+BM97</f>
        <v>0</v>
      </c>
      <c r="BQ100" s="1905"/>
    </row>
    <row r="101" spans="61:69">
      <c r="BI101" s="1854"/>
      <c r="BJ101" s="1855"/>
      <c r="BK101" s="1855"/>
      <c r="BL101" s="1855"/>
      <c r="BM101" s="1864"/>
      <c r="BN101" s="1864"/>
      <c r="BO101" s="1864"/>
    </row>
    <row r="102" spans="61:69">
      <c r="BI102" s="1854" t="s">
        <v>1508</v>
      </c>
      <c r="BJ102" s="1855" t="s">
        <v>922</v>
      </c>
      <c r="BK102" s="1855" t="s">
        <v>1466</v>
      </c>
      <c r="BL102" s="1855"/>
      <c r="BN102" s="1864"/>
      <c r="BO102" s="1864"/>
    </row>
    <row r="103" spans="61:69">
      <c r="BI103" s="1854"/>
      <c r="BJ103" s="1855" t="s">
        <v>923</v>
      </c>
      <c r="BK103" s="1855" t="s">
        <v>1471</v>
      </c>
      <c r="BL103" s="1855"/>
      <c r="BM103" s="1864"/>
      <c r="BN103" s="1864"/>
      <c r="BO103" s="1864"/>
    </row>
    <row r="104" spans="61:69">
      <c r="BI104" s="1854"/>
      <c r="BJ104" s="1855" t="s">
        <v>924</v>
      </c>
      <c r="BK104" s="1855" t="s">
        <v>1474</v>
      </c>
      <c r="BL104" s="1855"/>
      <c r="BM104" s="1920"/>
      <c r="BN104" s="1864"/>
      <c r="BO104" s="1864"/>
    </row>
    <row r="105" spans="61:69">
      <c r="BI105" s="1854"/>
      <c r="BJ105" s="1855" t="s">
        <v>1475</v>
      </c>
      <c r="BK105" s="1855" t="s">
        <v>1476</v>
      </c>
      <c r="BL105" s="1855"/>
      <c r="BM105" s="1864"/>
      <c r="BN105" s="1864"/>
      <c r="BO105" s="1864"/>
    </row>
    <row r="106" spans="61:69">
      <c r="BI106" s="1854"/>
      <c r="BJ106" s="1855" t="s">
        <v>1479</v>
      </c>
      <c r="BK106" s="1855" t="s">
        <v>1480</v>
      </c>
      <c r="BL106" s="1855"/>
      <c r="BM106" s="1909"/>
      <c r="BN106" s="1864"/>
      <c r="BO106" s="1864"/>
      <c r="BP106" s="1874"/>
    </row>
    <row r="107" spans="61:69">
      <c r="BI107" s="1854"/>
      <c r="BJ107" s="1855" t="s">
        <v>1481</v>
      </c>
      <c r="BK107" s="1855" t="s">
        <v>1482</v>
      </c>
      <c r="BL107" s="1855"/>
      <c r="BM107" s="1876"/>
      <c r="BN107" s="1864"/>
      <c r="BO107" s="1864"/>
      <c r="BP107" s="1874"/>
    </row>
    <row r="108" spans="61:69">
      <c r="BI108" s="1854"/>
      <c r="BJ108" s="1855" t="s">
        <v>1484</v>
      </c>
      <c r="BK108" s="1855" t="s">
        <v>1485</v>
      </c>
      <c r="BL108" s="1855"/>
      <c r="BM108" s="1881"/>
      <c r="BN108" s="1864"/>
      <c r="BO108" s="1864"/>
      <c r="BP108" s="1874"/>
    </row>
    <row r="109" spans="61:69">
      <c r="BI109" s="1854"/>
      <c r="BJ109" s="1855" t="s">
        <v>1486</v>
      </c>
      <c r="BK109" s="1855" t="s">
        <v>1487</v>
      </c>
      <c r="BL109" s="1855"/>
      <c r="BM109" s="1881"/>
      <c r="BN109" s="1864"/>
      <c r="BO109" s="1864"/>
      <c r="BP109" s="1874"/>
    </row>
    <row r="110" spans="61:69">
      <c r="BI110" s="1854"/>
      <c r="BJ110" s="1855" t="s">
        <v>1488</v>
      </c>
      <c r="BK110" s="1855" t="s">
        <v>1489</v>
      </c>
      <c r="BL110" s="1855"/>
      <c r="BM110" s="1882"/>
      <c r="BN110" s="1864"/>
      <c r="BO110" s="1864"/>
      <c r="BP110" s="1874"/>
    </row>
    <row r="111" spans="61:69">
      <c r="BI111" s="1854"/>
      <c r="BJ111" s="1855" t="s">
        <v>1490</v>
      </c>
      <c r="BK111" s="1855" t="s">
        <v>1491</v>
      </c>
      <c r="BL111" s="1855"/>
      <c r="BM111" s="1884"/>
      <c r="BN111" s="1864"/>
      <c r="BO111" s="1864"/>
      <c r="BP111" s="1874"/>
    </row>
    <row r="112" spans="61:69">
      <c r="BI112" s="1854"/>
      <c r="BJ112" s="1855" t="s">
        <v>1492</v>
      </c>
      <c r="BK112" s="1855" t="s">
        <v>1493</v>
      </c>
      <c r="BL112" s="1855"/>
      <c r="BM112" s="1914"/>
      <c r="BN112" s="1864"/>
      <c r="BO112" s="1864"/>
      <c r="BP112" s="1886">
        <f>BM106-BM107-BM108+BM109</f>
        <v>0</v>
      </c>
      <c r="BQ112" s="1905"/>
    </row>
    <row r="113" spans="61:70">
      <c r="BI113" s="1854"/>
      <c r="BJ113" s="1855"/>
      <c r="BK113" s="1855"/>
      <c r="BL113" s="1855"/>
      <c r="BM113" s="1864"/>
      <c r="BN113" s="1864"/>
      <c r="BO113" s="1864"/>
    </row>
    <row r="114" spans="61:70">
      <c r="BI114" s="1854" t="s">
        <v>1510</v>
      </c>
      <c r="BJ114" s="1855" t="s">
        <v>922</v>
      </c>
      <c r="BK114" s="1855" t="s">
        <v>1466</v>
      </c>
      <c r="BL114" s="1855"/>
      <c r="BM114" s="1865"/>
      <c r="BN114" s="1864"/>
      <c r="BO114" s="1864"/>
    </row>
    <row r="115" spans="61:70">
      <c r="BI115" s="1854"/>
      <c r="BJ115" s="1855" t="s">
        <v>923</v>
      </c>
      <c r="BK115" s="1855" t="s">
        <v>1471</v>
      </c>
      <c r="BL115" s="1855"/>
      <c r="BM115" s="1864"/>
      <c r="BN115" s="1864"/>
      <c r="BO115" s="1864"/>
    </row>
    <row r="116" spans="61:70">
      <c r="BI116" s="1854"/>
      <c r="BJ116" s="1855" t="s">
        <v>924</v>
      </c>
      <c r="BK116" s="1855" t="s">
        <v>1474</v>
      </c>
      <c r="BL116" s="1855"/>
      <c r="BM116" s="1864"/>
      <c r="BN116" s="1864"/>
      <c r="BO116" s="1864"/>
    </row>
    <row r="117" spans="61:70">
      <c r="BI117" s="1854"/>
      <c r="BJ117" s="1855" t="s">
        <v>1475</v>
      </c>
      <c r="BK117" s="1855" t="s">
        <v>1476</v>
      </c>
      <c r="BL117" s="1855"/>
      <c r="BM117" s="1864"/>
      <c r="BN117" s="1864"/>
      <c r="BO117" s="1864"/>
    </row>
    <row r="118" spans="61:70">
      <c r="BI118" s="1854"/>
      <c r="BJ118" s="1855" t="s">
        <v>1479</v>
      </c>
      <c r="BK118" s="1855" t="s">
        <v>1480</v>
      </c>
      <c r="BL118" s="1855"/>
      <c r="BM118" s="1909">
        <v>0</v>
      </c>
      <c r="BN118" s="1864"/>
      <c r="BO118" s="1864"/>
      <c r="BP118" s="1874"/>
    </row>
    <row r="119" spans="61:70">
      <c r="BI119" s="1854"/>
      <c r="BJ119" s="1855" t="s">
        <v>1481</v>
      </c>
      <c r="BK119" s="1855" t="s">
        <v>1482</v>
      </c>
      <c r="BL119" s="1855"/>
      <c r="BM119" s="1876">
        <v>0</v>
      </c>
      <c r="BN119" s="1864"/>
      <c r="BO119" s="1864"/>
      <c r="BP119" s="1874"/>
    </row>
    <row r="120" spans="61:70">
      <c r="BI120" s="1854"/>
      <c r="BJ120" s="1855" t="s">
        <v>1484</v>
      </c>
      <c r="BK120" s="1855" t="s">
        <v>1485</v>
      </c>
      <c r="BL120" s="1855"/>
      <c r="BM120" s="1881">
        <v>0</v>
      </c>
      <c r="BN120" s="1864"/>
      <c r="BO120" s="1864"/>
      <c r="BP120" s="1874"/>
    </row>
    <row r="121" spans="61:70">
      <c r="BI121" s="1854"/>
      <c r="BJ121" s="1855" t="s">
        <v>1486</v>
      </c>
      <c r="BK121" s="1855" t="s">
        <v>1487</v>
      </c>
      <c r="BL121" s="1855"/>
      <c r="BM121" s="1881">
        <v>0</v>
      </c>
      <c r="BN121" s="1864"/>
      <c r="BO121" s="1864"/>
      <c r="BP121" s="1874"/>
    </row>
    <row r="122" spans="61:70">
      <c r="BI122" s="1854"/>
      <c r="BJ122" s="1855" t="s">
        <v>1488</v>
      </c>
      <c r="BK122" s="1855" t="s">
        <v>1489</v>
      </c>
      <c r="BL122" s="1855"/>
      <c r="BM122" s="1882"/>
      <c r="BN122" s="1864"/>
      <c r="BO122" s="1864"/>
      <c r="BP122" s="1874"/>
    </row>
    <row r="123" spans="61:70">
      <c r="BI123" s="1854"/>
      <c r="BJ123" s="1855" t="s">
        <v>1490</v>
      </c>
      <c r="BK123" s="1855" t="s">
        <v>1491</v>
      </c>
      <c r="BL123" s="1855"/>
      <c r="BM123" s="1884"/>
      <c r="BN123" s="1864"/>
      <c r="BO123" s="1864"/>
      <c r="BP123" s="1874"/>
    </row>
    <row r="124" spans="61:70">
      <c r="BI124" s="1854"/>
      <c r="BJ124" s="1855" t="s">
        <v>1492</v>
      </c>
      <c r="BK124" s="1855" t="s">
        <v>1493</v>
      </c>
      <c r="BL124" s="1855"/>
      <c r="BM124" s="1914">
        <f>BM118-BM119-BM120+BM121</f>
        <v>0</v>
      </c>
      <c r="BN124" s="1864"/>
      <c r="BO124" s="1864"/>
      <c r="BP124" s="1886">
        <f>BM118-BM119-BM120+BM121</f>
        <v>0</v>
      </c>
    </row>
    <row r="125" spans="61:70">
      <c r="BI125" s="1854"/>
      <c r="BJ125" s="1855"/>
      <c r="BK125" s="1855"/>
      <c r="BL125" s="1855"/>
      <c r="BM125" s="1864"/>
      <c r="BN125" s="1864"/>
      <c r="BO125" s="1864"/>
    </row>
    <row r="127" spans="61:70">
      <c r="BI127" s="1854"/>
      <c r="BJ127" s="1855"/>
      <c r="BK127" s="1855"/>
      <c r="BL127" s="1855"/>
      <c r="BM127" s="1864"/>
      <c r="BN127" s="1864"/>
      <c r="BO127" s="1864"/>
      <c r="BP127" s="1886">
        <f>SUM(BP1:BP126)</f>
        <v>0</v>
      </c>
      <c r="BQ127" s="1852" t="s">
        <v>24</v>
      </c>
      <c r="BR127" s="1852" t="s">
        <v>1511</v>
      </c>
    </row>
    <row r="128" spans="61:70">
      <c r="BK128" s="1922" t="s">
        <v>1512</v>
      </c>
      <c r="BP128" s="1874"/>
    </row>
  </sheetData>
  <mergeCells count="9">
    <mergeCell ref="C6:AB6"/>
    <mergeCell ref="C40:AB40"/>
    <mergeCell ref="BI1:BO1"/>
    <mergeCell ref="BU1:CA1"/>
    <mergeCell ref="BI2:BO2"/>
    <mergeCell ref="BU2:CA2"/>
    <mergeCell ref="AP3:AW3"/>
    <mergeCell ref="BI3:BO3"/>
    <mergeCell ref="BU3:CA3"/>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26E1-A7B8-4077-BBB9-37F90B4B4A92}">
  <dimension ref="A1:S60"/>
  <sheetViews>
    <sheetView workbookViewId="0">
      <selection activeCell="J37" sqref="J37:J40"/>
    </sheetView>
  </sheetViews>
  <sheetFormatPr defaultRowHeight="12.75"/>
  <cols>
    <col min="1" max="1" width="1.42578125" style="1923" customWidth="1"/>
    <col min="2" max="2" width="14.140625" style="1923" customWidth="1"/>
    <col min="3" max="3" width="12" style="1923" customWidth="1"/>
    <col min="4" max="4" width="16.140625" style="1923" customWidth="1"/>
    <col min="5" max="5" width="10.7109375" style="1923" bestFit="1" customWidth="1"/>
    <col min="6" max="6" width="10.140625" style="1923" customWidth="1"/>
    <col min="7" max="7" width="11.42578125" style="1923" bestFit="1" customWidth="1"/>
    <col min="8" max="8" width="11.140625" style="1923" bestFit="1" customWidth="1"/>
    <col min="9" max="9" width="10.7109375" style="1923" bestFit="1" customWidth="1"/>
    <col min="10" max="10" width="26" style="1923" bestFit="1" customWidth="1"/>
    <col min="11" max="11" width="9.28515625" style="1923" bestFit="1" customWidth="1"/>
    <col min="12" max="12" width="10.140625" style="1923" customWidth="1"/>
    <col min="13" max="14" width="10.7109375" style="1923" bestFit="1" customWidth="1"/>
    <col min="15" max="16" width="11.42578125" style="1923" bestFit="1" customWidth="1"/>
    <col min="17" max="18" width="8" style="1923"/>
    <col min="19" max="19" width="5.85546875" style="1923" bestFit="1" customWidth="1"/>
  </cols>
  <sheetData>
    <row r="1" spans="2:16" ht="13.5" thickBot="1">
      <c r="B1" s="3994" t="s">
        <v>3438</v>
      </c>
    </row>
    <row r="2" spans="2:16" ht="15.75">
      <c r="B2" s="1987" t="s">
        <v>1550</v>
      </c>
      <c r="C2" s="1962"/>
      <c r="D2" s="1962"/>
      <c r="E2" s="1962"/>
      <c r="F2" s="1962"/>
      <c r="G2" s="1962"/>
      <c r="H2" s="1962"/>
      <c r="I2" s="1962"/>
      <c r="J2" s="1962"/>
      <c r="K2" s="1962"/>
      <c r="L2" s="1962"/>
      <c r="M2" s="1962"/>
      <c r="N2" s="1962"/>
      <c r="O2" s="1962"/>
      <c r="P2" s="1961"/>
    </row>
    <row r="3" spans="2:16" ht="15.75">
      <c r="B3" s="1986" t="s">
        <v>1549</v>
      </c>
      <c r="P3" s="1959"/>
    </row>
    <row r="4" spans="2:16" ht="15.75">
      <c r="B4" s="1986" t="s">
        <v>1060</v>
      </c>
      <c r="P4" s="1959"/>
    </row>
    <row r="5" spans="2:16">
      <c r="B5" s="1938"/>
      <c r="C5" s="1985"/>
      <c r="D5" s="1935" t="s">
        <v>24</v>
      </c>
      <c r="E5" s="1984" t="s">
        <v>852</v>
      </c>
      <c r="F5" s="1984" t="s">
        <v>851</v>
      </c>
      <c r="G5" s="1984" t="s">
        <v>850</v>
      </c>
      <c r="H5" s="1984" t="s">
        <v>848</v>
      </c>
      <c r="I5" s="1984" t="s">
        <v>846</v>
      </c>
      <c r="J5" s="1984" t="s">
        <v>844</v>
      </c>
      <c r="K5" s="1984" t="s">
        <v>863</v>
      </c>
      <c r="L5" s="1984" t="s">
        <v>861</v>
      </c>
      <c r="M5" s="1984" t="s">
        <v>857</v>
      </c>
      <c r="N5" s="1984" t="s">
        <v>855</v>
      </c>
      <c r="O5" s="1984" t="s">
        <v>854</v>
      </c>
      <c r="P5" s="1983" t="s">
        <v>853</v>
      </c>
    </row>
    <row r="6" spans="2:16">
      <c r="B6" s="1938" t="s">
        <v>1548</v>
      </c>
      <c r="P6" s="1959"/>
    </row>
    <row r="7" spans="2:16">
      <c r="B7" s="1938"/>
      <c r="P7" s="1959"/>
    </row>
    <row r="8" spans="2:16">
      <c r="B8" s="1938" t="s">
        <v>1532</v>
      </c>
      <c r="D8" s="1947">
        <f>SUM(E8:P8)</f>
        <v>44136</v>
      </c>
      <c r="E8" s="1982">
        <v>909515</v>
      </c>
      <c r="F8" s="1982">
        <v>34211</v>
      </c>
      <c r="G8" s="1982">
        <v>-1541263</v>
      </c>
      <c r="H8" s="1982">
        <v>-272311</v>
      </c>
      <c r="I8" s="1982">
        <v>2606108</v>
      </c>
      <c r="J8" s="1982">
        <v>898664</v>
      </c>
      <c r="K8" s="1982">
        <v>110462</v>
      </c>
      <c r="L8" s="1982">
        <v>224059</v>
      </c>
      <c r="M8" s="1982">
        <v>1283060</v>
      </c>
      <c r="N8" s="1982">
        <v>3270599</v>
      </c>
      <c r="O8" s="1982">
        <v>-4357812</v>
      </c>
      <c r="P8" s="1981">
        <v>-3121156</v>
      </c>
    </row>
    <row r="9" spans="2:16">
      <c r="B9" s="1938" t="s">
        <v>1531</v>
      </c>
      <c r="D9" s="1947">
        <f>SUM(E9:P9)</f>
        <v>119237</v>
      </c>
      <c r="E9" s="1982">
        <v>346219</v>
      </c>
      <c r="F9" s="1982">
        <v>12718</v>
      </c>
      <c r="G9" s="1982">
        <v>-587974</v>
      </c>
      <c r="H9" s="1982">
        <v>-108553</v>
      </c>
      <c r="I9" s="1982">
        <v>998930</v>
      </c>
      <c r="J9" s="1982">
        <v>358922</v>
      </c>
      <c r="K9" s="1982">
        <v>41771</v>
      </c>
      <c r="L9" s="1982">
        <v>85547</v>
      </c>
      <c r="M9" s="1982">
        <v>485364</v>
      </c>
      <c r="N9" s="1982">
        <v>1207065</v>
      </c>
      <c r="O9" s="1982">
        <v>-1572298</v>
      </c>
      <c r="P9" s="1981">
        <v>-1148474</v>
      </c>
    </row>
    <row r="10" spans="2:16">
      <c r="B10" s="1938"/>
      <c r="P10" s="1959"/>
    </row>
    <row r="11" spans="2:16">
      <c r="B11" s="1938" t="s">
        <v>1547</v>
      </c>
      <c r="P11" s="1959"/>
    </row>
    <row r="12" spans="2:16">
      <c r="B12" s="1938" t="s">
        <v>1532</v>
      </c>
      <c r="D12" s="1971">
        <f>SUM(E12:P12)</f>
        <v>-24847.124076129869</v>
      </c>
      <c r="E12" s="1971">
        <f t="shared" ref="E12:P12" si="0">E8*E35</f>
        <v>940938.74324999982</v>
      </c>
      <c r="F12" s="1971">
        <f t="shared" si="0"/>
        <v>35392.990049999993</v>
      </c>
      <c r="G12" s="1971">
        <f t="shared" si="0"/>
        <v>-1594513.6366499998</v>
      </c>
      <c r="H12" s="1971">
        <f t="shared" si="0"/>
        <v>-281719.34504999995</v>
      </c>
      <c r="I12" s="1971">
        <f t="shared" si="0"/>
        <v>2696149.0313999997</v>
      </c>
      <c r="J12" s="1971">
        <f t="shared" si="0"/>
        <v>929712.84119999991</v>
      </c>
      <c r="K12" s="1971">
        <f t="shared" si="0"/>
        <v>106419.09080000001</v>
      </c>
      <c r="L12" s="1971">
        <f t="shared" si="0"/>
        <v>215858.4406</v>
      </c>
      <c r="M12" s="1971">
        <f t="shared" si="0"/>
        <v>1236100.004</v>
      </c>
      <c r="N12" s="1971">
        <f t="shared" si="0"/>
        <v>3150895.0766000003</v>
      </c>
      <c r="O12" s="1971">
        <f t="shared" si="0"/>
        <v>-4318722.4263599999</v>
      </c>
      <c r="P12" s="1970">
        <f t="shared" si="0"/>
        <v>-3141357.9339161292</v>
      </c>
    </row>
    <row r="13" spans="2:16" ht="13.5" thickBot="1">
      <c r="B13" s="1938" t="s">
        <v>1531</v>
      </c>
      <c r="D13" s="1971">
        <f>SUM(E13:P13)</f>
        <v>52878.472164193983</v>
      </c>
      <c r="E13" s="1971">
        <f t="shared" ref="E13:P13" si="1">E9*E36</f>
        <v>262530.94332000002</v>
      </c>
      <c r="F13" s="1971">
        <f t="shared" si="1"/>
        <v>9643.8050400000011</v>
      </c>
      <c r="G13" s="1971">
        <f t="shared" si="1"/>
        <v>-445848.92472000001</v>
      </c>
      <c r="H13" s="1971">
        <f t="shared" si="1"/>
        <v>-82313.568840000007</v>
      </c>
      <c r="I13" s="1971">
        <f t="shared" si="1"/>
        <v>757468.64040000003</v>
      </c>
      <c r="J13" s="1971">
        <f t="shared" si="1"/>
        <v>272163.37416000001</v>
      </c>
      <c r="K13" s="1971">
        <f t="shared" si="1"/>
        <v>29897.593249999998</v>
      </c>
      <c r="L13" s="1971">
        <f t="shared" si="1"/>
        <v>61230.265249999997</v>
      </c>
      <c r="M13" s="1971">
        <f t="shared" si="1"/>
        <v>347399.283</v>
      </c>
      <c r="N13" s="1971">
        <f t="shared" si="1"/>
        <v>863956.77375000005</v>
      </c>
      <c r="O13" s="1971">
        <f t="shared" si="1"/>
        <v>-1165151.4328999999</v>
      </c>
      <c r="P13" s="1970">
        <f t="shared" si="1"/>
        <v>-858098.27954580646</v>
      </c>
    </row>
    <row r="14" spans="2:16" ht="14.25" thickTop="1" thickBot="1">
      <c r="B14" s="1938" t="s">
        <v>1546</v>
      </c>
      <c r="D14" s="1967">
        <f t="shared" ref="D14:P14" si="2">SUM(D12:D13)</f>
        <v>28031.348088064115</v>
      </c>
      <c r="E14" s="1979">
        <f t="shared" si="2"/>
        <v>1203469.6865699999</v>
      </c>
      <c r="F14" s="1979">
        <f t="shared" si="2"/>
        <v>45036.795089999992</v>
      </c>
      <c r="G14" s="1979">
        <f t="shared" si="2"/>
        <v>-2040362.5613699998</v>
      </c>
      <c r="H14" s="1979">
        <f t="shared" si="2"/>
        <v>-364032.91388999997</v>
      </c>
      <c r="I14" s="1979">
        <f t="shared" si="2"/>
        <v>3453617.6717999997</v>
      </c>
      <c r="J14" s="1979">
        <f t="shared" si="2"/>
        <v>1201876.2153599998</v>
      </c>
      <c r="K14" s="1979">
        <f t="shared" si="2"/>
        <v>136316.68405000001</v>
      </c>
      <c r="L14" s="1979">
        <f t="shared" si="2"/>
        <v>277088.70585000003</v>
      </c>
      <c r="M14" s="1979">
        <f t="shared" si="2"/>
        <v>1583499.287</v>
      </c>
      <c r="N14" s="1979">
        <f t="shared" si="2"/>
        <v>4014851.8503500004</v>
      </c>
      <c r="O14" s="1979">
        <f t="shared" si="2"/>
        <v>-5483873.8592600003</v>
      </c>
      <c r="P14" s="1978">
        <f t="shared" si="2"/>
        <v>-3999456.2134619355</v>
      </c>
    </row>
    <row r="15" spans="2:16" ht="13.5" thickTop="1">
      <c r="B15" s="1938"/>
      <c r="D15" s="1973"/>
      <c r="E15" s="1971"/>
      <c r="F15" s="1971"/>
      <c r="G15" s="1971"/>
      <c r="H15" s="1971"/>
      <c r="I15" s="1971"/>
      <c r="J15" s="1971"/>
      <c r="K15" s="1971"/>
      <c r="L15" s="1971"/>
      <c r="M15" s="1971"/>
      <c r="N15" s="1971"/>
      <c r="O15" s="1971"/>
      <c r="P15" s="1970"/>
    </row>
    <row r="16" spans="2:16">
      <c r="B16" s="1938" t="s">
        <v>1545</v>
      </c>
      <c r="D16" s="1973"/>
      <c r="E16" s="1971"/>
      <c r="F16" s="1971"/>
      <c r="G16" s="1971"/>
      <c r="H16" s="1971"/>
      <c r="I16" s="1971"/>
      <c r="J16" s="1971"/>
      <c r="K16" s="1971"/>
      <c r="L16" s="1971"/>
      <c r="M16" s="1971"/>
      <c r="N16" s="1971"/>
      <c r="O16" s="1971"/>
      <c r="P16" s="1970"/>
    </row>
    <row r="17" spans="2:16">
      <c r="B17" s="1938" t="s">
        <v>1532</v>
      </c>
      <c r="D17" s="1971">
        <f>SUM(E17:P17)</f>
        <v>89220.883643870708</v>
      </c>
      <c r="E17" s="1973">
        <f t="shared" ref="E17:P17" si="3">E8*E38</f>
        <v>508346.1238</v>
      </c>
      <c r="F17" s="1973">
        <f t="shared" si="3"/>
        <v>19121.21212</v>
      </c>
      <c r="G17" s="1973">
        <f t="shared" si="3"/>
        <v>-861442.71595999994</v>
      </c>
      <c r="H17" s="1973">
        <f t="shared" si="3"/>
        <v>-152200.06412</v>
      </c>
      <c r="I17" s="1973">
        <f t="shared" si="3"/>
        <v>1456605.8833599999</v>
      </c>
      <c r="J17" s="1973">
        <f t="shared" si="3"/>
        <v>502281.28287999996</v>
      </c>
      <c r="K17" s="1973">
        <f t="shared" si="3"/>
        <v>56932.114799999996</v>
      </c>
      <c r="L17" s="1973">
        <f t="shared" si="3"/>
        <v>115480.00859999999</v>
      </c>
      <c r="M17" s="1973">
        <f t="shared" si="3"/>
        <v>661289.12399999995</v>
      </c>
      <c r="N17" s="1973">
        <f t="shared" si="3"/>
        <v>1685666.7245999998</v>
      </c>
      <c r="O17" s="1973">
        <f t="shared" si="3"/>
        <v>-2246016.3048</v>
      </c>
      <c r="P17" s="1980">
        <f t="shared" si="3"/>
        <v>-1656842.5056361291</v>
      </c>
    </row>
    <row r="18" spans="2:16">
      <c r="B18" s="1938" t="s">
        <v>1531</v>
      </c>
      <c r="D18" s="1971">
        <f>SUM(E18:P18)</f>
        <v>43283.279434193566</v>
      </c>
      <c r="E18" s="1973">
        <f t="shared" ref="E18:P18" si="4">E9*E39</f>
        <v>100988.62011</v>
      </c>
      <c r="F18" s="1973">
        <f t="shared" si="4"/>
        <v>3709.71342</v>
      </c>
      <c r="G18" s="1973">
        <f t="shared" si="4"/>
        <v>-171506.13605999999</v>
      </c>
      <c r="H18" s="1973">
        <f t="shared" si="4"/>
        <v>-31663.824570000001</v>
      </c>
      <c r="I18" s="1973">
        <f t="shared" si="4"/>
        <v>291377.89169999998</v>
      </c>
      <c r="J18" s="1973">
        <f t="shared" si="4"/>
        <v>104693.95818</v>
      </c>
      <c r="K18" s="1973">
        <f t="shared" si="4"/>
        <v>11464.468659999999</v>
      </c>
      <c r="L18" s="1973">
        <f t="shared" si="4"/>
        <v>23479.229619999998</v>
      </c>
      <c r="M18" s="1973">
        <f t="shared" si="4"/>
        <v>133213.00344</v>
      </c>
      <c r="N18" s="1973">
        <f t="shared" si="4"/>
        <v>331291.05989999999</v>
      </c>
      <c r="O18" s="1973">
        <f t="shared" si="4"/>
        <v>-431532.90907999995</v>
      </c>
      <c r="P18" s="1980">
        <f t="shared" si="4"/>
        <v>-322231.79588580644</v>
      </c>
    </row>
    <row r="19" spans="2:16">
      <c r="B19" s="1938" t="s">
        <v>1541</v>
      </c>
      <c r="D19" s="1972">
        <f t="shared" ref="D19:P19" si="5">SUM(D17:D18)</f>
        <v>132504.16307806427</v>
      </c>
      <c r="E19" s="1979">
        <f t="shared" si="5"/>
        <v>609334.74390999996</v>
      </c>
      <c r="F19" s="1979">
        <f t="shared" si="5"/>
        <v>22830.92554</v>
      </c>
      <c r="G19" s="1979">
        <f t="shared" si="5"/>
        <v>-1032948.8520199999</v>
      </c>
      <c r="H19" s="1979">
        <f t="shared" si="5"/>
        <v>-183863.88868999999</v>
      </c>
      <c r="I19" s="1979">
        <f t="shared" si="5"/>
        <v>1747983.7750599999</v>
      </c>
      <c r="J19" s="1979">
        <f t="shared" si="5"/>
        <v>606975.24105999991</v>
      </c>
      <c r="K19" s="1979">
        <f t="shared" si="5"/>
        <v>68396.583459999994</v>
      </c>
      <c r="L19" s="1979">
        <f t="shared" si="5"/>
        <v>138959.23822</v>
      </c>
      <c r="M19" s="1979">
        <f t="shared" si="5"/>
        <v>794502.12743999995</v>
      </c>
      <c r="N19" s="1979">
        <f t="shared" si="5"/>
        <v>2016957.7844999998</v>
      </c>
      <c r="O19" s="1979">
        <f t="shared" si="5"/>
        <v>-2677549.2138800002</v>
      </c>
      <c r="P19" s="1978">
        <f t="shared" si="5"/>
        <v>-1979074.3015219355</v>
      </c>
    </row>
    <row r="20" spans="2:16" ht="13.5" thickBot="1">
      <c r="B20" s="1938" t="s">
        <v>1544</v>
      </c>
      <c r="D20" s="1966">
        <f>-SUMPRODUCT(E19:P19,E20:P20)</f>
        <v>-5821.0403881824168</v>
      </c>
      <c r="E20" s="1977">
        <f>$L$60</f>
        <v>4.3930999999999998E-2</v>
      </c>
      <c r="F20" s="1976">
        <f t="shared" ref="F20:O20" si="6">E20</f>
        <v>4.3930999999999998E-2</v>
      </c>
      <c r="G20" s="1976">
        <f t="shared" si="6"/>
        <v>4.3930999999999998E-2</v>
      </c>
      <c r="H20" s="1976">
        <f t="shared" si="6"/>
        <v>4.3930999999999998E-2</v>
      </c>
      <c r="I20" s="1976">
        <f t="shared" si="6"/>
        <v>4.3930999999999998E-2</v>
      </c>
      <c r="J20" s="1976">
        <f t="shared" si="6"/>
        <v>4.3930999999999998E-2</v>
      </c>
      <c r="K20" s="1976">
        <f t="shared" si="6"/>
        <v>4.3930999999999998E-2</v>
      </c>
      <c r="L20" s="1976">
        <f t="shared" si="6"/>
        <v>4.3930999999999998E-2</v>
      </c>
      <c r="M20" s="1976">
        <f t="shared" si="6"/>
        <v>4.3930999999999998E-2</v>
      </c>
      <c r="N20" s="1976">
        <f t="shared" si="6"/>
        <v>4.3930999999999998E-2</v>
      </c>
      <c r="O20" s="1976">
        <f t="shared" si="6"/>
        <v>4.3930999999999998E-2</v>
      </c>
      <c r="P20" s="1975">
        <f>$L$60</f>
        <v>4.3930999999999998E-2</v>
      </c>
    </row>
    <row r="21" spans="2:16" ht="14.25" thickTop="1" thickBot="1">
      <c r="B21" s="1938" t="s">
        <v>1543</v>
      </c>
      <c r="D21" s="1974">
        <f>-(D19+D20)</f>
        <v>-126683.12268988186</v>
      </c>
      <c r="E21" s="1965"/>
      <c r="F21" s="1965"/>
      <c r="G21" s="1965"/>
      <c r="H21" s="1965"/>
      <c r="I21" s="1965"/>
      <c r="J21" s="1965"/>
      <c r="K21" s="1965"/>
      <c r="L21" s="1965"/>
      <c r="M21" s="1971"/>
      <c r="N21" s="1971"/>
      <c r="O21" s="1971"/>
      <c r="P21" s="1970"/>
    </row>
    <row r="22" spans="2:16" ht="13.5" thickTop="1">
      <c r="B22" s="1938" t="s">
        <v>1542</v>
      </c>
      <c r="D22" s="1973"/>
      <c r="E22" s="1971"/>
      <c r="F22" s="1971"/>
      <c r="G22" s="1971"/>
      <c r="H22" s="1971"/>
      <c r="I22" s="1971"/>
      <c r="J22" s="1971"/>
      <c r="K22" s="1971"/>
      <c r="L22" s="1971"/>
      <c r="M22" s="1971"/>
      <c r="N22" s="1971"/>
      <c r="O22" s="1971"/>
      <c r="P22" s="1970"/>
    </row>
    <row r="23" spans="2:16">
      <c r="B23" s="1938" t="s">
        <v>1532</v>
      </c>
      <c r="D23" s="1971">
        <f>SUM(E23:P23)</f>
        <v>-114068.00771999964</v>
      </c>
      <c r="E23" s="1971">
        <f t="shared" ref="E23:P23" si="7">E12-E17</f>
        <v>432592.61944999982</v>
      </c>
      <c r="F23" s="1971">
        <f t="shared" si="7"/>
        <v>16271.777929999993</v>
      </c>
      <c r="G23" s="1971">
        <f t="shared" si="7"/>
        <v>-733070.92068999982</v>
      </c>
      <c r="H23" s="1971">
        <f t="shared" si="7"/>
        <v>-129519.28092999995</v>
      </c>
      <c r="I23" s="1971">
        <f t="shared" si="7"/>
        <v>1239543.1480399999</v>
      </c>
      <c r="J23" s="1971">
        <f t="shared" si="7"/>
        <v>427431.55831999995</v>
      </c>
      <c r="K23" s="1971">
        <f t="shared" si="7"/>
        <v>49486.97600000001</v>
      </c>
      <c r="L23" s="1971">
        <f t="shared" si="7"/>
        <v>100378.43200000002</v>
      </c>
      <c r="M23" s="1971">
        <f t="shared" si="7"/>
        <v>574810.88</v>
      </c>
      <c r="N23" s="1971">
        <f t="shared" si="7"/>
        <v>1465228.3520000004</v>
      </c>
      <c r="O23" s="1971">
        <f t="shared" si="7"/>
        <v>-2072706.1215599999</v>
      </c>
      <c r="P23" s="1970">
        <f t="shared" si="7"/>
        <v>-1484515.4282800001</v>
      </c>
    </row>
    <row r="24" spans="2:16">
      <c r="B24" s="1938" t="s">
        <v>1531</v>
      </c>
      <c r="D24" s="1971">
        <f>SUM(E24:P24)</f>
        <v>9595.1927299998933</v>
      </c>
      <c r="E24" s="1971">
        <f t="shared" ref="E24:P24" si="8">E13-E18</f>
        <v>161542.32321</v>
      </c>
      <c r="F24" s="1971">
        <f t="shared" si="8"/>
        <v>5934.0916200000011</v>
      </c>
      <c r="G24" s="1971">
        <f t="shared" si="8"/>
        <v>-274342.78866000002</v>
      </c>
      <c r="H24" s="1971">
        <f t="shared" si="8"/>
        <v>-50649.74427000001</v>
      </c>
      <c r="I24" s="1971">
        <f t="shared" si="8"/>
        <v>466090.74870000005</v>
      </c>
      <c r="J24" s="1971">
        <f t="shared" si="8"/>
        <v>167469.41597999999</v>
      </c>
      <c r="K24" s="1971">
        <f t="shared" si="8"/>
        <v>18433.124589999999</v>
      </c>
      <c r="L24" s="1971">
        <f t="shared" si="8"/>
        <v>37751.035629999998</v>
      </c>
      <c r="M24" s="1971">
        <f t="shared" si="8"/>
        <v>214186.27956</v>
      </c>
      <c r="N24" s="1971">
        <f t="shared" si="8"/>
        <v>532665.71385000006</v>
      </c>
      <c r="O24" s="1971">
        <f t="shared" si="8"/>
        <v>-733618.52382</v>
      </c>
      <c r="P24" s="1970">
        <f t="shared" si="8"/>
        <v>-535866.48366000003</v>
      </c>
    </row>
    <row r="25" spans="2:16">
      <c r="B25" s="1938" t="s">
        <v>1541</v>
      </c>
      <c r="D25" s="1972">
        <f t="shared" ref="D25:P25" si="9">SUM(D23:D24)</f>
        <v>-104472.81498999975</v>
      </c>
      <c r="E25" s="1969">
        <f t="shared" si="9"/>
        <v>594134.94265999983</v>
      </c>
      <c r="F25" s="1969">
        <f t="shared" si="9"/>
        <v>22205.869549999996</v>
      </c>
      <c r="G25" s="1969">
        <f t="shared" si="9"/>
        <v>-1007413.7093499999</v>
      </c>
      <c r="H25" s="1969">
        <f t="shared" si="9"/>
        <v>-180169.02519999997</v>
      </c>
      <c r="I25" s="1969">
        <f t="shared" si="9"/>
        <v>1705633.89674</v>
      </c>
      <c r="J25" s="1969">
        <f t="shared" si="9"/>
        <v>594900.97429999989</v>
      </c>
      <c r="K25" s="1969">
        <f t="shared" si="9"/>
        <v>67920.100590000016</v>
      </c>
      <c r="L25" s="1969">
        <f t="shared" si="9"/>
        <v>138129.46763000003</v>
      </c>
      <c r="M25" s="1969">
        <f t="shared" si="9"/>
        <v>788997.15956000006</v>
      </c>
      <c r="N25" s="1969">
        <f t="shared" si="9"/>
        <v>1997894.0658500004</v>
      </c>
      <c r="O25" s="1969">
        <f t="shared" si="9"/>
        <v>-2806324.6453799997</v>
      </c>
      <c r="P25" s="1968">
        <f t="shared" si="9"/>
        <v>-2020381.91194</v>
      </c>
    </row>
    <row r="26" spans="2:16">
      <c r="B26" s="1938"/>
      <c r="P26" s="1959"/>
    </row>
    <row r="27" spans="2:16">
      <c r="B27" s="1938" t="s">
        <v>1540</v>
      </c>
      <c r="P27" s="1959"/>
    </row>
    <row r="28" spans="2:16">
      <c r="B28" s="1938" t="s">
        <v>1532</v>
      </c>
      <c r="D28" s="1971">
        <f>SUM(E28:P28)</f>
        <v>-110048.53336000023</v>
      </c>
      <c r="E28" s="1971">
        <f t="shared" ref="E28:P28" si="10">E8*E41</f>
        <v>413683.8026</v>
      </c>
      <c r="F28" s="1971">
        <f t="shared" si="10"/>
        <v>15560.53124</v>
      </c>
      <c r="G28" s="1971">
        <f t="shared" si="10"/>
        <v>-701028.06292000005</v>
      </c>
      <c r="H28" s="1971">
        <f t="shared" si="10"/>
        <v>-123857.93524000001</v>
      </c>
      <c r="I28" s="1971">
        <f t="shared" si="10"/>
        <v>1185362.1627200001</v>
      </c>
      <c r="J28" s="1971">
        <f t="shared" si="10"/>
        <v>408748.33376000001</v>
      </c>
      <c r="K28" s="1971">
        <f t="shared" si="10"/>
        <v>47302.037640000002</v>
      </c>
      <c r="L28" s="1971">
        <f t="shared" si="10"/>
        <v>95946.544979999991</v>
      </c>
      <c r="M28" s="1971">
        <f t="shared" si="10"/>
        <v>549431.95319999999</v>
      </c>
      <c r="N28" s="1971">
        <f t="shared" si="10"/>
        <v>1400535.9037800001</v>
      </c>
      <c r="O28" s="1971">
        <f t="shared" si="10"/>
        <v>-1982107.2100800001</v>
      </c>
      <c r="P28" s="1970">
        <f t="shared" si="10"/>
        <v>-1419626.59504</v>
      </c>
    </row>
    <row r="29" spans="2:16" ht="13.5" thickBot="1">
      <c r="B29" s="1938" t="s">
        <v>1531</v>
      </c>
      <c r="D29" s="1971">
        <f>SUM(E29:P29)</f>
        <v>53202.357029999897</v>
      </c>
      <c r="E29" s="1971">
        <f t="shared" ref="E29:P29" si="11">E9*E42</f>
        <v>154479.45561</v>
      </c>
      <c r="F29" s="1971">
        <f t="shared" si="11"/>
        <v>5674.6444199999996</v>
      </c>
      <c r="G29" s="1971">
        <f t="shared" si="11"/>
        <v>-262348.11906</v>
      </c>
      <c r="H29" s="1971">
        <f t="shared" si="11"/>
        <v>-48435.263070000001</v>
      </c>
      <c r="I29" s="1971">
        <f t="shared" si="11"/>
        <v>445712.57669999998</v>
      </c>
      <c r="J29" s="1971">
        <f t="shared" si="11"/>
        <v>160147.40717999998</v>
      </c>
      <c r="K29" s="1971">
        <f t="shared" si="11"/>
        <v>18637.802489999998</v>
      </c>
      <c r="L29" s="1971">
        <f t="shared" si="11"/>
        <v>38170.215929999998</v>
      </c>
      <c r="M29" s="1971">
        <f t="shared" si="11"/>
        <v>216564.56315999999</v>
      </c>
      <c r="N29" s="1971">
        <f t="shared" si="11"/>
        <v>538580.33234999992</v>
      </c>
      <c r="O29" s="1971">
        <f t="shared" si="11"/>
        <v>-701543.64461999992</v>
      </c>
      <c r="P29" s="1970">
        <f t="shared" si="11"/>
        <v>-512437.61405999999</v>
      </c>
    </row>
    <row r="30" spans="2:16" ht="14.25" thickTop="1" thickBot="1">
      <c r="B30" s="1938" t="s">
        <v>1539</v>
      </c>
      <c r="D30" s="1967">
        <f t="shared" ref="D30:P30" si="12">SUM(D28:D29)</f>
        <v>-56846.176330000337</v>
      </c>
      <c r="E30" s="1969">
        <f t="shared" si="12"/>
        <v>568163.25821</v>
      </c>
      <c r="F30" s="1969">
        <f t="shared" si="12"/>
        <v>21235.175660000001</v>
      </c>
      <c r="G30" s="1969">
        <f t="shared" si="12"/>
        <v>-963376.18198000011</v>
      </c>
      <c r="H30" s="1969">
        <f t="shared" si="12"/>
        <v>-172293.19831000001</v>
      </c>
      <c r="I30" s="1969">
        <f t="shared" si="12"/>
        <v>1631074.73942</v>
      </c>
      <c r="J30" s="1969">
        <f t="shared" si="12"/>
        <v>568895.74093999993</v>
      </c>
      <c r="K30" s="1969">
        <f t="shared" si="12"/>
        <v>65939.840129999997</v>
      </c>
      <c r="L30" s="1969">
        <f t="shared" si="12"/>
        <v>134116.76090999998</v>
      </c>
      <c r="M30" s="1969">
        <f t="shared" si="12"/>
        <v>765996.51636000001</v>
      </c>
      <c r="N30" s="1969">
        <f t="shared" si="12"/>
        <v>1939116.2361300001</v>
      </c>
      <c r="O30" s="1969">
        <f t="shared" si="12"/>
        <v>-2683650.8547</v>
      </c>
      <c r="P30" s="1968">
        <f t="shared" si="12"/>
        <v>-1932064.2091000001</v>
      </c>
    </row>
    <row r="31" spans="2:16" ht="14.25" thickTop="1" thickBot="1">
      <c r="B31" s="1938"/>
      <c r="C31" s="1935" t="s">
        <v>1538</v>
      </c>
      <c r="D31" s="1967">
        <f>SUM(E31:P31)</f>
        <v>66.05397999999991</v>
      </c>
      <c r="E31" s="1965">
        <f t="shared" ref="E31:P31" si="13">E8*$L$49+E9*$L$59</f>
        <v>559.03526999999997</v>
      </c>
      <c r="F31" s="1965">
        <f t="shared" si="13"/>
        <v>20.912009999999999</v>
      </c>
      <c r="G31" s="1965">
        <f t="shared" si="13"/>
        <v>-947.82372999999995</v>
      </c>
      <c r="H31" s="1965">
        <f t="shared" si="13"/>
        <v>-169.23631</v>
      </c>
      <c r="I31" s="1965">
        <f t="shared" si="13"/>
        <v>1604.46416</v>
      </c>
      <c r="J31" s="1965">
        <f t="shared" si="13"/>
        <v>558.76243999999997</v>
      </c>
      <c r="K31" s="1965">
        <f t="shared" si="13"/>
        <v>67.790120000000002</v>
      </c>
      <c r="L31" s="1965">
        <f t="shared" si="13"/>
        <v>137.81558999999999</v>
      </c>
      <c r="M31" s="1965">
        <f t="shared" si="13"/>
        <v>787.47651999999994</v>
      </c>
      <c r="N31" s="1965">
        <f t="shared" si="13"/>
        <v>1995.8662300000001</v>
      </c>
      <c r="O31" s="1965">
        <f t="shared" si="13"/>
        <v>-2645.6448799999998</v>
      </c>
      <c r="P31" s="1964">
        <f t="shared" si="13"/>
        <v>-1903.3634399999999</v>
      </c>
    </row>
    <row r="32" spans="2:16" ht="14.25" thickTop="1" thickBot="1">
      <c r="B32" s="1938"/>
      <c r="D32" s="1966"/>
      <c r="E32" s="1965"/>
      <c r="F32" s="1965"/>
      <c r="G32" s="1965"/>
      <c r="H32" s="1965"/>
      <c r="I32" s="1965"/>
      <c r="J32" s="1965"/>
      <c r="K32" s="1965"/>
      <c r="L32" s="1965"/>
      <c r="M32" s="1965"/>
      <c r="N32" s="1965"/>
      <c r="O32" s="1965"/>
      <c r="P32" s="1964"/>
    </row>
    <row r="33" spans="2:16">
      <c r="B33" s="1963" t="s">
        <v>1537</v>
      </c>
      <c r="C33" s="1962"/>
      <c r="D33" s="1962"/>
      <c r="E33" s="1962"/>
      <c r="F33" s="1962"/>
      <c r="G33" s="1962"/>
      <c r="H33" s="1962"/>
      <c r="I33" s="1962"/>
      <c r="J33" s="1962"/>
      <c r="K33" s="1962"/>
      <c r="L33" s="1962"/>
      <c r="M33" s="1962"/>
      <c r="N33" s="1962"/>
      <c r="O33" s="1962"/>
      <c r="P33" s="1961"/>
    </row>
    <row r="34" spans="2:16">
      <c r="B34" s="1938" t="s">
        <v>1536</v>
      </c>
      <c r="P34" s="1959"/>
    </row>
    <row r="35" spans="2:16">
      <c r="B35" s="1938" t="s">
        <v>1535</v>
      </c>
      <c r="D35" s="1958">
        <f>AVERAGE(E35:P35)</f>
        <v>1.00486688172043</v>
      </c>
      <c r="E35" s="1934">
        <f>$L$46+$L$47</f>
        <v>1.0345499999999999</v>
      </c>
      <c r="F35" s="1958">
        <f t="shared" ref="F35:J36" si="14">E35</f>
        <v>1.0345499999999999</v>
      </c>
      <c r="G35" s="1958">
        <f t="shared" si="14"/>
        <v>1.0345499999999999</v>
      </c>
      <c r="H35" s="1958">
        <f t="shared" si="14"/>
        <v>1.0345499999999999</v>
      </c>
      <c r="I35" s="1958">
        <f t="shared" si="14"/>
        <v>1.0345499999999999</v>
      </c>
      <c r="J35" s="1958">
        <f t="shared" si="14"/>
        <v>1.0345499999999999</v>
      </c>
      <c r="K35" s="1934">
        <f>$O$46+$O$47</f>
        <v>0.96340000000000003</v>
      </c>
      <c r="L35" s="1958">
        <f t="shared" ref="L35:N36" si="15">K35</f>
        <v>0.96340000000000003</v>
      </c>
      <c r="M35" s="1958">
        <f t="shared" si="15"/>
        <v>0.96340000000000003</v>
      </c>
      <c r="N35" s="1958">
        <f t="shared" si="15"/>
        <v>0.96340000000000003</v>
      </c>
      <c r="O35" s="1934">
        <f>$N$46+$N$47</f>
        <v>0.99102999999999997</v>
      </c>
      <c r="P35" s="1954">
        <f>(O35/31*20)+(E35/31*11)</f>
        <v>1.0064725806451613</v>
      </c>
    </row>
    <row r="36" spans="2:16">
      <c r="B36" s="1938" t="s">
        <v>1534</v>
      </c>
      <c r="D36" s="1958">
        <f>AVERAGE(E36:P36)</f>
        <v>0.74174115591397849</v>
      </c>
      <c r="E36" s="1934">
        <f>$L$56+$L$57</f>
        <v>0.75828000000000007</v>
      </c>
      <c r="F36" s="1958">
        <f t="shared" si="14"/>
        <v>0.75828000000000007</v>
      </c>
      <c r="G36" s="1958">
        <f t="shared" si="14"/>
        <v>0.75828000000000007</v>
      </c>
      <c r="H36" s="1958">
        <f t="shared" si="14"/>
        <v>0.75828000000000007</v>
      </c>
      <c r="I36" s="1958">
        <f t="shared" si="14"/>
        <v>0.75828000000000007</v>
      </c>
      <c r="J36" s="1958">
        <f t="shared" si="14"/>
        <v>0.75828000000000007</v>
      </c>
      <c r="K36" s="1934">
        <f>$O$56+$O$57</f>
        <v>0.71575</v>
      </c>
      <c r="L36" s="1958">
        <f t="shared" si="15"/>
        <v>0.71575</v>
      </c>
      <c r="M36" s="1958">
        <f t="shared" si="15"/>
        <v>0.71575</v>
      </c>
      <c r="N36" s="1958">
        <f t="shared" si="15"/>
        <v>0.71575</v>
      </c>
      <c r="O36" s="1934">
        <f>$N$56+$N$57</f>
        <v>0.74104999999999999</v>
      </c>
      <c r="P36" s="1954">
        <f>(O36/31*20)+(E36/31*11)</f>
        <v>0.74716387096774195</v>
      </c>
    </row>
    <row r="37" spans="2:16">
      <c r="B37" s="1938" t="s">
        <v>1533</v>
      </c>
      <c r="D37" s="1958"/>
      <c r="E37" s="1960"/>
      <c r="M37" s="1960"/>
      <c r="O37" s="1960"/>
      <c r="P37" s="1959"/>
    </row>
    <row r="38" spans="2:16">
      <c r="B38" s="1938" t="s">
        <v>1532</v>
      </c>
      <c r="D38" s="1958">
        <f>AVERAGE(E38:P38)</f>
        <v>0.53844688172042998</v>
      </c>
      <c r="E38" s="1934">
        <f>$L$46</f>
        <v>0.55891999999999997</v>
      </c>
      <c r="F38" s="1958">
        <f t="shared" ref="F38:J39" si="16">E38</f>
        <v>0.55891999999999997</v>
      </c>
      <c r="G38" s="1958">
        <f t="shared" si="16"/>
        <v>0.55891999999999997</v>
      </c>
      <c r="H38" s="1958">
        <f t="shared" si="16"/>
        <v>0.55891999999999997</v>
      </c>
      <c r="I38" s="1958">
        <f t="shared" si="16"/>
        <v>0.55891999999999997</v>
      </c>
      <c r="J38" s="1958">
        <f t="shared" si="16"/>
        <v>0.55891999999999997</v>
      </c>
      <c r="K38" s="1934">
        <f>$O$46</f>
        <v>0.51539999999999997</v>
      </c>
      <c r="L38" s="1958">
        <f t="shared" ref="L38:N39" si="17">K38</f>
        <v>0.51539999999999997</v>
      </c>
      <c r="M38" s="1958">
        <f t="shared" si="17"/>
        <v>0.51539999999999997</v>
      </c>
      <c r="N38" s="1958">
        <f t="shared" si="17"/>
        <v>0.51539999999999997</v>
      </c>
      <c r="O38" s="1934">
        <f>$N$46</f>
        <v>0.51539999999999997</v>
      </c>
      <c r="P38" s="1954">
        <f>(O38/31*20)+(E38/31*11)</f>
        <v>0.53084258064516132</v>
      </c>
    </row>
    <row r="39" spans="2:16">
      <c r="B39" s="1938" t="s">
        <v>1531</v>
      </c>
      <c r="D39" s="1958">
        <f>AVERAGE(E39:P39)</f>
        <v>0.28358448924731178</v>
      </c>
      <c r="E39" s="1934">
        <f>$L$56</f>
        <v>0.29169</v>
      </c>
      <c r="F39" s="1958">
        <f t="shared" si="16"/>
        <v>0.29169</v>
      </c>
      <c r="G39" s="1958">
        <f t="shared" si="16"/>
        <v>0.29169</v>
      </c>
      <c r="H39" s="1958">
        <f t="shared" si="16"/>
        <v>0.29169</v>
      </c>
      <c r="I39" s="1958">
        <f t="shared" si="16"/>
        <v>0.29169</v>
      </c>
      <c r="J39" s="1958">
        <f t="shared" si="16"/>
        <v>0.29169</v>
      </c>
      <c r="K39" s="1934">
        <f>$O$56</f>
        <v>0.27445999999999998</v>
      </c>
      <c r="L39" s="1958">
        <f t="shared" si="17"/>
        <v>0.27445999999999998</v>
      </c>
      <c r="M39" s="1958">
        <f t="shared" si="17"/>
        <v>0.27445999999999998</v>
      </c>
      <c r="N39" s="1958">
        <f t="shared" si="17"/>
        <v>0.27445999999999998</v>
      </c>
      <c r="O39" s="1934">
        <f>$N$56</f>
        <v>0.27445999999999998</v>
      </c>
      <c r="P39" s="1954">
        <f>(O39/31*20)+(E39/31*11)</f>
        <v>0.28057387096774195</v>
      </c>
    </row>
    <row r="40" spans="2:16">
      <c r="B40" s="1938" t="s">
        <v>1530</v>
      </c>
      <c r="P40" s="1959"/>
    </row>
    <row r="41" spans="2:16">
      <c r="B41" s="1938" t="s">
        <v>1529</v>
      </c>
      <c r="D41" s="1958">
        <f>AVERAGE(E41:P41)</f>
        <v>0.44596666666666662</v>
      </c>
      <c r="E41" s="1949">
        <f>$L$48</f>
        <v>0.45484000000000002</v>
      </c>
      <c r="F41" s="1958">
        <f t="shared" ref="F41:J42" si="18">E41</f>
        <v>0.45484000000000002</v>
      </c>
      <c r="G41" s="1958">
        <f t="shared" si="18"/>
        <v>0.45484000000000002</v>
      </c>
      <c r="H41" s="1958">
        <f t="shared" si="18"/>
        <v>0.45484000000000002</v>
      </c>
      <c r="I41" s="1958">
        <f t="shared" si="18"/>
        <v>0.45484000000000002</v>
      </c>
      <c r="J41" s="1958">
        <f t="shared" si="18"/>
        <v>0.45484000000000002</v>
      </c>
      <c r="K41" s="1949">
        <f>$O$48</f>
        <v>0.42821999999999999</v>
      </c>
      <c r="L41" s="1958">
        <f t="shared" ref="L41:N42" si="19">K41</f>
        <v>0.42821999999999999</v>
      </c>
      <c r="M41" s="1958">
        <f t="shared" si="19"/>
        <v>0.42821999999999999</v>
      </c>
      <c r="N41" s="1958">
        <f t="shared" si="19"/>
        <v>0.42821999999999999</v>
      </c>
      <c r="O41" s="1949">
        <f>$N$48</f>
        <v>0.45484000000000002</v>
      </c>
      <c r="P41" s="1954">
        <f>(O41/31*20)+(E41/31*11)</f>
        <v>0.45484000000000002</v>
      </c>
    </row>
    <row r="42" spans="2:16">
      <c r="B42" s="1938" t="s">
        <v>1528</v>
      </c>
      <c r="D42" s="1958">
        <f>AVERAGE(E42:P42)</f>
        <v>0.44618999999999992</v>
      </c>
      <c r="E42" s="1949">
        <f>$L$58</f>
        <v>0.44618999999999998</v>
      </c>
      <c r="F42" s="1958">
        <f t="shared" si="18"/>
        <v>0.44618999999999998</v>
      </c>
      <c r="G42" s="1958">
        <f t="shared" si="18"/>
        <v>0.44618999999999998</v>
      </c>
      <c r="H42" s="1958">
        <f t="shared" si="18"/>
        <v>0.44618999999999998</v>
      </c>
      <c r="I42" s="1958">
        <f t="shared" si="18"/>
        <v>0.44618999999999998</v>
      </c>
      <c r="J42" s="1958">
        <f t="shared" si="18"/>
        <v>0.44618999999999998</v>
      </c>
      <c r="K42" s="1949">
        <f>$N$58</f>
        <v>0.44618999999999998</v>
      </c>
      <c r="L42" s="1958">
        <f t="shared" si="19"/>
        <v>0.44618999999999998</v>
      </c>
      <c r="M42" s="1958">
        <f t="shared" si="19"/>
        <v>0.44618999999999998</v>
      </c>
      <c r="N42" s="1958">
        <f t="shared" si="19"/>
        <v>0.44618999999999998</v>
      </c>
      <c r="O42" s="1949">
        <f>$N$58</f>
        <v>0.44618999999999998</v>
      </c>
      <c r="P42" s="1954">
        <f>(O42/31*20)+(E42/31*11)</f>
        <v>0.44618999999999998</v>
      </c>
    </row>
    <row r="43" spans="2:16">
      <c r="B43" s="1938" t="s">
        <v>1527</v>
      </c>
      <c r="C43" s="1953"/>
      <c r="D43" s="1957" t="s">
        <v>1526</v>
      </c>
      <c r="F43" s="1935" t="s">
        <v>1525</v>
      </c>
      <c r="G43" s="1935" t="s">
        <v>824</v>
      </c>
      <c r="H43" s="1935" t="s">
        <v>1524</v>
      </c>
      <c r="I43" s="1923" t="s">
        <v>824</v>
      </c>
      <c r="K43" s="1956"/>
      <c r="L43" s="1956">
        <v>43454</v>
      </c>
      <c r="M43" s="1956"/>
      <c r="N43" s="1956">
        <v>43404</v>
      </c>
      <c r="O43" s="1956">
        <v>43281</v>
      </c>
      <c r="P43" s="1955"/>
    </row>
    <row r="44" spans="2:16">
      <c r="B44" s="1938"/>
      <c r="C44" s="1923" t="s">
        <v>1522</v>
      </c>
      <c r="D44" s="1937">
        <v>80766205</v>
      </c>
      <c r="F44" s="1936">
        <f>IF(D44&gt;F47,F47,D44)</f>
        <v>10201520</v>
      </c>
      <c r="G44" s="1942">
        <f>F44/$F$46</f>
        <v>1</v>
      </c>
      <c r="H44" s="1947">
        <f>D44-F44</f>
        <v>70564685</v>
      </c>
      <c r="I44" s="1942">
        <f>H44/$H$46</f>
        <v>0.59875731655602726</v>
      </c>
      <c r="K44" s="1949"/>
      <c r="L44" s="1934">
        <v>0.49892999999999998</v>
      </c>
      <c r="M44" s="1934"/>
      <c r="N44" s="1934">
        <v>0.46007999999999999</v>
      </c>
      <c r="O44" s="1934">
        <v>0.46007999999999999</v>
      </c>
      <c r="P44" s="1954"/>
    </row>
    <row r="45" spans="2:16">
      <c r="B45" s="1938"/>
      <c r="C45" s="1923" t="s">
        <v>1521</v>
      </c>
      <c r="D45" s="1937">
        <v>47287211</v>
      </c>
      <c r="G45" s="1942">
        <f>F45/$F$46</f>
        <v>0</v>
      </c>
      <c r="H45" s="1947">
        <f>D45-F45</f>
        <v>47287211</v>
      </c>
      <c r="I45" s="1942">
        <f>H45/$H$46</f>
        <v>0.40124268344397274</v>
      </c>
      <c r="K45" s="1949"/>
      <c r="L45" s="1934">
        <v>0.64844000000000002</v>
      </c>
      <c r="M45" s="1934"/>
      <c r="N45" s="1934">
        <v>0.59794999999999998</v>
      </c>
      <c r="O45" s="1934">
        <v>0.59794999999999998</v>
      </c>
      <c r="P45" s="1954"/>
    </row>
    <row r="46" spans="2:16">
      <c r="B46" s="1938"/>
      <c r="D46" s="1943">
        <f>SUM(D44:D45)</f>
        <v>128053416</v>
      </c>
      <c r="F46" s="1943">
        <f>SUM(F44:F45)</f>
        <v>10201520</v>
      </c>
      <c r="G46" s="1942">
        <f>F46/$F$46</f>
        <v>1</v>
      </c>
      <c r="H46" s="1943">
        <f>SUM(H44:H45)</f>
        <v>117851896</v>
      </c>
      <c r="I46" s="1942">
        <f>H46/$H$46</f>
        <v>1</v>
      </c>
      <c r="K46" s="1940"/>
      <c r="L46" s="1940">
        <f>ROUND(+L44*$I44+L45*$I45,5)</f>
        <v>0.55891999999999997</v>
      </c>
      <c r="M46" s="1941"/>
      <c r="N46" s="1940">
        <f>ROUND(+N44*$I44+N45*$I45,5)</f>
        <v>0.51539999999999997</v>
      </c>
      <c r="O46" s="1940">
        <f>ROUND(+O44*$I44+O45*$I45,5)</f>
        <v>0.51539999999999997</v>
      </c>
      <c r="P46" s="1939"/>
    </row>
    <row r="47" spans="2:16">
      <c r="B47" s="1938"/>
      <c r="C47" s="1923" t="s">
        <v>1517</v>
      </c>
      <c r="D47" s="1937">
        <v>2040304</v>
      </c>
      <c r="E47" s="1937">
        <v>5</v>
      </c>
      <c r="F47" s="1936">
        <f>D47*E47</f>
        <v>10201520</v>
      </c>
      <c r="G47" s="1942">
        <f>F47/$F$46</f>
        <v>1</v>
      </c>
      <c r="J47" s="1935" t="s">
        <v>1516</v>
      </c>
      <c r="K47" s="1934"/>
      <c r="L47" s="1934">
        <v>0.47563</v>
      </c>
      <c r="M47" s="1933"/>
      <c r="N47" s="1934">
        <v>0.47563</v>
      </c>
      <c r="O47" s="1934">
        <v>0.44800000000000001</v>
      </c>
      <c r="P47" s="1954"/>
    </row>
    <row r="48" spans="2:16">
      <c r="B48" s="1938"/>
      <c r="J48" s="1935" t="s">
        <v>1515</v>
      </c>
      <c r="K48" s="1934"/>
      <c r="L48" s="1934">
        <v>0.45484000000000002</v>
      </c>
      <c r="M48" s="1933"/>
      <c r="N48" s="1934">
        <v>0.45484000000000002</v>
      </c>
      <c r="O48" s="1933">
        <v>0.42821999999999999</v>
      </c>
      <c r="P48" s="1932"/>
    </row>
    <row r="49" spans="2:16">
      <c r="B49" s="1938"/>
      <c r="J49" s="1935" t="s">
        <v>1514</v>
      </c>
      <c r="K49" s="1934"/>
      <c r="L49" s="1933">
        <v>4.6999999999999999E-4</v>
      </c>
      <c r="M49" s="1933"/>
      <c r="N49" s="1933">
        <v>4.6999999999999999E-4</v>
      </c>
      <c r="O49" s="1933">
        <v>4.6999999999999999E-4</v>
      </c>
      <c r="P49" s="1932"/>
    </row>
    <row r="50" spans="2:16">
      <c r="B50" s="1938" t="s">
        <v>1523</v>
      </c>
      <c r="C50" s="1953"/>
      <c r="D50" s="1952"/>
      <c r="F50" s="1935"/>
      <c r="G50" s="1935"/>
      <c r="H50" s="1935"/>
      <c r="K50" s="1951"/>
      <c r="L50" s="1951"/>
      <c r="M50" s="1951"/>
      <c r="N50" s="1951"/>
      <c r="O50" s="1951"/>
      <c r="P50" s="1950"/>
    </row>
    <row r="51" spans="2:16">
      <c r="B51" s="1938"/>
      <c r="C51" s="1923" t="s">
        <v>1522</v>
      </c>
      <c r="D51" s="1937">
        <v>6521235</v>
      </c>
      <c r="F51" s="1947">
        <f>D51</f>
        <v>6521235</v>
      </c>
      <c r="G51" s="1942">
        <f>F51/F$56</f>
        <v>0.33110776613433401</v>
      </c>
      <c r="H51" s="1947">
        <f>D51-F51</f>
        <v>0</v>
      </c>
      <c r="I51" s="1942">
        <f>H51/H$56</f>
        <v>0</v>
      </c>
      <c r="K51" s="1949"/>
      <c r="L51" s="1934">
        <v>0.64359999999999995</v>
      </c>
      <c r="M51" s="1934"/>
      <c r="N51" s="1934">
        <v>0.59719999999999995</v>
      </c>
      <c r="O51" s="1934">
        <v>0.59719999999999995</v>
      </c>
      <c r="P51" s="1948"/>
    </row>
    <row r="52" spans="2:16">
      <c r="B52" s="1938"/>
      <c r="C52" s="1923" t="s">
        <v>1521</v>
      </c>
      <c r="D52" s="1937">
        <v>16462319</v>
      </c>
      <c r="F52" s="1947">
        <f>F57-F51</f>
        <v>13173969</v>
      </c>
      <c r="G52" s="1942">
        <f>F52/F$56</f>
        <v>0.66889223386566599</v>
      </c>
      <c r="H52" s="1947">
        <f>D52-F52</f>
        <v>3288350</v>
      </c>
      <c r="I52" s="1942">
        <f>H52/H$56</f>
        <v>9.2011228316250901E-2</v>
      </c>
      <c r="K52" s="1946"/>
      <c r="L52" s="1934">
        <v>0.38312000000000002</v>
      </c>
      <c r="M52" s="1934"/>
      <c r="N52" s="1934">
        <v>0.36048999999999998</v>
      </c>
      <c r="O52" s="1934">
        <v>0.36048999999999998</v>
      </c>
      <c r="P52" s="1945"/>
    </row>
    <row r="53" spans="2:16">
      <c r="B53" s="1938"/>
      <c r="C53" s="1923" t="s">
        <v>1520</v>
      </c>
      <c r="D53" s="1937">
        <v>27222823</v>
      </c>
      <c r="F53" s="1923">
        <v>0</v>
      </c>
      <c r="G53" s="1942">
        <f>F53/F$56</f>
        <v>0</v>
      </c>
      <c r="H53" s="1947">
        <f>D53-F53</f>
        <v>27222823</v>
      </c>
      <c r="I53" s="1942">
        <f>H53/H$56</f>
        <v>0.76172104017695386</v>
      </c>
      <c r="K53" s="1946"/>
      <c r="L53" s="1934">
        <v>0.29203000000000001</v>
      </c>
      <c r="M53" s="1934"/>
      <c r="N53" s="1934">
        <v>0.27478000000000002</v>
      </c>
      <c r="O53" s="1934">
        <v>0.27478000000000002</v>
      </c>
      <c r="P53" s="1945"/>
    </row>
    <row r="54" spans="2:16">
      <c r="B54" s="1938"/>
      <c r="C54" s="1923" t="s">
        <v>1519</v>
      </c>
      <c r="D54" s="1937">
        <v>4049910</v>
      </c>
      <c r="F54" s="1923">
        <v>0</v>
      </c>
      <c r="G54" s="1942">
        <f>F54/F$56</f>
        <v>0</v>
      </c>
      <c r="H54" s="1947">
        <f>D54-F54</f>
        <v>4049910</v>
      </c>
      <c r="I54" s="1942">
        <f>H54/H$56</f>
        <v>0.11332041713025308</v>
      </c>
      <c r="K54" s="1946"/>
      <c r="L54" s="1934">
        <v>0.24917</v>
      </c>
      <c r="M54" s="1934"/>
      <c r="N54" s="1934">
        <v>0.23444999999999999</v>
      </c>
      <c r="O54" s="1934">
        <v>0.23444999999999999</v>
      </c>
      <c r="P54" s="1945"/>
    </row>
    <row r="55" spans="2:16">
      <c r="B55" s="1938"/>
      <c r="C55" s="1923" t="s">
        <v>1518</v>
      </c>
      <c r="D55" s="1937">
        <v>1177490</v>
      </c>
      <c r="F55" s="1923">
        <v>0</v>
      </c>
      <c r="G55" s="1942">
        <f>F55/F$56</f>
        <v>0</v>
      </c>
      <c r="H55" s="1947">
        <f>D55-F55</f>
        <v>1177490</v>
      </c>
      <c r="I55" s="1942">
        <f>H55/H$56</f>
        <v>3.2947314376542122E-2</v>
      </c>
      <c r="K55" s="1946"/>
      <c r="L55" s="1934">
        <v>0.17480000000000001</v>
      </c>
      <c r="M55" s="1934"/>
      <c r="N55" s="1934">
        <v>0.16447000000000001</v>
      </c>
      <c r="O55" s="1934">
        <v>0.16447000000000001</v>
      </c>
      <c r="P55" s="1945"/>
    </row>
    <row r="56" spans="2:16">
      <c r="B56" s="1938"/>
      <c r="D56" s="1944">
        <f>SUM(D51:D55)</f>
        <v>55433777</v>
      </c>
      <c r="F56" s="1943">
        <f>SUM(F51:F55)</f>
        <v>19695204</v>
      </c>
      <c r="G56" s="1942">
        <f>SUM(G51:G55)</f>
        <v>1</v>
      </c>
      <c r="H56" s="1943">
        <f>SUM(H51:H55)</f>
        <v>35738573</v>
      </c>
      <c r="I56" s="1942">
        <f>SUM(I51:I55)</f>
        <v>0.99999999999999989</v>
      </c>
      <c r="K56" s="1940"/>
      <c r="L56" s="1940">
        <f>ROUND(L51*$I51+L52*$I52+L53*$I53+L54*$I54+L55*$I55,5)</f>
        <v>0.29169</v>
      </c>
      <c r="M56" s="1941"/>
      <c r="N56" s="1940">
        <f>ROUND(N51*$I51+N52*$I52+N53*$I53+N54*$I54+N55*$I55,5)</f>
        <v>0.27445999999999998</v>
      </c>
      <c r="O56" s="1940">
        <f>ROUND(O51*$I51+O52*$I52+O53*$I53+O54*$I54+O55*$I55,5)</f>
        <v>0.27445999999999998</v>
      </c>
      <c r="P56" s="1939"/>
    </row>
    <row r="57" spans="2:16">
      <c r="B57" s="1938"/>
      <c r="C57" s="1923" t="s">
        <v>1517</v>
      </c>
      <c r="D57" s="1937">
        <v>38169</v>
      </c>
      <c r="E57" s="1937">
        <v>516</v>
      </c>
      <c r="F57" s="1936">
        <f>D57*E57</f>
        <v>19695204</v>
      </c>
      <c r="J57" s="1935" t="s">
        <v>1516</v>
      </c>
      <c r="K57" s="1934"/>
      <c r="L57" s="1934">
        <v>0.46659</v>
      </c>
      <c r="M57" s="1933"/>
      <c r="N57" s="1934">
        <v>0.46659</v>
      </c>
      <c r="O57" s="1933">
        <v>0.44129000000000002</v>
      </c>
      <c r="P57" s="1932"/>
    </row>
    <row r="58" spans="2:16">
      <c r="B58" s="1938"/>
      <c r="D58" s="1937"/>
      <c r="E58" s="1937"/>
      <c r="F58" s="1936"/>
      <c r="J58" s="1935" t="s">
        <v>1515</v>
      </c>
      <c r="K58" s="1934"/>
      <c r="L58" s="1934">
        <v>0.44618999999999998</v>
      </c>
      <c r="M58" s="1933"/>
      <c r="N58" s="1934">
        <v>0.44618999999999998</v>
      </c>
      <c r="O58" s="1933">
        <v>0.42181000000000002</v>
      </c>
      <c r="P58" s="1932"/>
    </row>
    <row r="59" spans="2:16">
      <c r="B59" s="1938"/>
      <c r="D59" s="1937"/>
      <c r="E59" s="1937"/>
      <c r="F59" s="1936"/>
      <c r="J59" s="1935" t="s">
        <v>1514</v>
      </c>
      <c r="K59" s="1934"/>
      <c r="L59" s="1933">
        <v>3.8000000000000002E-4</v>
      </c>
      <c r="M59" s="1933"/>
      <c r="N59" s="1933">
        <v>3.8000000000000002E-4</v>
      </c>
      <c r="O59" s="1933">
        <v>3.8000000000000002E-4</v>
      </c>
      <c r="P59" s="1932"/>
    </row>
    <row r="60" spans="2:16" ht="13.5" thickBot="1">
      <c r="B60" s="1931"/>
      <c r="C60" s="1928"/>
      <c r="D60" s="1930"/>
      <c r="E60" s="1930"/>
      <c r="F60" s="1929"/>
      <c r="G60" s="1928"/>
      <c r="H60" s="1928"/>
      <c r="I60" s="1928"/>
      <c r="J60" s="1927" t="s">
        <v>1513</v>
      </c>
      <c r="K60" s="1926"/>
      <c r="L60" s="1925">
        <v>4.3930999999999998E-2</v>
      </c>
      <c r="M60" s="1925"/>
      <c r="N60" s="1925">
        <v>4.3930999999999998E-2</v>
      </c>
      <c r="O60" s="1925">
        <v>4.3930999999999998E-2</v>
      </c>
      <c r="P60" s="1924"/>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70E1-49B9-4146-97FE-8B28BA657A9E}">
  <dimension ref="A1:CM77"/>
  <sheetViews>
    <sheetView workbookViewId="0"/>
  </sheetViews>
  <sheetFormatPr defaultRowHeight="15"/>
  <cols>
    <col min="1" max="1" width="6.140625" style="1988" customWidth="1"/>
    <col min="2" max="2" width="5.28515625" style="1988" customWidth="1"/>
    <col min="3" max="3" width="23.85546875" style="1988" customWidth="1"/>
    <col min="4" max="4" width="11.28515625" style="1988" customWidth="1"/>
    <col min="5" max="5" width="13.140625" style="1989" customWidth="1"/>
    <col min="6" max="6" width="11.28515625" style="1989" customWidth="1"/>
    <col min="7" max="7" width="13.28515625" style="1989" customWidth="1"/>
    <col min="8" max="8" width="12.42578125" style="1989" customWidth="1"/>
    <col min="9" max="9" width="12.7109375" style="1989" customWidth="1"/>
    <col min="10" max="11" width="11.7109375" style="1989" customWidth="1"/>
    <col min="12" max="12" width="15.7109375" style="1989" bestFit="1" customWidth="1"/>
    <col min="13" max="14" width="12.140625" style="1989" customWidth="1"/>
    <col min="15" max="15" width="12.7109375" style="1988" customWidth="1"/>
    <col min="16" max="16" width="12.5703125" style="1988" customWidth="1"/>
    <col min="17" max="17" width="14.28515625" style="1988" customWidth="1"/>
    <col min="18" max="18" width="12.42578125" style="1988" customWidth="1"/>
    <col min="19" max="19" width="1.7109375" style="1008" customWidth="1"/>
    <col min="21" max="21" width="19.28515625" style="477" customWidth="1"/>
    <col min="22" max="22" width="49.42578125" style="477" customWidth="1"/>
    <col min="23" max="23" width="16.28515625" style="477" customWidth="1"/>
    <col min="24" max="24" width="4.28515625" style="477" customWidth="1"/>
    <col min="25" max="25" width="68.5703125" style="477" bestFit="1" customWidth="1"/>
    <col min="26" max="26" width="14.7109375" style="477" customWidth="1"/>
    <col min="28" max="28" width="1.7109375" style="1008" customWidth="1"/>
    <col min="30" max="31" width="8.85546875" style="477"/>
    <col min="32" max="32" width="12" style="477" customWidth="1"/>
    <col min="33" max="33" width="15.7109375" style="477" customWidth="1"/>
    <col min="34" max="34" width="14" style="477" bestFit="1" customWidth="1"/>
    <col min="35" max="35" width="14.28515625" style="477" bestFit="1" customWidth="1"/>
    <col min="36" max="37" width="14" style="477" bestFit="1" customWidth="1"/>
    <col min="38" max="38" width="15" style="477" bestFit="1" customWidth="1"/>
    <col min="39" max="39" width="11.5703125" style="477" bestFit="1" customWidth="1"/>
    <col min="40" max="40" width="14.28515625" style="477" bestFit="1" customWidth="1"/>
    <col min="41" max="41" width="8.85546875" style="477"/>
    <col min="42" max="42" width="15" style="477" bestFit="1" customWidth="1"/>
    <col min="43" max="44" width="14" style="477" customWidth="1"/>
    <col min="45" max="45" width="14" style="477" bestFit="1" customWidth="1"/>
    <col min="46" max="46" width="12.28515625" style="477" bestFit="1" customWidth="1"/>
    <col min="47" max="47" width="8.85546875" style="477"/>
    <col min="49" max="49" width="1.28515625" style="1008" customWidth="1"/>
    <col min="51" max="52" width="8.85546875" style="477"/>
    <col min="53" max="53" width="12" style="477" customWidth="1"/>
    <col min="54" max="55" width="14" style="477" bestFit="1" customWidth="1"/>
    <col min="56" max="56" width="13.28515625" style="477" bestFit="1" customWidth="1"/>
    <col min="57" max="58" width="14" style="477" bestFit="1" customWidth="1"/>
    <col min="59" max="59" width="15" style="477" bestFit="1" customWidth="1"/>
    <col min="60" max="60" width="11.5703125" style="477" bestFit="1" customWidth="1"/>
    <col min="61" max="61" width="14.28515625" style="477" bestFit="1" customWidth="1"/>
    <col min="62" max="62" width="8.85546875" style="477"/>
    <col min="63" max="63" width="14" style="477" bestFit="1" customWidth="1"/>
    <col min="64" max="65" width="14" style="477" customWidth="1"/>
    <col min="66" max="66" width="14" style="477" bestFit="1" customWidth="1"/>
    <col min="67" max="67" width="12.28515625" style="477" bestFit="1" customWidth="1"/>
    <col min="68" max="68" width="8.85546875" style="477"/>
    <col min="69" max="69" width="1.28515625" style="1008" customWidth="1"/>
    <col min="71" max="71" width="16.42578125" style="477" customWidth="1"/>
    <col min="72" max="72" width="41.42578125" style="477" customWidth="1"/>
    <col min="73" max="76" width="16" style="477" bestFit="1" customWidth="1"/>
    <col min="77" max="78" width="15.42578125" style="477" customWidth="1"/>
    <col min="79" max="79" width="8.85546875" style="477"/>
    <col min="80" max="80" width="15" style="477" bestFit="1" customWidth="1"/>
    <col min="81" max="82" width="14.28515625" style="477" bestFit="1" customWidth="1"/>
    <col min="83" max="84" width="15" style="477" bestFit="1" customWidth="1"/>
    <col min="85" max="85" width="8.85546875" style="477"/>
    <col min="86" max="86" width="14.28515625" style="477" bestFit="1" customWidth="1"/>
    <col min="87" max="87" width="14" style="477" bestFit="1" customWidth="1"/>
    <col min="88" max="89" width="14.28515625" style="477" bestFit="1" customWidth="1"/>
    <col min="90" max="90" width="15" style="477" bestFit="1" customWidth="1"/>
    <col min="91" max="91" width="8.85546875" style="477"/>
  </cols>
  <sheetData>
    <row r="1" spans="1:90">
      <c r="A1" s="1988" t="s">
        <v>1204</v>
      </c>
      <c r="U1" s="477" t="s">
        <v>1647</v>
      </c>
      <c r="Y1" s="2067"/>
      <c r="Z1" s="2067"/>
      <c r="BS1" s="1570" t="s">
        <v>1702</v>
      </c>
      <c r="BT1" s="1570" t="s">
        <v>1701</v>
      </c>
    </row>
    <row r="2" spans="1:90">
      <c r="A2" s="1988" t="s">
        <v>1579</v>
      </c>
      <c r="U2" s="2067" t="s">
        <v>1646</v>
      </c>
      <c r="V2" s="2067" t="s">
        <v>1645</v>
      </c>
      <c r="W2" s="3829" t="s">
        <v>1644</v>
      </c>
      <c r="X2" s="3829"/>
    </row>
    <row r="3" spans="1:90" ht="45">
      <c r="A3" s="1988" t="s">
        <v>1060</v>
      </c>
      <c r="U3" s="2067"/>
      <c r="V3" s="2067"/>
      <c r="W3" s="2015"/>
      <c r="X3" s="2015"/>
      <c r="AD3" s="477" t="s">
        <v>1665</v>
      </c>
      <c r="AG3" s="1192" t="s">
        <v>1664</v>
      </c>
      <c r="AH3" s="1192" t="s">
        <v>1663</v>
      </c>
      <c r="AI3" s="1192" t="s">
        <v>1654</v>
      </c>
      <c r="AJ3" s="1192" t="s">
        <v>1653</v>
      </c>
      <c r="AK3" s="1192" t="s">
        <v>1662</v>
      </c>
      <c r="AL3" s="1192" t="s">
        <v>1652</v>
      </c>
      <c r="AM3" s="1192" t="s">
        <v>1651</v>
      </c>
      <c r="AN3" s="1192" t="s">
        <v>1650</v>
      </c>
      <c r="AP3" s="1192" t="s">
        <v>1649</v>
      </c>
      <c r="AQ3" s="1192" t="s">
        <v>1661</v>
      </c>
      <c r="AR3" s="1192" t="s">
        <v>1660</v>
      </c>
      <c r="AS3" s="1192" t="s">
        <v>1659</v>
      </c>
      <c r="AY3" s="477" t="s">
        <v>1665</v>
      </c>
      <c r="BB3" s="1192" t="s">
        <v>1673</v>
      </c>
      <c r="BC3" s="1192" t="s">
        <v>1672</v>
      </c>
      <c r="BD3" s="1192" t="s">
        <v>1654</v>
      </c>
      <c r="BE3" s="1192" t="s">
        <v>1671</v>
      </c>
      <c r="BF3" s="1192" t="s">
        <v>1670</v>
      </c>
      <c r="BG3" s="1192" t="s">
        <v>1652</v>
      </c>
      <c r="BH3" s="1192" t="s">
        <v>1651</v>
      </c>
      <c r="BI3" s="1192" t="s">
        <v>1650</v>
      </c>
      <c r="BK3" s="1192" t="s">
        <v>1669</v>
      </c>
      <c r="BL3" s="1192" t="s">
        <v>1668</v>
      </c>
      <c r="BM3" s="1192" t="s">
        <v>1667</v>
      </c>
      <c r="BN3" s="1192" t="s">
        <v>1666</v>
      </c>
      <c r="BS3" s="2087" t="s">
        <v>1251</v>
      </c>
      <c r="BT3" s="2087"/>
      <c r="BU3" s="2087" t="s">
        <v>1057</v>
      </c>
      <c r="BV3" s="2087" t="s">
        <v>1058</v>
      </c>
      <c r="BW3" s="2087"/>
    </row>
    <row r="4" spans="1:90">
      <c r="U4" s="2023" t="s">
        <v>1643</v>
      </c>
      <c r="V4" s="2031" t="s">
        <v>864</v>
      </c>
      <c r="W4" s="2031" t="s">
        <v>865</v>
      </c>
      <c r="AF4" s="2075">
        <v>44927</v>
      </c>
      <c r="AG4" s="1470">
        <v>-2213485.5299999998</v>
      </c>
      <c r="AH4" s="1470">
        <v>-1288200.56</v>
      </c>
      <c r="AI4" s="1470">
        <v>1276898.94</v>
      </c>
      <c r="AJ4" s="1470">
        <v>-891182.64</v>
      </c>
      <c r="AK4" s="1514">
        <v>-652926.02</v>
      </c>
      <c r="AL4" s="2074">
        <f t="shared" ref="AL4:AL15" si="0">SUM(AG4:AK4)</f>
        <v>-3768895.81</v>
      </c>
      <c r="AM4" s="2073">
        <v>0.95628183088298646</v>
      </c>
      <c r="AN4" s="1470">
        <f t="shared" ref="AN4:AN15" si="1">-AL4*AM4</f>
        <v>3604126.5855940161</v>
      </c>
      <c r="AP4" s="929">
        <f>(AG4-AJ15+AJ4)*AM4</f>
        <v>-1987949.5005657796</v>
      </c>
      <c r="AQ4" s="929">
        <v>0</v>
      </c>
      <c r="AR4" s="929">
        <f t="shared" ref="AR4:AR15" si="2">AQ4*AM4</f>
        <v>0</v>
      </c>
      <c r="AS4" s="929">
        <f>(AH4-AK15+AK4)*AM4</f>
        <v>-1616177.0884214947</v>
      </c>
      <c r="AT4" s="929">
        <f t="shared" ref="AT4:AT15" si="3">AN4+AP4+AS4</f>
        <v>-3.3932582009583712E-3</v>
      </c>
      <c r="BA4" s="2075">
        <v>44927</v>
      </c>
      <c r="BB4" s="1470">
        <v>-1650566.86</v>
      </c>
      <c r="BC4" s="1470">
        <v>-864683.26</v>
      </c>
      <c r="BD4" s="1470">
        <v>1108795.51</v>
      </c>
      <c r="BE4" s="1470">
        <v>-738808.24</v>
      </c>
      <c r="BF4" s="1514">
        <v>-513668.71</v>
      </c>
      <c r="BG4" s="2074">
        <f t="shared" ref="BG4:BG15" si="4">SUM(BB4:BF4)</f>
        <v>-2658931.56</v>
      </c>
      <c r="BH4" s="2073">
        <v>0.95628183088298646</v>
      </c>
      <c r="BI4" s="1470">
        <f t="shared" ref="BI4:BI15" si="5">-BG4*BH4</f>
        <v>2542687.9403893556</v>
      </c>
      <c r="BK4" s="929">
        <f>(BB4-BE15+BE4)*BH4</f>
        <v>-1418410.8589763581</v>
      </c>
      <c r="BL4" s="929">
        <v>0</v>
      </c>
      <c r="BM4" s="929">
        <f t="shared" ref="BM4:BM15" si="6">BL4*BH4</f>
        <v>0</v>
      </c>
      <c r="BN4" s="929">
        <f>(BC4-BF15+BF4)*BH4</f>
        <v>-1124277.0817214751</v>
      </c>
      <c r="BO4" s="929">
        <f t="shared" ref="BO4:BO15" si="7">BI4+BK4+BN4</f>
        <v>-3.0847755260765553E-4</v>
      </c>
      <c r="BS4" s="2087"/>
      <c r="BT4" s="2087"/>
      <c r="BU4" s="2087" t="s">
        <v>763</v>
      </c>
      <c r="BV4" s="2087" t="s">
        <v>763</v>
      </c>
      <c r="BW4" s="2086" t="s">
        <v>978</v>
      </c>
      <c r="CB4" s="3779" t="s">
        <v>880</v>
      </c>
      <c r="CC4" s="3779"/>
      <c r="CD4" s="3779"/>
      <c r="CE4" s="3779"/>
      <c r="CF4" s="3779"/>
      <c r="CH4" s="3779" t="s">
        <v>878</v>
      </c>
      <c r="CI4" s="3779"/>
      <c r="CJ4" s="3779"/>
      <c r="CK4" s="3779"/>
      <c r="CL4" s="3779"/>
    </row>
    <row r="5" spans="1:90">
      <c r="A5" s="1988" t="s">
        <v>1578</v>
      </c>
      <c r="AF5" s="2075">
        <v>44958</v>
      </c>
      <c r="AG5" s="1470">
        <v>-1500526.5</v>
      </c>
      <c r="AH5" s="1470">
        <v>-1254007.25</v>
      </c>
      <c r="AI5" s="1470">
        <v>1544108.66</v>
      </c>
      <c r="AJ5" s="1470">
        <v>-763811.05</v>
      </c>
      <c r="AK5" s="1514">
        <v>-552720.71</v>
      </c>
      <c r="AL5" s="2074">
        <f t="shared" si="0"/>
        <v>-2526956.85</v>
      </c>
      <c r="AM5" s="2073">
        <v>0.95628183088298646</v>
      </c>
      <c r="AN5" s="1470">
        <f t="shared" si="1"/>
        <v>2416482.9230803042</v>
      </c>
      <c r="AP5" s="929">
        <f>(AG5-AJ4+AJ5)*AM5</f>
        <v>-1313123.0914207627</v>
      </c>
      <c r="AQ5" s="929">
        <v>0</v>
      </c>
      <c r="AR5" s="929">
        <f t="shared" si="2"/>
        <v>0</v>
      </c>
      <c r="AS5" s="929">
        <f>(AH5-AK4+AK5)*AM5</f>
        <v>-1103359.8316595417</v>
      </c>
      <c r="AT5" s="929">
        <f t="shared" si="3"/>
        <v>0</v>
      </c>
      <c r="BA5" s="2075">
        <v>44958</v>
      </c>
      <c r="BB5" s="1470">
        <v>-1264377.93</v>
      </c>
      <c r="BC5" s="1470">
        <v>-872418.45</v>
      </c>
      <c r="BD5" s="1470">
        <v>1252476.95</v>
      </c>
      <c r="BE5" s="1470">
        <v>-731676.95</v>
      </c>
      <c r="BF5" s="1514">
        <v>-526499.26</v>
      </c>
      <c r="BG5" s="2074">
        <f t="shared" si="4"/>
        <v>-2142495.6399999997</v>
      </c>
      <c r="BH5" s="2073">
        <v>0.95628183088298646</v>
      </c>
      <c r="BI5" s="1470">
        <f t="shared" si="5"/>
        <v>2048829.6532780156</v>
      </c>
      <c r="BK5" s="929">
        <f>(BB5-BE4+BE5)*BH5</f>
        <v>-1202282.118770683</v>
      </c>
      <c r="BL5" s="929">
        <v>0</v>
      </c>
      <c r="BM5" s="929">
        <f t="shared" si="6"/>
        <v>0</v>
      </c>
      <c r="BN5" s="929">
        <f>(BC5-BF4+BF5)*BH5</f>
        <v>-846547.53450733284</v>
      </c>
      <c r="BO5" s="929">
        <f t="shared" si="7"/>
        <v>0</v>
      </c>
      <c r="BS5" s="2085" t="s">
        <v>1065</v>
      </c>
      <c r="BT5" s="2085" t="s">
        <v>1066</v>
      </c>
      <c r="BU5" s="2085" t="s">
        <v>681</v>
      </c>
      <c r="BV5" s="2085" t="s">
        <v>680</v>
      </c>
      <c r="BW5" s="2084"/>
      <c r="CB5" s="2083">
        <v>202212</v>
      </c>
      <c r="CC5" s="2083">
        <v>202206</v>
      </c>
      <c r="CD5" s="2083" t="s">
        <v>1700</v>
      </c>
      <c r="CE5" s="2083">
        <v>202306</v>
      </c>
      <c r="CF5" s="2083" t="s">
        <v>1580</v>
      </c>
      <c r="CH5" s="2083">
        <v>202212</v>
      </c>
      <c r="CI5" s="2083">
        <v>202206</v>
      </c>
      <c r="CJ5" s="2083" t="s">
        <v>1700</v>
      </c>
      <c r="CK5" s="2083">
        <v>202306</v>
      </c>
      <c r="CL5" s="2083" t="s">
        <v>1580</v>
      </c>
    </row>
    <row r="6" spans="1:90">
      <c r="A6" s="2018" t="s">
        <v>1577</v>
      </c>
      <c r="B6" s="960"/>
      <c r="C6" s="960"/>
      <c r="D6" s="2013"/>
      <c r="U6" s="2066"/>
      <c r="V6" s="2065"/>
      <c r="W6" s="2064" t="s">
        <v>1059</v>
      </c>
      <c r="AF6" s="2075">
        <v>44986</v>
      </c>
      <c r="AG6" s="1470">
        <v>-1910825.55</v>
      </c>
      <c r="AH6" s="1470">
        <v>-1486372.12</v>
      </c>
      <c r="AI6" s="1470">
        <v>1316531.76</v>
      </c>
      <c r="AJ6" s="1470">
        <v>-538343.86</v>
      </c>
      <c r="AK6" s="1514">
        <v>-341398.1</v>
      </c>
      <c r="AL6" s="2074">
        <f t="shared" si="0"/>
        <v>-2960407.87</v>
      </c>
      <c r="AM6" s="2073">
        <v>0.95628183088298646</v>
      </c>
      <c r="AN6" s="1470">
        <f t="shared" si="1"/>
        <v>2830984.2580840024</v>
      </c>
      <c r="AP6" s="929">
        <f>(AG6-AJ5+AJ6)*AM6</f>
        <v>-1611677.5781947472</v>
      </c>
      <c r="AQ6" s="929">
        <v>0</v>
      </c>
      <c r="AR6" s="929">
        <f t="shared" si="2"/>
        <v>0</v>
      </c>
      <c r="AS6" s="929">
        <f>(AH6-AK5+AK6)*AM6</f>
        <v>-1219306.679889255</v>
      </c>
      <c r="AT6" s="929">
        <f t="shared" si="3"/>
        <v>0</v>
      </c>
      <c r="BA6" s="2075">
        <v>44986</v>
      </c>
      <c r="BB6" s="1470">
        <v>-1369960</v>
      </c>
      <c r="BC6" s="1470">
        <v>-961234.97</v>
      </c>
      <c r="BD6" s="1470">
        <v>1258176.21</v>
      </c>
      <c r="BE6" s="1470">
        <v>-463877.1</v>
      </c>
      <c r="BF6" s="1514">
        <v>-324061.15000000002</v>
      </c>
      <c r="BG6" s="2074">
        <f t="shared" si="4"/>
        <v>-1860957.0099999998</v>
      </c>
      <c r="BH6" s="2073">
        <v>0.95628183088298646</v>
      </c>
      <c r="BI6" s="1470">
        <f t="shared" si="5"/>
        <v>1779599.3767173279</v>
      </c>
      <c r="BK6" s="929">
        <f>(BB6-BE5+BE6)*BH6</f>
        <v>-1053975.726168267</v>
      </c>
      <c r="BL6" s="929">
        <v>0</v>
      </c>
      <c r="BM6" s="929">
        <f t="shared" si="6"/>
        <v>0</v>
      </c>
      <c r="BN6" s="929">
        <f>(BC6-BF5+BF6)*BH6</f>
        <v>-725623.65054906113</v>
      </c>
      <c r="BO6" s="929">
        <f t="shared" si="7"/>
        <v>0</v>
      </c>
      <c r="BS6" s="182" t="s">
        <v>1699</v>
      </c>
      <c r="BT6" s="477" t="s">
        <v>1687</v>
      </c>
      <c r="BU6" s="1514">
        <f t="shared" ref="BU6:BU23" si="8">CF6</f>
        <v>3085215.98</v>
      </c>
      <c r="BV6" s="1514">
        <f t="shared" ref="BV6:BV23" si="9">CL6</f>
        <v>0</v>
      </c>
      <c r="BW6" s="1514">
        <f t="shared" ref="BW6:BW23" si="10">SUM(BU6:BV6)</f>
        <v>3085215.98</v>
      </c>
      <c r="BY6" s="1514">
        <v>742825.71</v>
      </c>
      <c r="BZ6" s="1514">
        <v>0</v>
      </c>
      <c r="CB6" s="1514">
        <v>742825.71</v>
      </c>
      <c r="CC6" s="1514">
        <v>0</v>
      </c>
      <c r="CD6" s="1514">
        <f t="shared" ref="CD6:CD23" si="11">CB6-CC6</f>
        <v>742825.71</v>
      </c>
      <c r="CE6" s="1514">
        <v>2342390.27</v>
      </c>
      <c r="CF6" s="929">
        <f t="shared" ref="CF6:CF23" si="12">CD6+CE6</f>
        <v>3085215.98</v>
      </c>
      <c r="CH6" s="1514">
        <v>0</v>
      </c>
      <c r="CI6" s="1514">
        <v>0</v>
      </c>
      <c r="CJ6" s="1514">
        <f t="shared" ref="CJ6:CJ23" si="13">CH6-CI6</f>
        <v>0</v>
      </c>
      <c r="CK6" s="1514">
        <v>0</v>
      </c>
      <c r="CL6" s="929">
        <f t="shared" ref="CL6:CL23" si="14">CJ6+CK6</f>
        <v>0</v>
      </c>
    </row>
    <row r="7" spans="1:90" ht="90">
      <c r="A7" s="2011" t="s">
        <v>1576</v>
      </c>
      <c r="B7" s="960"/>
      <c r="C7" s="960" t="s">
        <v>16</v>
      </c>
      <c r="D7" s="2017" t="s">
        <v>137</v>
      </c>
      <c r="E7" s="2016" t="s">
        <v>1575</v>
      </c>
      <c r="F7" s="2016" t="s">
        <v>1574</v>
      </c>
      <c r="G7" s="2016" t="s">
        <v>1573</v>
      </c>
      <c r="H7" s="2016" t="s">
        <v>1572</v>
      </c>
      <c r="I7" s="2016" t="s">
        <v>1571</v>
      </c>
      <c r="J7" s="2016" t="s">
        <v>1570</v>
      </c>
      <c r="K7" s="2016" t="s">
        <v>1569</v>
      </c>
      <c r="L7" s="2016" t="s">
        <v>1568</v>
      </c>
      <c r="M7" s="2016" t="s">
        <v>1567</v>
      </c>
      <c r="N7" s="2016" t="s">
        <v>1566</v>
      </c>
      <c r="O7" s="2015" t="s">
        <v>1565</v>
      </c>
      <c r="P7" s="2015" t="s">
        <v>1564</v>
      </c>
      <c r="Q7" s="2015" t="s">
        <v>1563</v>
      </c>
      <c r="U7" s="2023" t="s">
        <v>1043</v>
      </c>
      <c r="V7" s="1547" t="s">
        <v>1642</v>
      </c>
      <c r="W7" s="2025"/>
      <c r="AF7" s="2075">
        <v>45017</v>
      </c>
      <c r="AG7" s="1470">
        <v>-1378972.33</v>
      </c>
      <c r="AH7" s="1470">
        <v>-1045350.01</v>
      </c>
      <c r="AI7" s="1470">
        <v>879741.96</v>
      </c>
      <c r="AJ7" s="1470">
        <v>-512310.71</v>
      </c>
      <c r="AK7" s="1514">
        <v>-320502.56</v>
      </c>
      <c r="AL7" s="2074">
        <f t="shared" si="0"/>
        <v>-2377393.65</v>
      </c>
      <c r="AM7" s="2073">
        <v>0.95628183088298646</v>
      </c>
      <c r="AN7" s="1470">
        <f t="shared" si="1"/>
        <v>2273458.3523515859</v>
      </c>
      <c r="AP7" s="929">
        <f>(AG7-AJ6+AJ7)*AM7</f>
        <v>-1293791.1561237266</v>
      </c>
      <c r="AQ7" s="929">
        <v>0</v>
      </c>
      <c r="AR7" s="929">
        <f t="shared" si="2"/>
        <v>0</v>
      </c>
      <c r="AS7" s="929">
        <f>(AH7-AK6+AK7)*AM7</f>
        <v>-979667.19622785947</v>
      </c>
      <c r="AT7" s="929">
        <f t="shared" si="3"/>
        <v>0</v>
      </c>
      <c r="BA7" s="2075">
        <v>45017</v>
      </c>
      <c r="BB7" s="1470">
        <v>-837327.77</v>
      </c>
      <c r="BC7" s="1470">
        <v>-604359.18000000005</v>
      </c>
      <c r="BD7" s="1470">
        <v>787938.25</v>
      </c>
      <c r="BE7" s="1470">
        <v>-315588.25</v>
      </c>
      <c r="BF7" s="1514">
        <v>-220869.72</v>
      </c>
      <c r="BG7" s="2074">
        <f t="shared" si="4"/>
        <v>-1190206.6700000002</v>
      </c>
      <c r="BH7" s="2073">
        <v>0.95628183088298646</v>
      </c>
      <c r="BI7" s="1470">
        <f t="shared" si="5"/>
        <v>1138173.0135167427</v>
      </c>
      <c r="BK7" s="929">
        <f>(BB7-BE6+BE7)*BH7</f>
        <v>-658915.39996723563</v>
      </c>
      <c r="BL7" s="929">
        <v>0</v>
      </c>
      <c r="BM7" s="929">
        <f t="shared" si="6"/>
        <v>0</v>
      </c>
      <c r="BN7" s="929">
        <f>(BC7-BF6+BF7)*BH7</f>
        <v>-479257.61354950682</v>
      </c>
      <c r="BO7" s="929">
        <f t="shared" si="7"/>
        <v>0</v>
      </c>
      <c r="BS7" s="477" t="s">
        <v>1689</v>
      </c>
      <c r="BT7" s="477" t="s">
        <v>1688</v>
      </c>
      <c r="BU7" s="1514">
        <f t="shared" si="8"/>
        <v>291371.02</v>
      </c>
      <c r="BV7" s="1514">
        <f t="shared" si="9"/>
        <v>0</v>
      </c>
      <c r="BW7" s="1514">
        <f t="shared" si="10"/>
        <v>291371.02</v>
      </c>
      <c r="BY7" s="1514">
        <v>316947.44</v>
      </c>
      <c r="BZ7" s="1514">
        <v>0</v>
      </c>
      <c r="CB7" s="1514">
        <v>316947.44</v>
      </c>
      <c r="CC7" s="1514">
        <v>171684.37</v>
      </c>
      <c r="CD7" s="1514">
        <f t="shared" si="11"/>
        <v>145263.07</v>
      </c>
      <c r="CE7" s="1514">
        <v>146107.95000000001</v>
      </c>
      <c r="CF7" s="929">
        <f t="shared" si="12"/>
        <v>291371.02</v>
      </c>
      <c r="CH7" s="1514">
        <v>0</v>
      </c>
      <c r="CI7" s="1514">
        <v>0</v>
      </c>
      <c r="CJ7" s="1514">
        <f t="shared" si="13"/>
        <v>0</v>
      </c>
      <c r="CK7" s="1514">
        <v>0</v>
      </c>
      <c r="CL7" s="929">
        <f t="shared" si="14"/>
        <v>0</v>
      </c>
    </row>
    <row r="8" spans="1:90">
      <c r="A8" s="2014"/>
      <c r="B8" s="2013"/>
      <c r="C8" s="2013"/>
      <c r="D8" s="2013"/>
      <c r="Q8" s="2012" t="s">
        <v>1562</v>
      </c>
      <c r="U8" s="2023">
        <v>407381</v>
      </c>
      <c r="V8" s="1547" t="s">
        <v>1641</v>
      </c>
      <c r="W8" s="2056">
        <f>'G-2.11 EAS'!BW28</f>
        <v>48373.54</v>
      </c>
      <c r="Y8" s="477" t="s">
        <v>1640</v>
      </c>
      <c r="AF8" s="2075">
        <v>45047</v>
      </c>
      <c r="AG8" s="1470">
        <v>-1335045.57</v>
      </c>
      <c r="AH8" s="1470">
        <v>-955762.85</v>
      </c>
      <c r="AI8" s="1470">
        <v>832813.27</v>
      </c>
      <c r="AJ8" s="1470">
        <v>-470127.12</v>
      </c>
      <c r="AK8" s="1514">
        <v>-269582.84999999998</v>
      </c>
      <c r="AL8" s="2074">
        <f t="shared" si="0"/>
        <v>-2197705.12</v>
      </c>
      <c r="AM8" s="2073">
        <v>0.95628183088298646</v>
      </c>
      <c r="AN8" s="1470">
        <f t="shared" si="1"/>
        <v>2101625.4758945135</v>
      </c>
      <c r="AP8" s="929">
        <f>(AG8-AJ7+AJ8)*AM8</f>
        <v>-1236340.4213134029</v>
      </c>
      <c r="AQ8" s="929">
        <v>0</v>
      </c>
      <c r="AR8" s="929">
        <f t="shared" si="2"/>
        <v>0</v>
      </c>
      <c r="AS8" s="929">
        <f>(AH8-AK7+AK8)*AM8</f>
        <v>-865285.05458111048</v>
      </c>
      <c r="AT8" s="929">
        <f t="shared" si="3"/>
        <v>0</v>
      </c>
      <c r="BA8" s="2075">
        <v>45047</v>
      </c>
      <c r="BB8" s="1470">
        <v>-442778.4</v>
      </c>
      <c r="BC8" s="1470">
        <v>-333204.07</v>
      </c>
      <c r="BD8" s="1470">
        <v>536457.97</v>
      </c>
      <c r="BE8" s="1470">
        <v>-99905.85</v>
      </c>
      <c r="BF8" s="1514">
        <v>-71683.240000000005</v>
      </c>
      <c r="BG8" s="2074">
        <f t="shared" si="4"/>
        <v>-411113.58999999997</v>
      </c>
      <c r="BH8" s="2073">
        <v>0.95628183088298646</v>
      </c>
      <c r="BI8" s="1470">
        <f t="shared" si="5"/>
        <v>393140.45654607739</v>
      </c>
      <c r="BK8" s="929">
        <f>(BB8-BE7+BE8)*BH8</f>
        <v>-217167.77866620274</v>
      </c>
      <c r="BL8" s="929">
        <v>0</v>
      </c>
      <c r="BM8" s="929">
        <f t="shared" si="6"/>
        <v>0</v>
      </c>
      <c r="BN8" s="929">
        <f>(BC8-BF7+BF8)*BH8</f>
        <v>-175972.67787987477</v>
      </c>
      <c r="BO8" s="929">
        <f t="shared" si="7"/>
        <v>0</v>
      </c>
      <c r="BS8" s="182" t="s">
        <v>506</v>
      </c>
      <c r="BT8" s="477" t="s">
        <v>1698</v>
      </c>
      <c r="BU8" s="1514">
        <f t="shared" si="8"/>
        <v>-591245.18999999994</v>
      </c>
      <c r="BV8" s="1514">
        <f t="shared" si="9"/>
        <v>-48909.859999999986</v>
      </c>
      <c r="BW8" s="1514">
        <f t="shared" si="10"/>
        <v>-640155.04999999993</v>
      </c>
      <c r="BY8" s="1514">
        <v>-1374325.96</v>
      </c>
      <c r="BZ8" s="1514">
        <v>-353441.89</v>
      </c>
      <c r="CB8" s="1514">
        <v>-1374325.96</v>
      </c>
      <c r="CC8" s="1514">
        <v>-783080.77</v>
      </c>
      <c r="CD8" s="1514">
        <f t="shared" si="11"/>
        <v>-591245.18999999994</v>
      </c>
      <c r="CE8" s="1514">
        <v>0</v>
      </c>
      <c r="CF8" s="929">
        <f t="shared" si="12"/>
        <v>-591245.18999999994</v>
      </c>
      <c r="CH8" s="1514">
        <v>-353441.89</v>
      </c>
      <c r="CI8" s="1514">
        <v>-304532.03000000003</v>
      </c>
      <c r="CJ8" s="1514">
        <f t="shared" si="13"/>
        <v>-48909.859999999986</v>
      </c>
      <c r="CK8" s="1514">
        <v>0</v>
      </c>
      <c r="CL8" s="929">
        <f t="shared" si="14"/>
        <v>-48909.859999999986</v>
      </c>
    </row>
    <row r="9" spans="1:90">
      <c r="A9" s="2011"/>
      <c r="B9" s="960" t="s">
        <v>31</v>
      </c>
      <c r="C9" s="960"/>
      <c r="D9" s="960"/>
      <c r="U9" s="2062">
        <v>407419</v>
      </c>
      <c r="V9" s="2063" t="s">
        <v>1639</v>
      </c>
      <c r="W9" s="2056">
        <f>'G-2.11 EAS'!BW29</f>
        <v>-48909.859999999986</v>
      </c>
      <c r="Y9" s="3831" t="s">
        <v>1638</v>
      </c>
      <c r="Z9" s="3832"/>
      <c r="AF9" s="2075">
        <v>45078</v>
      </c>
      <c r="AG9" s="1470">
        <v>-1298007.22</v>
      </c>
      <c r="AH9" s="1470">
        <v>-980179.69</v>
      </c>
      <c r="AI9" s="1470">
        <v>739709.97</v>
      </c>
      <c r="AJ9" s="1470">
        <v>-500852.71</v>
      </c>
      <c r="AK9" s="1514">
        <v>-291620.27</v>
      </c>
      <c r="AL9" s="2074">
        <f t="shared" si="0"/>
        <v>-2330949.92</v>
      </c>
      <c r="AM9" s="2073">
        <v>0.95628183088298646</v>
      </c>
      <c r="AN9" s="1470">
        <f t="shared" si="1"/>
        <v>2229045.0571941505</v>
      </c>
      <c r="AP9" s="929">
        <f>(AG9-AJ8+AJ9)*AM9</f>
        <v>-1270643.0443010954</v>
      </c>
      <c r="AQ9" s="929">
        <v>0</v>
      </c>
      <c r="AR9" s="929">
        <f t="shared" si="2"/>
        <v>0</v>
      </c>
      <c r="AS9" s="929">
        <f>(AH9-AK8+AK9)*AM9</f>
        <v>-958402.01289305545</v>
      </c>
      <c r="AT9" s="929">
        <f t="shared" si="3"/>
        <v>0</v>
      </c>
      <c r="BA9" s="2075">
        <v>45078</v>
      </c>
      <c r="BB9" s="1470">
        <v>-200134.01</v>
      </c>
      <c r="BC9" s="1470">
        <v>-151850.74</v>
      </c>
      <c r="BD9" s="1470">
        <v>171589.09</v>
      </c>
      <c r="BE9" s="1470">
        <v>-79856.850000000006</v>
      </c>
      <c r="BF9" s="1514">
        <v>-59759.96</v>
      </c>
      <c r="BG9" s="2074">
        <f t="shared" si="4"/>
        <v>-320012.47000000003</v>
      </c>
      <c r="BH9" s="2073">
        <v>0.95628183088298646</v>
      </c>
      <c r="BI9" s="1470">
        <f t="shared" si="5"/>
        <v>306022.11071698682</v>
      </c>
      <c r="BK9" s="929">
        <f>(BB9-BE8+BE9)*BH9</f>
        <v>-172212.02307738093</v>
      </c>
      <c r="BL9" s="929">
        <v>0</v>
      </c>
      <c r="BM9" s="929">
        <f t="shared" si="6"/>
        <v>0</v>
      </c>
      <c r="BN9" s="929">
        <f>(BC9-BF8+BF9)*BH9</f>
        <v>-133810.08763960586</v>
      </c>
      <c r="BO9" s="929">
        <f t="shared" si="7"/>
        <v>0</v>
      </c>
      <c r="BS9" s="477" t="s">
        <v>1686</v>
      </c>
      <c r="BT9" s="477" t="s">
        <v>1685</v>
      </c>
      <c r="BU9" s="1514">
        <f t="shared" si="8"/>
        <v>-11243705.34</v>
      </c>
      <c r="BV9" s="1514">
        <f t="shared" si="9"/>
        <v>0</v>
      </c>
      <c r="BW9" s="1514">
        <f t="shared" si="10"/>
        <v>-11243705.34</v>
      </c>
      <c r="BY9" s="1514">
        <v>-10965563.93</v>
      </c>
      <c r="BZ9" s="1514">
        <v>0</v>
      </c>
      <c r="CB9" s="1514">
        <v>-10965563.93</v>
      </c>
      <c r="CC9" s="1514">
        <v>-5630715.3700000001</v>
      </c>
      <c r="CD9" s="1514">
        <f t="shared" si="11"/>
        <v>-5334848.5599999996</v>
      </c>
      <c r="CE9" s="1514">
        <v>-5908856.7800000003</v>
      </c>
      <c r="CF9" s="929">
        <f t="shared" si="12"/>
        <v>-11243705.34</v>
      </c>
      <c r="CH9" s="1514">
        <v>0</v>
      </c>
      <c r="CI9" s="1514">
        <v>0</v>
      </c>
      <c r="CJ9" s="1514">
        <f t="shared" si="13"/>
        <v>0</v>
      </c>
      <c r="CK9" s="1514">
        <v>0</v>
      </c>
      <c r="CL9" s="929">
        <f t="shared" si="14"/>
        <v>0</v>
      </c>
    </row>
    <row r="10" spans="1:90">
      <c r="A10" s="2003">
        <v>1</v>
      </c>
      <c r="B10" s="2010" t="s">
        <v>32</v>
      </c>
      <c r="C10" s="2010"/>
      <c r="D10" s="2007">
        <f>1-SUM(D31:D40)</f>
        <v>0.95271983997621679</v>
      </c>
      <c r="E10" s="1989">
        <f>(E20-E12)/$D$10</f>
        <v>94913591.914132223</v>
      </c>
      <c r="G10" s="1989">
        <f>G17/$D$10</f>
        <v>94913591.914132223</v>
      </c>
      <c r="H10" s="1989">
        <f>H17/$D$10</f>
        <v>18663050.934725855</v>
      </c>
      <c r="I10" s="1989">
        <f>-I12/$D$10</f>
        <v>6820792.4799406091</v>
      </c>
      <c r="J10" s="2006">
        <f>'G-2.11 EAS'!W44+'G-2.11 EAS'!W45+'G-2.11 EAS'!W46+'G-2.11 EAS'!W47+'G-2.11 EAS'!W48-K10</f>
        <v>-8881321.9700000007</v>
      </c>
      <c r="K10" s="2006">
        <f>'G-2.11 EAS'!BB39+'G-2.11 EAS'!BD32</f>
        <v>-51145.87</v>
      </c>
      <c r="L10" s="2006">
        <f>'G-2.11 EAS'!W49+'G-2.11 EAS'!W50</f>
        <v>-3908085.44</v>
      </c>
      <c r="M10" s="1989">
        <f>M35/$D$10</f>
        <v>13992032.810330449</v>
      </c>
      <c r="N10" s="1989">
        <f>'G-2.11 EAS'!W41</f>
        <v>39110</v>
      </c>
      <c r="O10" s="2000"/>
      <c r="P10" s="2000">
        <f t="shared" ref="P10:P45" si="15">SUM(H10:O10)</f>
        <v>26674432.944996912</v>
      </c>
      <c r="Q10" s="1999">
        <f>ROUND(-P10/1000,0)</f>
        <v>-26674</v>
      </c>
      <c r="U10" s="2062">
        <v>411193</v>
      </c>
      <c r="V10" s="2061" t="s">
        <v>1637</v>
      </c>
      <c r="W10" s="2056">
        <f>'G-2.11 EAS'!BW30</f>
        <v>-10036731.24</v>
      </c>
      <c r="Y10" s="3831" t="s">
        <v>1636</v>
      </c>
      <c r="Z10" s="3832"/>
      <c r="AF10" s="2075">
        <v>44743</v>
      </c>
      <c r="AG10" s="1514">
        <v>-1222538.33</v>
      </c>
      <c r="AH10" s="1514"/>
      <c r="AI10" s="1514">
        <v>577476.65</v>
      </c>
      <c r="AJ10" s="1514">
        <v>-753800.9</v>
      </c>
      <c r="AK10" s="1514"/>
      <c r="AL10" s="2074">
        <f t="shared" si="0"/>
        <v>-1398862.58</v>
      </c>
      <c r="AM10" s="2073">
        <v>0.95628183088298646</v>
      </c>
      <c r="AN10" s="1470">
        <f t="shared" si="1"/>
        <v>1337706.8691560982</v>
      </c>
      <c r="AP10" s="929">
        <f t="shared" ref="AP10:AP15" si="16">(AG10+AI10+AJ10)*AM10</f>
        <v>-1337706.8691560982</v>
      </c>
      <c r="AQ10" s="929">
        <v>-120910.38</v>
      </c>
      <c r="AR10" s="929">
        <f t="shared" si="2"/>
        <v>-115624.39955915764</v>
      </c>
      <c r="AS10" s="929">
        <f t="shared" ref="AS10:AS15" si="17">(AH10+AK10)*AM10</f>
        <v>0</v>
      </c>
      <c r="AT10" s="929">
        <f t="shared" si="3"/>
        <v>0</v>
      </c>
      <c r="BA10" s="2075">
        <v>44743</v>
      </c>
      <c r="BB10" s="1514">
        <v>-189468</v>
      </c>
      <c r="BC10" s="1470">
        <v>0</v>
      </c>
      <c r="BD10" s="1514">
        <v>85429.31</v>
      </c>
      <c r="BE10" s="1470">
        <v>-56714.87</v>
      </c>
      <c r="BF10" s="1514">
        <v>0</v>
      </c>
      <c r="BG10" s="2074">
        <f t="shared" si="4"/>
        <v>-160753.56</v>
      </c>
      <c r="BH10" s="2073">
        <v>0.95628183088298646</v>
      </c>
      <c r="BI10" s="1470">
        <f t="shared" si="5"/>
        <v>153725.70867775803</v>
      </c>
      <c r="BK10" s="929">
        <f t="shared" ref="BK10:BK15" si="18">(BB10+BD10+BE10)*BH10</f>
        <v>-153725.70867775803</v>
      </c>
      <c r="BL10" s="929">
        <v>-12093.7</v>
      </c>
      <c r="BM10" s="929">
        <f t="shared" si="6"/>
        <v>-11564.985578149573</v>
      </c>
      <c r="BN10" s="929">
        <f t="shared" ref="BN10:BN15" si="19">(BC10+BF10)*BH10</f>
        <v>0</v>
      </c>
      <c r="BO10" s="929">
        <f t="shared" si="7"/>
        <v>0</v>
      </c>
      <c r="BS10" s="477" t="s">
        <v>1684</v>
      </c>
      <c r="BT10" s="477" t="s">
        <v>1683</v>
      </c>
      <c r="BU10" s="1514">
        <f t="shared" si="8"/>
        <v>-86483.25</v>
      </c>
      <c r="BV10" s="1514">
        <f t="shared" si="9"/>
        <v>0</v>
      </c>
      <c r="BW10" s="1514">
        <f t="shared" si="10"/>
        <v>-86483.25</v>
      </c>
      <c r="BY10" s="1514">
        <v>-159773.82</v>
      </c>
      <c r="BZ10" s="1514">
        <v>0</v>
      </c>
      <c r="CB10" s="1514">
        <v>-159773.82</v>
      </c>
      <c r="CC10" s="1514">
        <v>11367.25</v>
      </c>
      <c r="CD10" s="1514">
        <f t="shared" si="11"/>
        <v>-171141.07</v>
      </c>
      <c r="CE10" s="1514">
        <v>84657.82</v>
      </c>
      <c r="CF10" s="929">
        <f t="shared" si="12"/>
        <v>-86483.25</v>
      </c>
      <c r="CH10" s="1514">
        <v>0</v>
      </c>
      <c r="CI10" s="1514">
        <v>0</v>
      </c>
      <c r="CJ10" s="1514">
        <f t="shared" si="13"/>
        <v>0</v>
      </c>
      <c r="CK10" s="1514">
        <v>0</v>
      </c>
      <c r="CL10" s="929">
        <f t="shared" si="14"/>
        <v>0</v>
      </c>
    </row>
    <row r="11" spans="1:90">
      <c r="A11" s="2003">
        <v>2</v>
      </c>
      <c r="B11" s="2002" t="s">
        <v>33</v>
      </c>
      <c r="C11" s="2002"/>
      <c r="D11" s="2002"/>
      <c r="G11" s="1989">
        <f>E11+F11</f>
        <v>0</v>
      </c>
      <c r="O11" s="2000"/>
      <c r="P11" s="2000">
        <f t="shared" si="15"/>
        <v>0</v>
      </c>
      <c r="U11" s="2062" t="s">
        <v>1635</v>
      </c>
      <c r="V11" s="2061" t="s">
        <v>1634</v>
      </c>
      <c r="W11" s="2056">
        <f>'G-2.11 EAS'!BW31</f>
        <v>17780658.899999999</v>
      </c>
      <c r="Y11" s="3833" t="s">
        <v>1633</v>
      </c>
      <c r="Z11" s="3834"/>
      <c r="AF11" s="2075">
        <v>44774</v>
      </c>
      <c r="AG11" s="1514">
        <v>-1542790.08</v>
      </c>
      <c r="AH11" s="1514"/>
      <c r="AI11" s="1514">
        <v>753800.9</v>
      </c>
      <c r="AJ11" s="1514">
        <v>-766668.47</v>
      </c>
      <c r="AK11" s="1514"/>
      <c r="AL11" s="2074">
        <f t="shared" si="0"/>
        <v>-1555657.65</v>
      </c>
      <c r="AM11" s="2073">
        <v>0.95628183088298646</v>
      </c>
      <c r="AN11" s="1470">
        <f t="shared" si="1"/>
        <v>1487647.1457691242</v>
      </c>
      <c r="AP11" s="929">
        <f t="shared" si="16"/>
        <v>-1487647.1457691242</v>
      </c>
      <c r="AQ11" s="929">
        <v>-152583.62999999989</v>
      </c>
      <c r="AR11" s="929">
        <f t="shared" si="2"/>
        <v>-145912.95305917208</v>
      </c>
      <c r="AS11" s="929">
        <f t="shared" si="17"/>
        <v>0</v>
      </c>
      <c r="AT11" s="929">
        <f t="shared" si="3"/>
        <v>0</v>
      </c>
      <c r="BA11" s="2075">
        <v>44774</v>
      </c>
      <c r="BB11" s="1514">
        <v>-148799.97</v>
      </c>
      <c r="BC11" s="1514">
        <v>0</v>
      </c>
      <c r="BD11" s="1514">
        <v>56714.87</v>
      </c>
      <c r="BE11" s="1470">
        <v>-52579.89</v>
      </c>
      <c r="BF11" s="1514">
        <v>0</v>
      </c>
      <c r="BG11" s="2074">
        <f t="shared" si="4"/>
        <v>-144664.99</v>
      </c>
      <c r="BH11" s="2073">
        <v>0.95628183088298646</v>
      </c>
      <c r="BI11" s="1470">
        <f t="shared" si="5"/>
        <v>138340.50150186892</v>
      </c>
      <c r="BK11" s="929">
        <f t="shared" si="18"/>
        <v>-138340.50150186892</v>
      </c>
      <c r="BL11" s="929">
        <v>-9497.8699999999953</v>
      </c>
      <c r="BM11" s="929">
        <f t="shared" si="6"/>
        <v>-9082.6405130885869</v>
      </c>
      <c r="BN11" s="929">
        <f t="shared" si="19"/>
        <v>0</v>
      </c>
      <c r="BO11" s="929">
        <f t="shared" si="7"/>
        <v>0</v>
      </c>
      <c r="BS11" s="477" t="s">
        <v>1682</v>
      </c>
      <c r="BT11" s="477" t="s">
        <v>1681</v>
      </c>
      <c r="BU11" s="1514">
        <f t="shared" si="8"/>
        <v>84158.150000000023</v>
      </c>
      <c r="BV11" s="1514">
        <f t="shared" si="9"/>
        <v>0</v>
      </c>
      <c r="BW11" s="1514">
        <f t="shared" si="10"/>
        <v>84158.150000000023</v>
      </c>
      <c r="BY11" s="1514">
        <v>-84905.2</v>
      </c>
      <c r="BZ11" s="1514">
        <v>0</v>
      </c>
      <c r="CB11" s="1514">
        <v>-84905.2</v>
      </c>
      <c r="CC11" s="1514">
        <v>258583.85</v>
      </c>
      <c r="CD11" s="1514">
        <f t="shared" si="11"/>
        <v>-343489.05</v>
      </c>
      <c r="CE11" s="1514">
        <v>427647.2</v>
      </c>
      <c r="CF11" s="929">
        <f t="shared" si="12"/>
        <v>84158.150000000023</v>
      </c>
      <c r="CH11" s="1514">
        <v>0</v>
      </c>
      <c r="CI11" s="1514">
        <v>0</v>
      </c>
      <c r="CJ11" s="1514">
        <f t="shared" si="13"/>
        <v>0</v>
      </c>
      <c r="CK11" s="1514">
        <v>0</v>
      </c>
      <c r="CL11" s="929">
        <f t="shared" si="14"/>
        <v>0</v>
      </c>
    </row>
    <row r="12" spans="1:90">
      <c r="A12" s="2003">
        <v>3</v>
      </c>
      <c r="B12" s="2002" t="s">
        <v>34</v>
      </c>
      <c r="C12" s="2002"/>
      <c r="D12" s="2002"/>
      <c r="E12" s="1989">
        <f>'G-2.11 EAS'!W22</f>
        <v>40402676</v>
      </c>
      <c r="F12" s="1989">
        <f>-E12</f>
        <v>-40402676</v>
      </c>
      <c r="G12" s="1989">
        <f>E12+F12</f>
        <v>0</v>
      </c>
      <c r="I12" s="2006">
        <f>-'G-2.11 EAS'!W15-'G-2.11 EAS'!W16</f>
        <v>-6498304.3200000003</v>
      </c>
      <c r="O12" s="2009">
        <f>-'G-2.11 EAS'!W14</f>
        <v>0</v>
      </c>
      <c r="P12" s="2004">
        <f t="shared" si="15"/>
        <v>-6498304.3200000003</v>
      </c>
      <c r="Q12" s="1999">
        <f>ROUND((F12-P12)/1000,0)</f>
        <v>-33904</v>
      </c>
      <c r="U12" s="2062" t="s">
        <v>1632</v>
      </c>
      <c r="V12" s="2061" t="s">
        <v>1631</v>
      </c>
      <c r="W12" s="2056">
        <f>'G-2.11 EAS'!BW32</f>
        <v>13328241.4</v>
      </c>
      <c r="Y12" s="3833" t="s">
        <v>1630</v>
      </c>
      <c r="Z12" s="3834"/>
      <c r="AF12" s="2075">
        <v>44805</v>
      </c>
      <c r="AG12" s="1514">
        <v>-1397709.62</v>
      </c>
      <c r="AH12" s="1514"/>
      <c r="AI12" s="1514">
        <v>766668.47</v>
      </c>
      <c r="AJ12" s="1514">
        <v>-539494.11</v>
      </c>
      <c r="AK12" s="1514"/>
      <c r="AL12" s="2074">
        <f t="shared" si="0"/>
        <v>-1170535.2600000002</v>
      </c>
      <c r="AM12" s="2073">
        <v>0.95628183088298646</v>
      </c>
      <c r="AN12" s="1470">
        <f t="shared" si="1"/>
        <v>1119361.6015458929</v>
      </c>
      <c r="AP12" s="929">
        <f t="shared" si="16"/>
        <v>-1119361.6015458929</v>
      </c>
      <c r="AQ12" s="929">
        <v>-138235.01999999979</v>
      </c>
      <c r="AR12" s="929">
        <f t="shared" si="2"/>
        <v>-132191.63801774604</v>
      </c>
      <c r="AS12" s="929">
        <f t="shared" si="17"/>
        <v>0</v>
      </c>
      <c r="AT12" s="929">
        <f t="shared" si="3"/>
        <v>0</v>
      </c>
      <c r="BA12" s="2075">
        <v>44805</v>
      </c>
      <c r="BB12" s="1514">
        <v>-158105.79999999999</v>
      </c>
      <c r="BC12" s="1514">
        <v>0</v>
      </c>
      <c r="BD12" s="1514">
        <v>52579.89</v>
      </c>
      <c r="BE12" s="1514">
        <v>-76959.09</v>
      </c>
      <c r="BF12" s="1514">
        <v>0</v>
      </c>
      <c r="BG12" s="2074">
        <f t="shared" si="4"/>
        <v>-182485</v>
      </c>
      <c r="BH12" s="2073">
        <v>0.95628183088298646</v>
      </c>
      <c r="BI12" s="1470">
        <f t="shared" si="5"/>
        <v>174507.08990868178</v>
      </c>
      <c r="BK12" s="929">
        <f t="shared" si="18"/>
        <v>-174507.08990868178</v>
      </c>
      <c r="BL12" s="929">
        <v>-10091.860000000015</v>
      </c>
      <c r="BM12" s="929">
        <f t="shared" si="6"/>
        <v>-9650.6623578147901</v>
      </c>
      <c r="BN12" s="929">
        <f t="shared" si="19"/>
        <v>0</v>
      </c>
      <c r="BO12" s="929">
        <f t="shared" si="7"/>
        <v>0</v>
      </c>
      <c r="BS12" s="182" t="s">
        <v>1697</v>
      </c>
      <c r="BT12" s="477" t="s">
        <v>1637</v>
      </c>
      <c r="BU12" s="1514">
        <f t="shared" si="8"/>
        <v>-19965280.190000001</v>
      </c>
      <c r="BV12" s="1514">
        <f t="shared" si="9"/>
        <v>-10036731.24</v>
      </c>
      <c r="BW12" s="1514">
        <f t="shared" si="10"/>
        <v>-30002011.43</v>
      </c>
      <c r="BY12" s="1514">
        <v>-13881575.76</v>
      </c>
      <c r="BZ12" s="1514">
        <v>-7265716.2999999998</v>
      </c>
      <c r="CB12" s="1514">
        <v>-13881575.76</v>
      </c>
      <c r="CC12" s="1514">
        <v>-6441088.7999999998</v>
      </c>
      <c r="CD12" s="1514">
        <f t="shared" si="11"/>
        <v>-7440486.96</v>
      </c>
      <c r="CE12" s="1514">
        <v>-12524793.23</v>
      </c>
      <c r="CF12" s="929">
        <f t="shared" si="12"/>
        <v>-19965280.190000001</v>
      </c>
      <c r="CH12" s="1514">
        <v>-7265716.2999999998</v>
      </c>
      <c r="CI12" s="1514">
        <v>-3901121.71</v>
      </c>
      <c r="CJ12" s="1514">
        <f t="shared" si="13"/>
        <v>-3364594.59</v>
      </c>
      <c r="CK12" s="1514">
        <v>-6672136.6500000004</v>
      </c>
      <c r="CL12" s="929">
        <f t="shared" si="14"/>
        <v>-10036731.24</v>
      </c>
    </row>
    <row r="13" spans="1:90">
      <c r="A13" s="2003">
        <v>4</v>
      </c>
      <c r="B13" s="2002" t="s">
        <v>35</v>
      </c>
      <c r="C13" s="2002"/>
      <c r="D13" s="2002"/>
      <c r="E13" s="2001">
        <f t="shared" ref="E13:O13" si="20">SUM(E10:E12)</f>
        <v>135316267.91413224</v>
      </c>
      <c r="F13" s="2001">
        <f t="shared" si="20"/>
        <v>-40402676</v>
      </c>
      <c r="G13" s="2001">
        <f t="shared" si="20"/>
        <v>94913591.914132223</v>
      </c>
      <c r="H13" s="2001">
        <f t="shared" si="20"/>
        <v>18663050.934725855</v>
      </c>
      <c r="I13" s="2001">
        <f t="shared" si="20"/>
        <v>322488.15994060878</v>
      </c>
      <c r="J13" s="2001">
        <f t="shared" si="20"/>
        <v>-8881321.9700000007</v>
      </c>
      <c r="K13" s="2001">
        <f t="shared" si="20"/>
        <v>-51145.87</v>
      </c>
      <c r="L13" s="2001">
        <f t="shared" si="20"/>
        <v>-3908085.44</v>
      </c>
      <c r="M13" s="2001">
        <f t="shared" si="20"/>
        <v>13992032.810330449</v>
      </c>
      <c r="N13" s="2001">
        <f t="shared" si="20"/>
        <v>39110</v>
      </c>
      <c r="O13" s="2001">
        <f t="shared" si="20"/>
        <v>0</v>
      </c>
      <c r="P13" s="2000">
        <f t="shared" si="15"/>
        <v>20176128.624996912</v>
      </c>
      <c r="Q13" s="2001">
        <f>SUM(Q10:Q12)</f>
        <v>-60578</v>
      </c>
      <c r="U13" s="2062" t="s">
        <v>1584</v>
      </c>
      <c r="V13" s="2061" t="s">
        <v>1581</v>
      </c>
      <c r="W13" s="2056">
        <f>'G-2.11 EAS'!BW33</f>
        <v>2245.8600000001024</v>
      </c>
      <c r="Y13" s="3833" t="s">
        <v>1629</v>
      </c>
      <c r="Z13" s="3834"/>
      <c r="AF13" s="2075">
        <v>44835</v>
      </c>
      <c r="AG13" s="1514">
        <v>-929179.75</v>
      </c>
      <c r="AH13" s="1514"/>
      <c r="AI13" s="1514">
        <v>539494.11</v>
      </c>
      <c r="AJ13" s="1514">
        <v>-649596.06999999995</v>
      </c>
      <c r="AK13" s="1514"/>
      <c r="AL13" s="2074">
        <f t="shared" si="0"/>
        <v>-1039281.71</v>
      </c>
      <c r="AM13" s="2073">
        <v>0.95628183088298646</v>
      </c>
      <c r="AN13" s="1470">
        <f t="shared" si="1"/>
        <v>993846.21644200094</v>
      </c>
      <c r="AP13" s="929">
        <f t="shared" si="16"/>
        <v>-993846.21644200094</v>
      </c>
      <c r="AQ13" s="929">
        <v>-263797.01</v>
      </c>
      <c r="AR13" s="929">
        <f t="shared" si="2"/>
        <v>-252264.2877042575</v>
      </c>
      <c r="AS13" s="929">
        <f t="shared" si="17"/>
        <v>0</v>
      </c>
      <c r="AT13" s="929">
        <f t="shared" si="3"/>
        <v>0</v>
      </c>
      <c r="AU13" s="477" t="s">
        <v>1658</v>
      </c>
      <c r="BA13" s="2075">
        <v>44835</v>
      </c>
      <c r="BB13" s="1514">
        <v>-202269.91</v>
      </c>
      <c r="BC13" s="1514">
        <v>0</v>
      </c>
      <c r="BD13" s="1514">
        <v>76959.09</v>
      </c>
      <c r="BE13" s="1514">
        <v>-245793.32</v>
      </c>
      <c r="BF13" s="1514">
        <v>0</v>
      </c>
      <c r="BG13" s="2074">
        <f t="shared" si="4"/>
        <v>-371104.14</v>
      </c>
      <c r="BH13" s="2073">
        <v>0.95628183088298646</v>
      </c>
      <c r="BI13" s="1470">
        <f t="shared" si="5"/>
        <v>354880.14644745615</v>
      </c>
      <c r="BK13" s="929">
        <f t="shared" si="18"/>
        <v>-354880.14644745615</v>
      </c>
      <c r="BL13" s="929">
        <v>-24915.369999999995</v>
      </c>
      <c r="BM13" s="929">
        <f t="shared" si="6"/>
        <v>-23826.115640727028</v>
      </c>
      <c r="BN13" s="929">
        <f t="shared" si="19"/>
        <v>0</v>
      </c>
      <c r="BO13" s="929">
        <f t="shared" si="7"/>
        <v>0</v>
      </c>
      <c r="BP13" s="477" t="s">
        <v>1658</v>
      </c>
      <c r="BS13" s="477" t="s">
        <v>1696</v>
      </c>
      <c r="BT13" s="477" t="s">
        <v>1692</v>
      </c>
      <c r="BU13" s="1514">
        <f t="shared" si="8"/>
        <v>-4806683.99</v>
      </c>
      <c r="BV13" s="1514">
        <f t="shared" si="9"/>
        <v>0</v>
      </c>
      <c r="BW13" s="1514">
        <f t="shared" si="10"/>
        <v>-4806683.99</v>
      </c>
      <c r="BY13" s="1514">
        <v>-2468401.87</v>
      </c>
      <c r="BZ13" s="1514">
        <v>0</v>
      </c>
      <c r="CB13" s="1514">
        <v>-2468401.87</v>
      </c>
      <c r="CC13" s="1514">
        <v>-558943.35</v>
      </c>
      <c r="CD13" s="1514">
        <f t="shared" si="11"/>
        <v>-1909458.52</v>
      </c>
      <c r="CE13" s="1514">
        <v>-2897225.47</v>
      </c>
      <c r="CF13" s="929">
        <f t="shared" si="12"/>
        <v>-4806683.99</v>
      </c>
      <c r="CH13" s="1514">
        <v>0</v>
      </c>
      <c r="CI13" s="1514">
        <v>0</v>
      </c>
      <c r="CJ13" s="1514">
        <f t="shared" si="13"/>
        <v>0</v>
      </c>
      <c r="CK13" s="1514">
        <v>0</v>
      </c>
      <c r="CL13" s="929">
        <f t="shared" si="14"/>
        <v>0</v>
      </c>
    </row>
    <row r="14" spans="1:90">
      <c r="A14" s="2003"/>
      <c r="B14" s="2002"/>
      <c r="C14" s="2002"/>
      <c r="D14" s="2002"/>
      <c r="P14" s="2000">
        <f t="shared" si="15"/>
        <v>0</v>
      </c>
      <c r="U14" s="2058">
        <v>495311</v>
      </c>
      <c r="V14" s="2059" t="s">
        <v>1628</v>
      </c>
      <c r="W14" s="2056">
        <f>'G-2.11 EAS'!BW34</f>
        <v>0</v>
      </c>
      <c r="Y14" s="3835" t="s">
        <v>1627</v>
      </c>
      <c r="Z14" s="3836"/>
      <c r="AF14" s="2075">
        <v>44866</v>
      </c>
      <c r="AG14" s="1514">
        <v>-1417929.38</v>
      </c>
      <c r="AH14" s="1514"/>
      <c r="AI14" s="1514">
        <v>649596.06999999995</v>
      </c>
      <c r="AJ14" s="1514">
        <v>-909891.32</v>
      </c>
      <c r="AK14" s="1514"/>
      <c r="AL14" s="2074">
        <f t="shared" si="0"/>
        <v>-1678224.63</v>
      </c>
      <c r="AM14" s="2073">
        <v>0.95628183088298646</v>
      </c>
      <c r="AN14" s="1470">
        <f t="shared" si="1"/>
        <v>1604855.7218093225</v>
      </c>
      <c r="AP14" s="929">
        <f t="shared" si="16"/>
        <v>-1604855.7218093225</v>
      </c>
      <c r="AQ14" s="929">
        <v>0</v>
      </c>
      <c r="AR14" s="929">
        <f t="shared" si="2"/>
        <v>0</v>
      </c>
      <c r="AS14" s="929">
        <f t="shared" si="17"/>
        <v>0</v>
      </c>
      <c r="AT14" s="929">
        <f t="shared" si="3"/>
        <v>0</v>
      </c>
      <c r="BA14" s="2075">
        <v>44866</v>
      </c>
      <c r="BB14" s="1514">
        <v>-797954.09</v>
      </c>
      <c r="BC14" s="1514">
        <v>0</v>
      </c>
      <c r="BD14" s="1514">
        <v>245793.32</v>
      </c>
      <c r="BE14" s="1514">
        <v>-776018.05</v>
      </c>
      <c r="BF14" s="1514">
        <v>0</v>
      </c>
      <c r="BG14" s="2074">
        <f t="shared" si="4"/>
        <v>-1328178.82</v>
      </c>
      <c r="BH14" s="2073">
        <v>0.95628183088298646</v>
      </c>
      <c r="BI14" s="1470">
        <f t="shared" si="5"/>
        <v>1270113.2737296047</v>
      </c>
      <c r="BK14" s="929">
        <f t="shared" si="18"/>
        <v>-1270113.2737296047</v>
      </c>
      <c r="BL14" s="929">
        <v>0</v>
      </c>
      <c r="BM14" s="929">
        <f t="shared" si="6"/>
        <v>0</v>
      </c>
      <c r="BN14" s="929">
        <f t="shared" si="19"/>
        <v>0</v>
      </c>
      <c r="BO14" s="929">
        <f t="shared" si="7"/>
        <v>0</v>
      </c>
      <c r="BS14" s="477" t="s">
        <v>1695</v>
      </c>
      <c r="BT14" s="477" t="s">
        <v>1690</v>
      </c>
      <c r="BU14" s="1514">
        <f t="shared" si="8"/>
        <v>5885214.6000000006</v>
      </c>
      <c r="BV14" s="1514">
        <f t="shared" si="9"/>
        <v>0</v>
      </c>
      <c r="BW14" s="1514">
        <f t="shared" si="10"/>
        <v>5885214.6000000006</v>
      </c>
      <c r="BY14" s="1514">
        <v>11188489.560000001</v>
      </c>
      <c r="BZ14" s="1514">
        <v>0</v>
      </c>
      <c r="CB14" s="1514">
        <v>11188489.560000001</v>
      </c>
      <c r="CC14" s="1514">
        <v>6584471.8300000001</v>
      </c>
      <c r="CD14" s="1514">
        <f t="shared" si="11"/>
        <v>4604017.7300000004</v>
      </c>
      <c r="CE14" s="1514">
        <v>1281196.8700000001</v>
      </c>
      <c r="CF14" s="929">
        <f t="shared" si="12"/>
        <v>5885214.6000000006</v>
      </c>
      <c r="CH14" s="1514">
        <v>0</v>
      </c>
      <c r="CI14" s="1514">
        <v>0</v>
      </c>
      <c r="CJ14" s="1514">
        <f t="shared" si="13"/>
        <v>0</v>
      </c>
      <c r="CK14" s="1514">
        <v>0</v>
      </c>
      <c r="CL14" s="929">
        <f t="shared" si="14"/>
        <v>0</v>
      </c>
    </row>
    <row r="15" spans="1:90">
      <c r="A15" s="2003"/>
      <c r="B15" s="2002" t="s">
        <v>36</v>
      </c>
      <c r="C15" s="2002"/>
      <c r="D15" s="2002"/>
      <c r="P15" s="2000">
        <f t="shared" si="15"/>
        <v>0</v>
      </c>
      <c r="U15" s="2058">
        <v>495329</v>
      </c>
      <c r="V15" s="2057" t="s">
        <v>1626</v>
      </c>
      <c r="W15" s="2056">
        <f>'G-2.11 EAS'!BW35</f>
        <v>4884734.74</v>
      </c>
      <c r="Y15" s="3837" t="s">
        <v>1625</v>
      </c>
      <c r="Z15" s="3838"/>
      <c r="AF15" s="2072">
        <v>44896</v>
      </c>
      <c r="AG15" s="1514">
        <v>-2041240.2</v>
      </c>
      <c r="AH15" s="1514">
        <v>-101623.97</v>
      </c>
      <c r="AI15" s="1514">
        <v>909891.32</v>
      </c>
      <c r="AJ15" s="1514">
        <v>-1025835.93</v>
      </c>
      <c r="AK15" s="1514">
        <v>-251063.00645161289</v>
      </c>
      <c r="AL15" s="2071">
        <f t="shared" si="0"/>
        <v>-2509871.7864516131</v>
      </c>
      <c r="AM15" s="2070">
        <v>0.95628183088298646</v>
      </c>
      <c r="AN15" s="2069">
        <f t="shared" si="1"/>
        <v>2400144.7872295007</v>
      </c>
      <c r="AP15" s="929">
        <f t="shared" si="16"/>
        <v>-2062876.6396597673</v>
      </c>
      <c r="AQ15" s="929">
        <v>0</v>
      </c>
      <c r="AR15" s="929">
        <f t="shared" si="2"/>
        <v>0</v>
      </c>
      <c r="AS15" s="929">
        <f t="shared" si="17"/>
        <v>-337268.14756973309</v>
      </c>
      <c r="AT15" s="929">
        <f t="shared" si="3"/>
        <v>0</v>
      </c>
      <c r="BA15" s="2072">
        <v>44896</v>
      </c>
      <c r="BB15" s="2071">
        <v>-1625151.69</v>
      </c>
      <c r="BC15" s="2071">
        <v>-60574.81</v>
      </c>
      <c r="BD15" s="2071">
        <v>776018.05</v>
      </c>
      <c r="BE15" s="2071">
        <v>-906119</v>
      </c>
      <c r="BF15" s="2071">
        <v>-202676.50967741938</v>
      </c>
      <c r="BG15" s="2071">
        <f t="shared" si="4"/>
        <v>-2018503.9596774194</v>
      </c>
      <c r="BH15" s="2070">
        <v>0.95628183088298646</v>
      </c>
      <c r="BI15" s="2069">
        <f t="shared" si="5"/>
        <v>1930258.6622048805</v>
      </c>
      <c r="BK15" s="929">
        <f t="shared" si="18"/>
        <v>-1678516.2082413954</v>
      </c>
      <c r="BL15" s="929">
        <v>0</v>
      </c>
      <c r="BM15" s="929">
        <f t="shared" si="6"/>
        <v>0</v>
      </c>
      <c r="BN15" s="929">
        <f t="shared" si="19"/>
        <v>-251742.45396348496</v>
      </c>
      <c r="BO15" s="929">
        <f t="shared" si="7"/>
        <v>0</v>
      </c>
      <c r="BS15" s="182" t="s">
        <v>1694</v>
      </c>
      <c r="BT15" s="477" t="s">
        <v>1674</v>
      </c>
      <c r="BU15" s="1514">
        <f t="shared" si="8"/>
        <v>0</v>
      </c>
      <c r="BV15" s="1514">
        <f t="shared" si="9"/>
        <v>0</v>
      </c>
      <c r="BW15" s="1514">
        <f t="shared" si="10"/>
        <v>0</v>
      </c>
      <c r="BY15" s="1514">
        <v>0</v>
      </c>
      <c r="BZ15" s="1514">
        <v>-1022805.86</v>
      </c>
      <c r="CB15" s="1514">
        <v>0</v>
      </c>
      <c r="CC15" s="1514">
        <v>0</v>
      </c>
      <c r="CD15" s="1514">
        <f t="shared" si="11"/>
        <v>0</v>
      </c>
      <c r="CE15" s="1514">
        <v>0</v>
      </c>
      <c r="CF15" s="929">
        <f t="shared" si="12"/>
        <v>0</v>
      </c>
      <c r="CH15" s="1514">
        <v>-1022805.86</v>
      </c>
      <c r="CI15" s="1514">
        <v>-1022805.86</v>
      </c>
      <c r="CJ15" s="1514">
        <f t="shared" si="13"/>
        <v>0</v>
      </c>
      <c r="CK15" s="1514">
        <v>0</v>
      </c>
      <c r="CL15" s="929">
        <f t="shared" si="14"/>
        <v>0</v>
      </c>
    </row>
    <row r="16" spans="1:90">
      <c r="A16" s="2003"/>
      <c r="B16" s="2002" t="s">
        <v>192</v>
      </c>
      <c r="C16" s="2002"/>
      <c r="D16" s="2002"/>
      <c r="P16" s="2000">
        <f t="shared" si="15"/>
        <v>0</v>
      </c>
      <c r="U16" s="2058">
        <v>495339</v>
      </c>
      <c r="V16" s="2057" t="s">
        <v>1624</v>
      </c>
      <c r="W16" s="2056">
        <f>'G-2.11 EAS'!BW36</f>
        <v>1613569.58</v>
      </c>
      <c r="Y16" s="3837" t="s">
        <v>1623</v>
      </c>
      <c r="Z16" s="3838"/>
      <c r="BS16" s="477" t="s">
        <v>1693</v>
      </c>
      <c r="BT16" s="477" t="s">
        <v>1692</v>
      </c>
      <c r="BU16" s="1514">
        <f t="shared" si="8"/>
        <v>0</v>
      </c>
      <c r="BV16" s="1514">
        <f t="shared" si="9"/>
        <v>4884734.74</v>
      </c>
      <c r="BW16" s="1514">
        <f t="shared" si="10"/>
        <v>4884734.74</v>
      </c>
      <c r="BY16" s="1514">
        <v>0</v>
      </c>
      <c r="BZ16" s="1514">
        <v>2782530.92</v>
      </c>
      <c r="CB16" s="1514">
        <v>0</v>
      </c>
      <c r="CC16" s="1514">
        <v>0</v>
      </c>
      <c r="CD16" s="1514">
        <f t="shared" si="11"/>
        <v>0</v>
      </c>
      <c r="CE16" s="1514">
        <v>0</v>
      </c>
      <c r="CF16" s="929">
        <f t="shared" si="12"/>
        <v>0</v>
      </c>
      <c r="CH16" s="1514">
        <v>2782530.92</v>
      </c>
      <c r="CI16" s="1514">
        <v>724559.16</v>
      </c>
      <c r="CJ16" s="1514">
        <f t="shared" si="13"/>
        <v>2057971.7599999998</v>
      </c>
      <c r="CK16" s="1514">
        <v>2826762.98</v>
      </c>
      <c r="CL16" s="929">
        <f t="shared" si="14"/>
        <v>4884734.74</v>
      </c>
    </row>
    <row r="17" spans="1:90">
      <c r="A17" s="2003">
        <v>5</v>
      </c>
      <c r="B17" s="2002"/>
      <c r="C17" s="2002" t="s">
        <v>37</v>
      </c>
      <c r="D17" s="2002"/>
      <c r="E17" s="2006">
        <f>'G-2.11 EAS'!W24+'G-2.11 EAS'!W25</f>
        <v>122039877.09999999</v>
      </c>
      <c r="F17" s="1989">
        <f>F12-F19</f>
        <v>-31613815</v>
      </c>
      <c r="G17" s="1989">
        <f>E17+F17</f>
        <v>90426062.099999994</v>
      </c>
      <c r="H17" s="2006">
        <f>'G-2.11 EAS'!W11</f>
        <v>17780658.899999999</v>
      </c>
      <c r="I17" s="1989">
        <v>0</v>
      </c>
      <c r="J17" s="1989">
        <v>0</v>
      </c>
      <c r="K17" s="1989">
        <v>0</v>
      </c>
      <c r="L17" s="1989">
        <v>0</v>
      </c>
      <c r="O17" s="2000"/>
      <c r="P17" s="2000">
        <f t="shared" si="15"/>
        <v>17780658.899999999</v>
      </c>
      <c r="Q17" s="1999">
        <f>ROUND(-P17/1000+F17/1000,0)</f>
        <v>-49394</v>
      </c>
      <c r="U17" s="2055" t="s">
        <v>24</v>
      </c>
      <c r="V17" s="2021"/>
      <c r="W17" s="2054">
        <f>SUM(W9:W16)</f>
        <v>27523809.379999995</v>
      </c>
      <c r="AG17" s="2068">
        <f t="shared" ref="AG17:AL17" si="21">SUM(AG4:AG16)</f>
        <v>-18188250.059999999</v>
      </c>
      <c r="AH17" s="2068">
        <f t="shared" si="21"/>
        <v>-7111496.4500000002</v>
      </c>
      <c r="AI17" s="2068">
        <f t="shared" si="21"/>
        <v>10786732.08</v>
      </c>
      <c r="AJ17" s="2068">
        <f t="shared" si="21"/>
        <v>-8321914.8900000006</v>
      </c>
      <c r="AK17" s="2068">
        <f t="shared" si="21"/>
        <v>-2679813.516451613</v>
      </c>
      <c r="AL17" s="2068">
        <f t="shared" si="21"/>
        <v>-25514742.836451612</v>
      </c>
      <c r="AM17" s="2068"/>
      <c r="AN17" s="2068">
        <f>SUM(AN4:AN16)</f>
        <v>24399284.994150512</v>
      </c>
      <c r="AP17" s="929">
        <f>SUM(AP4:AP16)</f>
        <v>-17319818.98630172</v>
      </c>
      <c r="AQ17" s="929">
        <f>SUM(AQ4:AQ16)</f>
        <v>-675526.03999999969</v>
      </c>
      <c r="AR17" s="929">
        <f>SUM(AR4:AR16)</f>
        <v>-645993.27834033326</v>
      </c>
      <c r="AS17" s="929">
        <f>SUM(AS4:AS16)</f>
        <v>-7079466.0112420497</v>
      </c>
      <c r="BB17" s="2068">
        <f t="shared" ref="BB17:BG17" si="22">SUM(BB4:BB16)</f>
        <v>-8886894.4299999997</v>
      </c>
      <c r="BC17" s="2068">
        <f t="shared" si="22"/>
        <v>-3848325.48</v>
      </c>
      <c r="BD17" s="2068">
        <f t="shared" si="22"/>
        <v>6408928.5099999988</v>
      </c>
      <c r="BE17" s="2068">
        <f t="shared" si="22"/>
        <v>-4543897.46</v>
      </c>
      <c r="BF17" s="2068">
        <f t="shared" si="22"/>
        <v>-1919218.5496774195</v>
      </c>
      <c r="BG17" s="2068">
        <f t="shared" si="22"/>
        <v>-12789407.40967742</v>
      </c>
      <c r="BH17" s="2068"/>
      <c r="BI17" s="2068">
        <f>SUM(BI4:BI16)</f>
        <v>12230277.933634754</v>
      </c>
      <c r="BK17" s="929">
        <f>SUM(BK4:BK16)</f>
        <v>-8493046.834132893</v>
      </c>
      <c r="BL17" s="929">
        <f>SUM(BL4:BL16)</f>
        <v>-56598.8</v>
      </c>
      <c r="BM17" s="929">
        <f>SUM(BM4:BM16)</f>
        <v>-54124.404089779986</v>
      </c>
      <c r="BN17" s="929">
        <f>SUM(BN4:BN16)</f>
        <v>-3737231.0998103418</v>
      </c>
      <c r="BS17" s="477" t="s">
        <v>1691</v>
      </c>
      <c r="BT17" s="477" t="s">
        <v>1690</v>
      </c>
      <c r="BU17" s="1514">
        <f t="shared" si="8"/>
        <v>0</v>
      </c>
      <c r="BV17" s="1514">
        <f t="shared" si="9"/>
        <v>1613569.58</v>
      </c>
      <c r="BW17" s="1514">
        <f t="shared" si="10"/>
        <v>1613569.58</v>
      </c>
      <c r="BY17" s="1514">
        <v>0</v>
      </c>
      <c r="BZ17" s="1514">
        <v>940704.24</v>
      </c>
      <c r="CB17" s="1514">
        <v>0</v>
      </c>
      <c r="CC17" s="1514">
        <v>0</v>
      </c>
      <c r="CD17" s="1514">
        <f t="shared" si="11"/>
        <v>0</v>
      </c>
      <c r="CE17" s="1514">
        <v>0</v>
      </c>
      <c r="CF17" s="929">
        <f t="shared" si="12"/>
        <v>0</v>
      </c>
      <c r="CH17" s="1514">
        <v>940704.24</v>
      </c>
      <c r="CI17" s="1514">
        <v>273983.03000000003</v>
      </c>
      <c r="CJ17" s="1514">
        <f t="shared" si="13"/>
        <v>666721.21</v>
      </c>
      <c r="CK17" s="1514">
        <v>946848.37</v>
      </c>
      <c r="CL17" s="929">
        <f t="shared" si="14"/>
        <v>1613569.58</v>
      </c>
    </row>
    <row r="18" spans="1:90">
      <c r="A18" s="2003">
        <v>6</v>
      </c>
      <c r="B18" s="2002"/>
      <c r="C18" s="2002" t="s">
        <v>38</v>
      </c>
      <c r="D18" s="2002"/>
      <c r="G18" s="2005">
        <f>E18+F18</f>
        <v>0</v>
      </c>
      <c r="O18" s="2000"/>
      <c r="P18" s="2000">
        <f t="shared" si="15"/>
        <v>0</v>
      </c>
      <c r="AO18" s="477">
        <v>0.21</v>
      </c>
      <c r="AP18" s="929">
        <f>AP17*AO18</f>
        <v>-3637161.9871233613</v>
      </c>
      <c r="AQ18" s="929">
        <f>AQ17*AO18</f>
        <v>-141860.46839999993</v>
      </c>
      <c r="AR18" s="929">
        <f>AR17*AO18</f>
        <v>-135658.58845146999</v>
      </c>
      <c r="AS18" s="929">
        <f>AO18*AS17</f>
        <v>-1486687.8623608304</v>
      </c>
      <c r="BJ18" s="477">
        <v>0.21</v>
      </c>
      <c r="BK18" s="929">
        <f>BK17*BJ18</f>
        <v>-1783539.8351679074</v>
      </c>
      <c r="BL18" s="929">
        <f>BL17*BJ18</f>
        <v>-11885.748</v>
      </c>
      <c r="BM18" s="929">
        <f>BM17*BJ18</f>
        <v>-11366.124858853796</v>
      </c>
      <c r="BN18" s="929">
        <f>BJ18*BN17</f>
        <v>-784818.53096017172</v>
      </c>
      <c r="BS18" s="477" t="s">
        <v>1680</v>
      </c>
      <c r="BT18" s="477" t="s">
        <v>1582</v>
      </c>
      <c r="BU18" s="1514">
        <f t="shared" si="8"/>
        <v>0</v>
      </c>
      <c r="BV18" s="1514">
        <f t="shared" si="9"/>
        <v>0</v>
      </c>
      <c r="BW18" s="1514">
        <f t="shared" si="10"/>
        <v>0</v>
      </c>
      <c r="BY18" s="1514">
        <v>730338</v>
      </c>
      <c r="BZ18" s="1514">
        <v>0</v>
      </c>
      <c r="CB18" s="1514">
        <v>730338</v>
      </c>
      <c r="CC18" s="1514">
        <v>730338</v>
      </c>
      <c r="CD18" s="1514">
        <f t="shared" si="11"/>
        <v>0</v>
      </c>
      <c r="CE18" s="1514">
        <v>0</v>
      </c>
      <c r="CF18" s="929">
        <f t="shared" si="12"/>
        <v>0</v>
      </c>
      <c r="CH18" s="1514">
        <v>0</v>
      </c>
      <c r="CI18" s="1514">
        <v>0</v>
      </c>
      <c r="CJ18" s="1514">
        <f t="shared" si="13"/>
        <v>0</v>
      </c>
      <c r="CK18" s="1514">
        <v>0</v>
      </c>
      <c r="CL18" s="929">
        <f t="shared" si="14"/>
        <v>0</v>
      </c>
    </row>
    <row r="19" spans="1:90">
      <c r="A19" s="2003">
        <v>7</v>
      </c>
      <c r="B19" s="2002"/>
      <c r="C19" s="2002" t="s">
        <v>39</v>
      </c>
      <c r="D19" s="2002"/>
      <c r="E19" s="2006">
        <f>'G-2.11 EAS'!W26+'G-2.11 EAS'!W27</f>
        <v>8788861</v>
      </c>
      <c r="F19" s="1989">
        <f>-E19</f>
        <v>-8788861</v>
      </c>
      <c r="G19" s="2005">
        <f>E19+F19</f>
        <v>0</v>
      </c>
      <c r="O19" s="2000"/>
      <c r="P19" s="2004">
        <f t="shared" si="15"/>
        <v>0</v>
      </c>
      <c r="Q19" s="1999">
        <f>ROUND(F19/1000,0)</f>
        <v>-8789</v>
      </c>
      <c r="U19" s="477" t="s">
        <v>1622</v>
      </c>
      <c r="AO19" s="890" t="s">
        <v>1657</v>
      </c>
      <c r="AP19" s="929">
        <f>AP17-AP18</f>
        <v>-13682656.999178359</v>
      </c>
      <c r="AQ19" s="929">
        <f>AQ17-AQ18</f>
        <v>-533665.57159999979</v>
      </c>
      <c r="AR19" s="929">
        <f>AR17-AR18</f>
        <v>-510334.68988886324</v>
      </c>
      <c r="AS19" s="929">
        <f>AS17-AS18</f>
        <v>-5592778.1488812193</v>
      </c>
      <c r="BJ19" s="890" t="s">
        <v>1657</v>
      </c>
      <c r="BK19" s="929">
        <f>BK17-BK18</f>
        <v>-6709506.9989649858</v>
      </c>
      <c r="BL19" s="929">
        <f>BL17-BL18</f>
        <v>-44713.052000000003</v>
      </c>
      <c r="BM19" s="929">
        <f>BM17-BM18</f>
        <v>-42758.279230926186</v>
      </c>
      <c r="BN19" s="929">
        <f>BN17-BN18</f>
        <v>-2952412.5688501699</v>
      </c>
      <c r="BS19" s="477" t="s">
        <v>1679</v>
      </c>
      <c r="BT19" s="477" t="s">
        <v>1678</v>
      </c>
      <c r="BU19" s="1514">
        <f t="shared" si="8"/>
        <v>0</v>
      </c>
      <c r="BV19" s="1514">
        <f t="shared" si="9"/>
        <v>0</v>
      </c>
      <c r="BW19" s="1514">
        <f t="shared" si="10"/>
        <v>0</v>
      </c>
      <c r="BY19" s="1514">
        <v>-5747222</v>
      </c>
      <c r="BZ19" s="1514">
        <v>0</v>
      </c>
      <c r="CB19" s="1514">
        <v>-5747222</v>
      </c>
      <c r="CC19" s="1514">
        <v>-5747222</v>
      </c>
      <c r="CD19" s="1514">
        <f t="shared" si="11"/>
        <v>0</v>
      </c>
      <c r="CE19" s="1514">
        <v>0</v>
      </c>
      <c r="CF19" s="929">
        <f t="shared" si="12"/>
        <v>0</v>
      </c>
      <c r="CH19" s="1514">
        <v>0</v>
      </c>
      <c r="CI19" s="1514">
        <v>0</v>
      </c>
      <c r="CJ19" s="1514">
        <f t="shared" si="13"/>
        <v>0</v>
      </c>
      <c r="CK19" s="1514">
        <v>0</v>
      </c>
      <c r="CL19" s="929">
        <f t="shared" si="14"/>
        <v>0</v>
      </c>
    </row>
    <row r="20" spans="1:90">
      <c r="A20" s="2003">
        <v>8</v>
      </c>
      <c r="B20" s="2002" t="s">
        <v>40</v>
      </c>
      <c r="C20" s="2002"/>
      <c r="D20" s="2002"/>
      <c r="E20" s="2001">
        <f t="shared" ref="E20:O20" si="23">SUM(E17:E19)</f>
        <v>130828738.09999999</v>
      </c>
      <c r="F20" s="2001">
        <f t="shared" si="23"/>
        <v>-40402676</v>
      </c>
      <c r="G20" s="2001">
        <f t="shared" si="23"/>
        <v>90426062.099999994</v>
      </c>
      <c r="H20" s="2001">
        <f t="shared" si="23"/>
        <v>17780658.899999999</v>
      </c>
      <c r="I20" s="2001">
        <f t="shared" si="23"/>
        <v>0</v>
      </c>
      <c r="J20" s="2001">
        <f t="shared" si="23"/>
        <v>0</v>
      </c>
      <c r="K20" s="2001">
        <f t="shared" si="23"/>
        <v>0</v>
      </c>
      <c r="L20" s="2001">
        <f t="shared" si="23"/>
        <v>0</v>
      </c>
      <c r="M20" s="2001">
        <f t="shared" si="23"/>
        <v>0</v>
      </c>
      <c r="N20" s="2001">
        <f t="shared" si="23"/>
        <v>0</v>
      </c>
      <c r="O20" s="2001">
        <f t="shared" si="23"/>
        <v>0</v>
      </c>
      <c r="P20" s="2000">
        <f t="shared" si="15"/>
        <v>17780658.899999999</v>
      </c>
      <c r="Q20" s="2001">
        <f>SUM(Q17:Q19)</f>
        <v>-58183</v>
      </c>
      <c r="U20" s="890" t="s">
        <v>1621</v>
      </c>
      <c r="V20" s="477" t="s">
        <v>1620</v>
      </c>
      <c r="W20" s="516">
        <v>36674988</v>
      </c>
      <c r="Y20" s="477" t="s">
        <v>1611</v>
      </c>
      <c r="AR20" s="929"/>
      <c r="BA20" s="890"/>
      <c r="BM20" s="929"/>
      <c r="BS20" s="477" t="s">
        <v>1677</v>
      </c>
      <c r="BT20" s="477" t="s">
        <v>1676</v>
      </c>
      <c r="BU20" s="1514">
        <f t="shared" si="8"/>
        <v>-3425532.14</v>
      </c>
      <c r="BV20" s="1514">
        <f t="shared" si="9"/>
        <v>0</v>
      </c>
      <c r="BW20" s="1514">
        <f t="shared" si="10"/>
        <v>-3425532.14</v>
      </c>
      <c r="BY20" s="1514">
        <v>-2079906.84</v>
      </c>
      <c r="BZ20" s="1514">
        <v>0</v>
      </c>
      <c r="CB20" s="1514">
        <v>-2079906.84</v>
      </c>
      <c r="CC20" s="1514">
        <v>-430615.48</v>
      </c>
      <c r="CD20" s="1514">
        <f t="shared" si="11"/>
        <v>-1649291.36</v>
      </c>
      <c r="CE20" s="1514">
        <v>-1776240.78</v>
      </c>
      <c r="CF20" s="929">
        <f t="shared" si="12"/>
        <v>-3425532.14</v>
      </c>
      <c r="CH20" s="1514">
        <v>0</v>
      </c>
      <c r="CI20" s="1514">
        <v>0</v>
      </c>
      <c r="CJ20" s="1514">
        <f t="shared" si="13"/>
        <v>0</v>
      </c>
      <c r="CK20" s="1514">
        <v>0</v>
      </c>
      <c r="CL20" s="929">
        <f t="shared" si="14"/>
        <v>0</v>
      </c>
    </row>
    <row r="21" spans="1:90">
      <c r="A21" s="2003"/>
      <c r="B21" s="2002"/>
      <c r="C21" s="2002"/>
      <c r="D21" s="2002"/>
      <c r="P21" s="2000">
        <f t="shared" si="15"/>
        <v>0</v>
      </c>
      <c r="U21" s="1141">
        <v>495028</v>
      </c>
      <c r="V21" s="1141" t="s">
        <v>1619</v>
      </c>
      <c r="W21" s="2049">
        <v>3727688</v>
      </c>
      <c r="Y21" s="2053" t="s">
        <v>1618</v>
      </c>
      <c r="Z21" s="2052"/>
      <c r="BA21" s="890"/>
      <c r="BS21" s="477" t="s">
        <v>1635</v>
      </c>
      <c r="BT21" s="477" t="s">
        <v>1634</v>
      </c>
      <c r="BU21" s="1514">
        <f t="shared" si="8"/>
        <v>0</v>
      </c>
      <c r="BV21" s="1514">
        <f t="shared" si="9"/>
        <v>17780658.899999999</v>
      </c>
      <c r="BW21" s="1514">
        <f t="shared" si="10"/>
        <v>17780658.899999999</v>
      </c>
      <c r="BY21" s="1514">
        <v>0</v>
      </c>
      <c r="BZ21" s="1514">
        <v>9044910.8100000005</v>
      </c>
      <c r="CB21" s="1514">
        <v>0</v>
      </c>
      <c r="CC21" s="1514">
        <v>0</v>
      </c>
      <c r="CD21" s="1514">
        <f t="shared" si="11"/>
        <v>0</v>
      </c>
      <c r="CE21" s="1514">
        <v>0</v>
      </c>
      <c r="CF21" s="929">
        <f t="shared" si="12"/>
        <v>0</v>
      </c>
      <c r="CH21" s="1514">
        <v>9044910.8100000005</v>
      </c>
      <c r="CI21" s="1514">
        <v>2662757.7799999998</v>
      </c>
      <c r="CJ21" s="1514">
        <f t="shared" si="13"/>
        <v>6382153.0300000012</v>
      </c>
      <c r="CK21" s="1514">
        <v>11398505.869999999</v>
      </c>
      <c r="CL21" s="929">
        <f t="shared" si="14"/>
        <v>17780658.899999999</v>
      </c>
    </row>
    <row r="22" spans="1:90">
      <c r="A22" s="2003"/>
      <c r="B22" s="2002" t="s">
        <v>41</v>
      </c>
      <c r="C22" s="2002"/>
      <c r="D22" s="2002"/>
      <c r="P22" s="2000">
        <f t="shared" si="15"/>
        <v>0</v>
      </c>
      <c r="V22" s="477" t="s">
        <v>1617</v>
      </c>
      <c r="W22" s="2051">
        <f>W20+W21</f>
        <v>40402676</v>
      </c>
      <c r="Y22" s="987"/>
      <c r="Z22" s="987"/>
      <c r="BA22" s="890"/>
      <c r="BS22" s="477" t="s">
        <v>1632</v>
      </c>
      <c r="BT22" s="477" t="s">
        <v>1631</v>
      </c>
      <c r="BU22" s="1514">
        <f t="shared" si="8"/>
        <v>23225764.449999999</v>
      </c>
      <c r="BV22" s="1514">
        <f t="shared" si="9"/>
        <v>13328241.4</v>
      </c>
      <c r="BW22" s="1514">
        <f t="shared" si="10"/>
        <v>36554005.850000001</v>
      </c>
      <c r="BY22" s="1514">
        <v>22366837.989999998</v>
      </c>
      <c r="BZ22" s="1514">
        <v>11140717.9</v>
      </c>
      <c r="CB22" s="1514">
        <v>22366837.989999998</v>
      </c>
      <c r="CC22" s="1514">
        <v>11109800.85</v>
      </c>
      <c r="CD22" s="1514">
        <f t="shared" si="11"/>
        <v>11257037.139999999</v>
      </c>
      <c r="CE22" s="1514">
        <v>11968727.310000001</v>
      </c>
      <c r="CF22" s="929">
        <f t="shared" si="12"/>
        <v>23225764.449999999</v>
      </c>
      <c r="CH22" s="1514">
        <v>11140717.9</v>
      </c>
      <c r="CI22" s="1514">
        <v>6567638.2400000002</v>
      </c>
      <c r="CJ22" s="1514">
        <f t="shared" si="13"/>
        <v>4573079.66</v>
      </c>
      <c r="CK22" s="1514">
        <v>8755161.7400000002</v>
      </c>
      <c r="CL22" s="929">
        <f t="shared" si="14"/>
        <v>13328241.4</v>
      </c>
    </row>
    <row r="23" spans="1:90">
      <c r="A23" s="2003">
        <v>9</v>
      </c>
      <c r="B23" s="2002"/>
      <c r="C23" s="2002" t="s">
        <v>42</v>
      </c>
      <c r="D23" s="2002"/>
      <c r="G23" s="2005">
        <f>E23+F23</f>
        <v>0</v>
      </c>
      <c r="O23" s="2000"/>
      <c r="P23" s="2000">
        <f t="shared" si="15"/>
        <v>0</v>
      </c>
      <c r="W23" s="515"/>
      <c r="AQ23" s="929"/>
      <c r="BA23" s="890"/>
      <c r="BS23" s="477" t="s">
        <v>1584</v>
      </c>
      <c r="BT23" s="477" t="s">
        <v>1581</v>
      </c>
      <c r="BU23" s="1514">
        <f t="shared" si="8"/>
        <v>-97999.780000000028</v>
      </c>
      <c r="BV23" s="1514">
        <f t="shared" si="9"/>
        <v>2245.8600000001024</v>
      </c>
      <c r="BW23" s="1514">
        <f t="shared" si="10"/>
        <v>-95753.919999999925</v>
      </c>
      <c r="BY23" s="1514">
        <v>188241.35</v>
      </c>
      <c r="BZ23" s="1514">
        <v>488020.39</v>
      </c>
      <c r="CB23" s="2077">
        <v>188241.35</v>
      </c>
      <c r="CC23" s="2077">
        <v>-322370.21999999997</v>
      </c>
      <c r="CD23" s="2077">
        <f t="shared" si="11"/>
        <v>510611.56999999995</v>
      </c>
      <c r="CE23" s="2077">
        <v>-608611.35</v>
      </c>
      <c r="CF23" s="2082">
        <f t="shared" si="12"/>
        <v>-97999.780000000028</v>
      </c>
      <c r="CH23" s="2077">
        <v>488020.39</v>
      </c>
      <c r="CI23" s="2077">
        <v>-798117.36</v>
      </c>
      <c r="CJ23" s="2077">
        <f t="shared" si="13"/>
        <v>1286137.75</v>
      </c>
      <c r="CK23" s="2077">
        <v>-1283891.8899999999</v>
      </c>
      <c r="CL23" s="2082">
        <f t="shared" si="14"/>
        <v>2245.8600000001024</v>
      </c>
    </row>
    <row r="24" spans="1:90">
      <c r="A24" s="2003">
        <v>10</v>
      </c>
      <c r="B24" s="2002"/>
      <c r="C24" s="2002" t="s">
        <v>188</v>
      </c>
      <c r="D24" s="2002"/>
      <c r="G24" s="2005">
        <f>E24+F24</f>
        <v>0</v>
      </c>
      <c r="O24" s="2000"/>
      <c r="P24" s="2000">
        <f t="shared" si="15"/>
        <v>0</v>
      </c>
      <c r="U24" s="2050" t="s">
        <v>225</v>
      </c>
      <c r="V24" s="1141" t="s">
        <v>37</v>
      </c>
      <c r="W24" s="2049">
        <v>139820536</v>
      </c>
      <c r="Y24" s="3830" t="s">
        <v>1616</v>
      </c>
      <c r="Z24" s="3830"/>
      <c r="AQ24" s="929"/>
      <c r="BA24" s="890"/>
      <c r="BS24" s="2081" t="s">
        <v>978</v>
      </c>
      <c r="BT24" s="2080"/>
      <c r="BU24" s="2079">
        <f>SUM(BU6:BU23)</f>
        <v>-7645205.6800000025</v>
      </c>
      <c r="BV24" s="2079">
        <f>SUM(BV6:BV23)</f>
        <v>27523809.379999999</v>
      </c>
      <c r="BW24" s="2079">
        <f>SUM(BW6:BW23)</f>
        <v>19878603.699999996</v>
      </c>
      <c r="BY24" s="929">
        <f>SUM(BY6:BY23)</f>
        <v>-1227995.3299999996</v>
      </c>
      <c r="BZ24" s="929">
        <f>SUM(BZ6:BZ23)</f>
        <v>15754920.210000003</v>
      </c>
      <c r="CB24" s="929">
        <f>SUM(CB6:CB23)</f>
        <v>-1227995.3299999996</v>
      </c>
      <c r="CC24" s="929">
        <f>SUM(CC6:CC23)</f>
        <v>-1047789.840000001</v>
      </c>
      <c r="CD24" s="929">
        <f>SUM(CD6:CD23)</f>
        <v>-180205.49000000057</v>
      </c>
      <c r="CE24" s="929">
        <f>SUM(CE6:CE23)</f>
        <v>-7465000.1899999976</v>
      </c>
      <c r="CF24" s="929">
        <f>SUM(CF6:CF23)</f>
        <v>-7645205.6800000025</v>
      </c>
      <c r="CH24" s="929">
        <f>SUM(CH6:CH23)</f>
        <v>15754920.210000003</v>
      </c>
      <c r="CI24" s="929">
        <f>SUM(CI6:CI23)</f>
        <v>4202361.2499999991</v>
      </c>
      <c r="CJ24" s="929">
        <f>SUM(CJ6:CJ23)</f>
        <v>11552558.960000001</v>
      </c>
      <c r="CK24" s="929">
        <f>SUM(CK6:CK23)</f>
        <v>15971250.419999998</v>
      </c>
      <c r="CL24" s="929">
        <f>SUM(CL6:CL23)</f>
        <v>27523809.379999999</v>
      </c>
    </row>
    <row r="25" spans="1:90" ht="60">
      <c r="A25" s="2003">
        <v>11</v>
      </c>
      <c r="B25" s="2002"/>
      <c r="C25" s="2002" t="s">
        <v>20</v>
      </c>
      <c r="D25" s="2002"/>
      <c r="G25" s="2005">
        <f>E25+F25</f>
        <v>0</v>
      </c>
      <c r="O25" s="2000"/>
      <c r="P25" s="2004">
        <f t="shared" si="15"/>
        <v>0</v>
      </c>
      <c r="U25" s="2050" t="s">
        <v>1615</v>
      </c>
      <c r="V25" s="1141" t="s">
        <v>1614</v>
      </c>
      <c r="W25" s="2049">
        <f>-W11</f>
        <v>-17780658.899999999</v>
      </c>
      <c r="Y25" s="987"/>
      <c r="Z25" s="987"/>
      <c r="AD25" s="477" t="s">
        <v>1656</v>
      </c>
      <c r="AG25" s="1192" t="s">
        <v>1655</v>
      </c>
      <c r="AH25" s="1192"/>
      <c r="AI25" s="1192" t="s">
        <v>1654</v>
      </c>
      <c r="AJ25" s="1192" t="s">
        <v>1653</v>
      </c>
      <c r="AK25" s="1192"/>
      <c r="AL25" s="1192" t="s">
        <v>1652</v>
      </c>
      <c r="AM25" s="1192" t="s">
        <v>1651</v>
      </c>
      <c r="AN25" s="1192" t="s">
        <v>1650</v>
      </c>
      <c r="AP25" s="1192" t="s">
        <v>1649</v>
      </c>
      <c r="AQ25" s="929"/>
      <c r="AR25" s="929"/>
      <c r="AS25" s="929"/>
      <c r="AT25" s="929"/>
      <c r="AU25" s="929"/>
      <c r="AY25" s="477" t="s">
        <v>1656</v>
      </c>
      <c r="BB25" s="1192" t="s">
        <v>1655</v>
      </c>
      <c r="BC25" s="1192"/>
      <c r="BD25" s="1192" t="s">
        <v>1654</v>
      </c>
      <c r="BE25" s="1192" t="s">
        <v>1653</v>
      </c>
      <c r="BF25" s="1192"/>
      <c r="BG25" s="1192" t="s">
        <v>1652</v>
      </c>
      <c r="BH25" s="1192" t="s">
        <v>1651</v>
      </c>
      <c r="BI25" s="1192" t="s">
        <v>1650</v>
      </c>
      <c r="BK25" s="1192" t="s">
        <v>1649</v>
      </c>
      <c r="BL25" s="929"/>
    </row>
    <row r="26" spans="1:90">
      <c r="A26" s="2003">
        <v>12</v>
      </c>
      <c r="B26" s="2002" t="s">
        <v>44</v>
      </c>
      <c r="C26" s="2002"/>
      <c r="D26" s="2002"/>
      <c r="E26" s="2001">
        <f t="shared" ref="E26:O26" si="24">SUM(E23:E25)</f>
        <v>0</v>
      </c>
      <c r="F26" s="2001">
        <f t="shared" si="24"/>
        <v>0</v>
      </c>
      <c r="G26" s="2001">
        <f t="shared" si="24"/>
        <v>0</v>
      </c>
      <c r="H26" s="2001">
        <f t="shared" si="24"/>
        <v>0</v>
      </c>
      <c r="I26" s="2001">
        <f t="shared" si="24"/>
        <v>0</v>
      </c>
      <c r="J26" s="2001">
        <f t="shared" si="24"/>
        <v>0</v>
      </c>
      <c r="K26" s="2001">
        <f t="shared" si="24"/>
        <v>0</v>
      </c>
      <c r="L26" s="2001">
        <f t="shared" si="24"/>
        <v>0</v>
      </c>
      <c r="M26" s="2001">
        <f t="shared" si="24"/>
        <v>0</v>
      </c>
      <c r="N26" s="2001">
        <f t="shared" si="24"/>
        <v>0</v>
      </c>
      <c r="O26" s="2001">
        <f t="shared" si="24"/>
        <v>0</v>
      </c>
      <c r="P26" s="2000">
        <f t="shared" si="15"/>
        <v>0</v>
      </c>
      <c r="Q26" s="2001">
        <f>SUM(Q23:Q25)</f>
        <v>0</v>
      </c>
      <c r="U26" s="890" t="s">
        <v>1613</v>
      </c>
      <c r="V26" s="477" t="s">
        <v>227</v>
      </c>
      <c r="W26" s="516">
        <v>9132838</v>
      </c>
      <c r="Y26" s="477" t="s">
        <v>1611</v>
      </c>
      <c r="AF26" s="2075">
        <v>44927</v>
      </c>
      <c r="AG26" s="1470">
        <v>0</v>
      </c>
      <c r="AH26" s="1470"/>
      <c r="AI26" s="1470">
        <v>0</v>
      </c>
      <c r="AJ26" s="1470">
        <v>0</v>
      </c>
      <c r="AK26" s="1514"/>
      <c r="AL26" s="2074">
        <f t="shared" ref="AL26:AL37" si="25">SUM(AG26:AK26)</f>
        <v>0</v>
      </c>
      <c r="AM26" s="2073">
        <v>0.95628183088298646</v>
      </c>
      <c r="AN26" s="1470">
        <f t="shared" ref="AN26:AN37" si="26">-AL26*AM26</f>
        <v>0</v>
      </c>
      <c r="AP26" s="929">
        <f t="shared" ref="AP26:AP37" si="27">(AG26+AI26+AJ26)*AM26</f>
        <v>0</v>
      </c>
      <c r="AQ26" s="2076"/>
      <c r="AR26" s="929"/>
      <c r="AS26" s="929"/>
      <c r="AT26" s="929"/>
      <c r="AU26" s="929"/>
      <c r="BA26" s="2075">
        <v>44927</v>
      </c>
      <c r="BB26" s="1470">
        <v>0</v>
      </c>
      <c r="BC26" s="1470"/>
      <c r="BD26" s="1470">
        <v>0</v>
      </c>
      <c r="BE26" s="1470">
        <v>0</v>
      </c>
      <c r="BF26" s="1514"/>
      <c r="BG26" s="2074">
        <f t="shared" ref="BG26:BG37" si="28">SUM(BB26:BF26)</f>
        <v>0</v>
      </c>
      <c r="BH26" s="2073">
        <v>0.95628183088298646</v>
      </c>
      <c r="BI26" s="1470">
        <f t="shared" ref="BI26:BI37" si="29">-BG26*BH26</f>
        <v>0</v>
      </c>
      <c r="BK26" s="929">
        <f t="shared" ref="BK26:BK37" si="30">(BB26+BD26+BE26)*BH26</f>
        <v>0</v>
      </c>
      <c r="BL26" s="2076"/>
    </row>
    <row r="27" spans="1:90">
      <c r="A27" s="2003"/>
      <c r="B27" s="2002"/>
      <c r="C27" s="2002"/>
      <c r="D27" s="2002"/>
      <c r="P27" s="2000">
        <f t="shared" si="15"/>
        <v>0</v>
      </c>
      <c r="U27" s="477">
        <v>811000</v>
      </c>
      <c r="V27" s="477" t="s">
        <v>1612</v>
      </c>
      <c r="W27" s="516">
        <v>-343977</v>
      </c>
      <c r="Y27" s="477" t="s">
        <v>1611</v>
      </c>
      <c r="AF27" s="2075">
        <v>44958</v>
      </c>
      <c r="AG27" s="1470">
        <v>0</v>
      </c>
      <c r="AH27" s="1470"/>
      <c r="AI27" s="1470">
        <v>0</v>
      </c>
      <c r="AJ27" s="1470">
        <v>0</v>
      </c>
      <c r="AK27" s="1514"/>
      <c r="AL27" s="2074">
        <f t="shared" si="25"/>
        <v>0</v>
      </c>
      <c r="AM27" s="2073">
        <v>0.95628183088298646</v>
      </c>
      <c r="AN27" s="1470">
        <f t="shared" si="26"/>
        <v>0</v>
      </c>
      <c r="AP27" s="929">
        <f t="shared" si="27"/>
        <v>0</v>
      </c>
      <c r="AQ27" s="929"/>
      <c r="AR27" s="929"/>
      <c r="AS27" s="929"/>
      <c r="AT27" s="929"/>
      <c r="AU27" s="929"/>
      <c r="BA27" s="2075">
        <v>44958</v>
      </c>
      <c r="BB27" s="1470">
        <v>0</v>
      </c>
      <c r="BC27" s="1470"/>
      <c r="BD27" s="1470">
        <v>0</v>
      </c>
      <c r="BE27" s="1470">
        <v>0</v>
      </c>
      <c r="BF27" s="1514"/>
      <c r="BG27" s="2074">
        <f t="shared" si="28"/>
        <v>0</v>
      </c>
      <c r="BH27" s="2073">
        <v>0.95628183088298646</v>
      </c>
      <c r="BI27" s="1470">
        <f t="shared" si="29"/>
        <v>0</v>
      </c>
      <c r="BK27" s="929">
        <f t="shared" si="30"/>
        <v>0</v>
      </c>
      <c r="BL27" s="929"/>
    </row>
    <row r="28" spans="1:90">
      <c r="A28" s="2003"/>
      <c r="B28" s="2002" t="s">
        <v>45</v>
      </c>
      <c r="C28" s="2002"/>
      <c r="D28" s="2002"/>
      <c r="P28" s="2000">
        <f t="shared" si="15"/>
        <v>0</v>
      </c>
      <c r="V28" s="477" t="s">
        <v>1610</v>
      </c>
      <c r="W28" s="1142">
        <f>SUM(W24:W27)</f>
        <v>130828738.09999999</v>
      </c>
      <c r="AF28" s="2075">
        <v>44986</v>
      </c>
      <c r="AG28" s="1470">
        <v>0</v>
      </c>
      <c r="AH28" s="1470"/>
      <c r="AI28" s="1470">
        <v>0</v>
      </c>
      <c r="AJ28" s="1470">
        <v>0</v>
      </c>
      <c r="AK28" s="1514"/>
      <c r="AL28" s="2074">
        <f t="shared" si="25"/>
        <v>0</v>
      </c>
      <c r="AM28" s="2073">
        <v>0.95628183088298646</v>
      </c>
      <c r="AN28" s="1470">
        <f t="shared" si="26"/>
        <v>0</v>
      </c>
      <c r="AP28" s="929">
        <f t="shared" si="27"/>
        <v>0</v>
      </c>
      <c r="AQ28" s="929"/>
      <c r="AR28" s="929"/>
      <c r="AS28" s="929"/>
      <c r="AT28" s="929"/>
      <c r="AU28" s="929"/>
      <c r="BA28" s="2075">
        <v>44986</v>
      </c>
      <c r="BB28" s="1470">
        <v>0</v>
      </c>
      <c r="BC28" s="1470"/>
      <c r="BD28" s="1470">
        <v>0</v>
      </c>
      <c r="BE28" s="1470">
        <v>0</v>
      </c>
      <c r="BF28" s="1514"/>
      <c r="BG28" s="2074">
        <f t="shared" si="28"/>
        <v>0</v>
      </c>
      <c r="BH28" s="2073">
        <v>0.95628183088298646</v>
      </c>
      <c r="BI28" s="1470">
        <f t="shared" si="29"/>
        <v>0</v>
      </c>
      <c r="BK28" s="929">
        <f t="shared" si="30"/>
        <v>0</v>
      </c>
      <c r="BL28" s="929"/>
      <c r="BS28" s="2023">
        <v>407381</v>
      </c>
      <c r="BT28" s="477" t="s">
        <v>1641</v>
      </c>
      <c r="BU28" s="1514">
        <f t="shared" ref="BU28:BU36" si="31">CF28</f>
        <v>0</v>
      </c>
      <c r="BV28" s="1514">
        <f t="shared" ref="BV28:BV36" si="32">CL28</f>
        <v>48373.54</v>
      </c>
      <c r="BW28" s="1514">
        <f t="shared" ref="BW28:BW36" si="33">SUM(BU28:BV28)</f>
        <v>48373.54</v>
      </c>
      <c r="CB28" s="1514"/>
      <c r="CC28" s="1514"/>
      <c r="CD28" s="1514"/>
      <c r="CE28" s="1514"/>
      <c r="CF28" s="929"/>
      <c r="CH28" s="1514">
        <v>30323.71</v>
      </c>
      <c r="CI28" s="1514">
        <v>0</v>
      </c>
      <c r="CJ28" s="1514">
        <f t="shared" ref="CJ28:CJ36" si="34">CH28-CI28</f>
        <v>30323.71</v>
      </c>
      <c r="CK28" s="1514">
        <v>18049.830000000002</v>
      </c>
      <c r="CL28" s="929">
        <f t="shared" ref="CL28:CL36" si="35">CJ28+CK28</f>
        <v>48373.54</v>
      </c>
    </row>
    <row r="29" spans="1:90" ht="15.75" thickBot="1">
      <c r="A29" s="2003">
        <v>13</v>
      </c>
      <c r="B29" s="2002"/>
      <c r="C29" s="2002" t="s">
        <v>42</v>
      </c>
      <c r="D29" s="2008"/>
      <c r="G29" s="2005">
        <f>E29+F29</f>
        <v>0</v>
      </c>
      <c r="O29" s="2000"/>
      <c r="P29" s="2000">
        <f t="shared" si="15"/>
        <v>0</v>
      </c>
      <c r="V29" s="477" t="s">
        <v>1609</v>
      </c>
      <c r="W29" s="2048">
        <f>SUM(W24:W27)-SUM(W20:W21)</f>
        <v>90426062.099999994</v>
      </c>
      <c r="AF29" s="2075">
        <v>45017</v>
      </c>
      <c r="AG29" s="1470">
        <v>0</v>
      </c>
      <c r="AH29" s="1470"/>
      <c r="AI29" s="1470">
        <v>0</v>
      </c>
      <c r="AJ29" s="1470">
        <v>0</v>
      </c>
      <c r="AK29" s="1514"/>
      <c r="AL29" s="2074">
        <f t="shared" si="25"/>
        <v>0</v>
      </c>
      <c r="AM29" s="2073">
        <v>0.95628183088298646</v>
      </c>
      <c r="AN29" s="1470">
        <f t="shared" si="26"/>
        <v>0</v>
      </c>
      <c r="AP29" s="929">
        <f t="shared" si="27"/>
        <v>0</v>
      </c>
      <c r="AQ29" s="929"/>
      <c r="AR29" s="929"/>
      <c r="AS29" s="929"/>
      <c r="AT29" s="929"/>
      <c r="AU29" s="929"/>
      <c r="BA29" s="2075">
        <v>45017</v>
      </c>
      <c r="BB29" s="1470">
        <v>0</v>
      </c>
      <c r="BC29" s="1470"/>
      <c r="BD29" s="1470">
        <v>0</v>
      </c>
      <c r="BE29" s="1470">
        <v>0</v>
      </c>
      <c r="BF29" s="1514"/>
      <c r="BG29" s="2074">
        <f t="shared" si="28"/>
        <v>0</v>
      </c>
      <c r="BH29" s="2073">
        <v>0.95628183088298646</v>
      </c>
      <c r="BI29" s="1470">
        <f t="shared" si="29"/>
        <v>0</v>
      </c>
      <c r="BK29" s="929">
        <f t="shared" si="30"/>
        <v>0</v>
      </c>
      <c r="BL29" s="929"/>
      <c r="BS29" s="2062">
        <v>407419</v>
      </c>
      <c r="BT29" s="477" t="s">
        <v>1639</v>
      </c>
      <c r="BU29" s="1514">
        <f t="shared" si="31"/>
        <v>0</v>
      </c>
      <c r="BV29" s="1514">
        <f t="shared" si="32"/>
        <v>-48909.859999999986</v>
      </c>
      <c r="BW29" s="1514">
        <f t="shared" si="33"/>
        <v>-48909.859999999986</v>
      </c>
      <c r="CB29" s="1514"/>
      <c r="CC29" s="1514"/>
      <c r="CD29" s="1514"/>
      <c r="CE29" s="1514"/>
      <c r="CF29" s="929"/>
      <c r="CH29" s="1514">
        <v>-353441.89</v>
      </c>
      <c r="CI29" s="1514">
        <v>-304532.03000000003</v>
      </c>
      <c r="CJ29" s="1514">
        <f t="shared" si="34"/>
        <v>-48909.859999999986</v>
      </c>
      <c r="CK29" s="1514">
        <v>0</v>
      </c>
      <c r="CL29" s="929">
        <f t="shared" si="35"/>
        <v>-48909.859999999986</v>
      </c>
    </row>
    <row r="30" spans="1:90" ht="15.75" thickTop="1">
      <c r="A30" s="2003">
        <v>14</v>
      </c>
      <c r="B30" s="2002"/>
      <c r="C30" s="2002" t="s">
        <v>188</v>
      </c>
      <c r="D30" s="2008"/>
      <c r="G30" s="2005">
        <f>E30+F30</f>
        <v>0</v>
      </c>
      <c r="O30" s="2000"/>
      <c r="P30" s="2000">
        <f t="shared" si="15"/>
        <v>0</v>
      </c>
      <c r="AF30" s="2075">
        <v>45047</v>
      </c>
      <c r="AG30" s="1470">
        <v>0</v>
      </c>
      <c r="AH30" s="1470"/>
      <c r="AI30" s="1470">
        <v>0</v>
      </c>
      <c r="AJ30" s="1470">
        <v>0</v>
      </c>
      <c r="AK30" s="1514"/>
      <c r="AL30" s="2074">
        <f t="shared" si="25"/>
        <v>0</v>
      </c>
      <c r="AM30" s="2073">
        <v>0.95628183088298646</v>
      </c>
      <c r="AN30" s="1470">
        <f t="shared" si="26"/>
        <v>0</v>
      </c>
      <c r="AP30" s="929">
        <f t="shared" si="27"/>
        <v>0</v>
      </c>
      <c r="AQ30" s="929"/>
      <c r="AR30" s="929"/>
      <c r="AS30" s="929"/>
      <c r="AT30" s="929"/>
      <c r="AU30" s="929"/>
      <c r="BA30" s="2075">
        <v>45047</v>
      </c>
      <c r="BB30" s="1470">
        <v>0</v>
      </c>
      <c r="BC30" s="1470"/>
      <c r="BD30" s="1470">
        <v>0</v>
      </c>
      <c r="BE30" s="1470">
        <v>0</v>
      </c>
      <c r="BF30" s="1514"/>
      <c r="BG30" s="2074">
        <f t="shared" si="28"/>
        <v>0</v>
      </c>
      <c r="BH30" s="2073">
        <v>0.95628183088298646</v>
      </c>
      <c r="BI30" s="1470">
        <f t="shared" si="29"/>
        <v>0</v>
      </c>
      <c r="BK30" s="929">
        <f t="shared" si="30"/>
        <v>0</v>
      </c>
      <c r="BL30" s="929"/>
      <c r="BS30" s="2062">
        <v>411193</v>
      </c>
      <c r="BT30" s="477" t="s">
        <v>1637</v>
      </c>
      <c r="BU30" s="1514">
        <f t="shared" si="31"/>
        <v>0</v>
      </c>
      <c r="BV30" s="1514">
        <f t="shared" si="32"/>
        <v>-10036731.24</v>
      </c>
      <c r="BW30" s="1514">
        <f t="shared" si="33"/>
        <v>-10036731.24</v>
      </c>
      <c r="CB30" s="1514"/>
      <c r="CC30" s="1514"/>
      <c r="CD30" s="1514"/>
      <c r="CE30" s="1514"/>
      <c r="CF30" s="929"/>
      <c r="CH30" s="1514">
        <v>-7265716.2999999998</v>
      </c>
      <c r="CI30" s="1514">
        <v>-3901121.71</v>
      </c>
      <c r="CJ30" s="1514">
        <f t="shared" si="34"/>
        <v>-3364594.59</v>
      </c>
      <c r="CK30" s="1514">
        <v>-6672136.6500000004</v>
      </c>
      <c r="CL30" s="929">
        <f t="shared" si="35"/>
        <v>-10036731.24</v>
      </c>
    </row>
    <row r="31" spans="1:90">
      <c r="A31" s="2003">
        <v>15</v>
      </c>
      <c r="B31" s="2002"/>
      <c r="C31" s="2002" t="s">
        <v>20</v>
      </c>
      <c r="D31" s="2007">
        <v>3.8329292586308468E-2</v>
      </c>
      <c r="E31" s="1989">
        <f>E$10*$D31</f>
        <v>3637970.8348942557</v>
      </c>
      <c r="G31" s="2005">
        <f>E31+F31</f>
        <v>3637970.8348942557</v>
      </c>
      <c r="H31" s="1989">
        <f>H$10*$D31</f>
        <v>715341.53983028501</v>
      </c>
      <c r="I31" s="1989">
        <f>I$10*$D31</f>
        <v>261436.15063413614</v>
      </c>
      <c r="J31" s="1989">
        <f>D31*J10</f>
        <v>-340414.78834133956</v>
      </c>
      <c r="K31" s="1989">
        <f>D31*K10</f>
        <v>-1960.3850158112969</v>
      </c>
      <c r="L31" s="1989">
        <f>D31*L10</f>
        <v>-149794.15028205205</v>
      </c>
      <c r="M31" s="1989">
        <f>M$10*$D31</f>
        <v>536304.71946438367</v>
      </c>
      <c r="N31" s="1989">
        <f>N$10*$D31</f>
        <v>1499.0586330505241</v>
      </c>
      <c r="O31" s="2000"/>
      <c r="P31" s="2004">
        <f t="shared" si="15"/>
        <v>1022412.1449226524</v>
      </c>
      <c r="Q31" s="1999">
        <f>ROUND(-P31/1000,0)</f>
        <v>-1022</v>
      </c>
      <c r="U31" s="1988" t="s">
        <v>1608</v>
      </c>
      <c r="V31" s="387"/>
      <c r="W31" s="1988"/>
      <c r="X31" s="1988"/>
      <c r="Y31" s="1988"/>
      <c r="Z31" s="1988"/>
      <c r="AF31" s="2075">
        <v>45078</v>
      </c>
      <c r="AG31" s="1470">
        <v>0</v>
      </c>
      <c r="AH31" s="1470"/>
      <c r="AI31" s="1470">
        <v>0</v>
      </c>
      <c r="AJ31" s="1470">
        <v>0</v>
      </c>
      <c r="AK31" s="1514"/>
      <c r="AL31" s="2074">
        <f t="shared" si="25"/>
        <v>0</v>
      </c>
      <c r="AM31" s="2073">
        <v>0.95628183088298646</v>
      </c>
      <c r="AN31" s="1470">
        <f t="shared" si="26"/>
        <v>0</v>
      </c>
      <c r="AP31" s="929">
        <f t="shared" si="27"/>
        <v>0</v>
      </c>
      <c r="AQ31" s="929"/>
      <c r="AR31" s="929"/>
      <c r="AS31" s="929"/>
      <c r="AT31" s="929"/>
      <c r="AU31" s="929"/>
      <c r="BA31" s="2075">
        <v>45078</v>
      </c>
      <c r="BB31" s="1470">
        <v>0</v>
      </c>
      <c r="BC31" s="1470"/>
      <c r="BD31" s="1470">
        <v>0</v>
      </c>
      <c r="BE31" s="1470">
        <v>0</v>
      </c>
      <c r="BF31" s="1514"/>
      <c r="BG31" s="2074">
        <f t="shared" si="28"/>
        <v>0</v>
      </c>
      <c r="BH31" s="2073">
        <v>0.95628183088298646</v>
      </c>
      <c r="BI31" s="1470">
        <f t="shared" si="29"/>
        <v>0</v>
      </c>
      <c r="BK31" s="929">
        <f t="shared" si="30"/>
        <v>0</v>
      </c>
      <c r="BL31" s="929"/>
      <c r="BS31" s="2062" t="s">
        <v>1635</v>
      </c>
      <c r="BT31" s="477" t="s">
        <v>1634</v>
      </c>
      <c r="BU31" s="1514">
        <f t="shared" si="31"/>
        <v>0</v>
      </c>
      <c r="BV31" s="1514">
        <f t="shared" si="32"/>
        <v>17780658.899999999</v>
      </c>
      <c r="BW31" s="1514">
        <f t="shared" si="33"/>
        <v>17780658.899999999</v>
      </c>
      <c r="CB31" s="1514"/>
      <c r="CC31" s="1514"/>
      <c r="CD31" s="1514"/>
      <c r="CE31" s="1514"/>
      <c r="CF31" s="929"/>
      <c r="CH31" s="1514">
        <v>9044910.8100000005</v>
      </c>
      <c r="CI31" s="1514">
        <v>2662757.7799999998</v>
      </c>
      <c r="CJ31" s="1514">
        <f t="shared" si="34"/>
        <v>6382153.0300000012</v>
      </c>
      <c r="CK31" s="1514">
        <v>11398505.869999999</v>
      </c>
      <c r="CL31" s="929">
        <f t="shared" si="35"/>
        <v>17780658.899999999</v>
      </c>
    </row>
    <row r="32" spans="1:90">
      <c r="A32" s="2003">
        <v>16</v>
      </c>
      <c r="B32" s="2002" t="s">
        <v>46</v>
      </c>
      <c r="C32" s="2002"/>
      <c r="D32" s="2008"/>
      <c r="E32" s="2001">
        <f t="shared" ref="E32:M32" si="36">SUM(E29:E31)</f>
        <v>3637970.8348942557</v>
      </c>
      <c r="F32" s="2001">
        <f t="shared" si="36"/>
        <v>0</v>
      </c>
      <c r="G32" s="2001">
        <f t="shared" si="36"/>
        <v>3637970.8348942557</v>
      </c>
      <c r="H32" s="2001">
        <f t="shared" si="36"/>
        <v>715341.53983028501</v>
      </c>
      <c r="I32" s="2001">
        <f t="shared" si="36"/>
        <v>261436.15063413614</v>
      </c>
      <c r="J32" s="2001">
        <f t="shared" si="36"/>
        <v>-340414.78834133956</v>
      </c>
      <c r="K32" s="2001">
        <f t="shared" si="36"/>
        <v>-1960.3850158112969</v>
      </c>
      <c r="L32" s="2001">
        <f t="shared" si="36"/>
        <v>-149794.15028205205</v>
      </c>
      <c r="M32" s="2001">
        <f t="shared" si="36"/>
        <v>536304.71946438367</v>
      </c>
      <c r="N32" s="2001"/>
      <c r="O32" s="2001">
        <f>SUM(O29:O31)</f>
        <v>0</v>
      </c>
      <c r="P32" s="2000">
        <f t="shared" si="15"/>
        <v>1020913.0862896019</v>
      </c>
      <c r="Q32" s="2001">
        <f>SUM(Q29:Q31)</f>
        <v>-1022</v>
      </c>
      <c r="U32" s="1988"/>
      <c r="V32" s="1988"/>
      <c r="W32" s="1988"/>
      <c r="X32" s="1988"/>
      <c r="Y32" s="1988"/>
      <c r="Z32" s="1988"/>
      <c r="AF32" s="2075">
        <v>44743</v>
      </c>
      <c r="AG32" s="1514">
        <v>-120910.38</v>
      </c>
      <c r="AH32" s="1514"/>
      <c r="AI32" s="1514">
        <v>57113.08</v>
      </c>
      <c r="AJ32" s="1514">
        <v>-74551.740000000005</v>
      </c>
      <c r="AK32" s="1514"/>
      <c r="AL32" s="2074">
        <f t="shared" si="25"/>
        <v>-138349.04</v>
      </c>
      <c r="AM32" s="2073">
        <v>0.95628183088298646</v>
      </c>
      <c r="AN32" s="1470">
        <f t="shared" si="26"/>
        <v>132300.67327210354</v>
      </c>
      <c r="AP32" s="929">
        <f t="shared" si="27"/>
        <v>-132300.67327210354</v>
      </c>
      <c r="AQ32" s="929"/>
      <c r="AR32" s="929"/>
      <c r="AS32" s="929"/>
      <c r="AT32" s="929"/>
      <c r="AU32" s="929"/>
      <c r="BA32" s="2075">
        <v>44743</v>
      </c>
      <c r="BB32" s="1514">
        <v>-12093.7</v>
      </c>
      <c r="BC32" s="1514"/>
      <c r="BD32" s="1514">
        <v>5452.93</v>
      </c>
      <c r="BE32" s="1514">
        <v>-3620.1</v>
      </c>
      <c r="BF32" s="1514"/>
      <c r="BG32" s="2074">
        <f t="shared" si="28"/>
        <v>-10260.870000000001</v>
      </c>
      <c r="BH32" s="2073">
        <v>0.95628183088298646</v>
      </c>
      <c r="BI32" s="1470">
        <f t="shared" si="29"/>
        <v>9812.2835500523106</v>
      </c>
      <c r="BK32" s="929">
        <f t="shared" si="30"/>
        <v>-9812.2835500523106</v>
      </c>
      <c r="BL32" s="929"/>
      <c r="BS32" s="2062" t="s">
        <v>1632</v>
      </c>
      <c r="BT32" s="477" t="s">
        <v>1631</v>
      </c>
      <c r="BU32" s="1514">
        <f t="shared" si="31"/>
        <v>0</v>
      </c>
      <c r="BV32" s="1514">
        <f t="shared" si="32"/>
        <v>13328241.4</v>
      </c>
      <c r="BW32" s="1514">
        <f t="shared" si="33"/>
        <v>13328241.4</v>
      </c>
      <c r="CB32" s="1514"/>
      <c r="CC32" s="1514"/>
      <c r="CD32" s="1514"/>
      <c r="CE32" s="1514"/>
      <c r="CF32" s="929"/>
      <c r="CH32" s="1514">
        <v>11140717.9</v>
      </c>
      <c r="CI32" s="1514">
        <v>6567638.2400000002</v>
      </c>
      <c r="CJ32" s="1514">
        <f t="shared" si="34"/>
        <v>4573079.66</v>
      </c>
      <c r="CK32" s="1514">
        <v>8755161.7400000002</v>
      </c>
      <c r="CL32" s="929">
        <f t="shared" si="35"/>
        <v>13328241.4</v>
      </c>
    </row>
    <row r="33" spans="1:90">
      <c r="A33" s="2003"/>
      <c r="B33" s="2002"/>
      <c r="C33" s="2002"/>
      <c r="D33" s="2008"/>
      <c r="P33" s="2000">
        <f t="shared" si="15"/>
        <v>0</v>
      </c>
      <c r="U33" s="2040" t="s">
        <v>1607</v>
      </c>
      <c r="V33" s="2047" t="s">
        <v>1606</v>
      </c>
      <c r="W33" s="2040" t="s">
        <v>1605</v>
      </c>
      <c r="X33" s="1988"/>
      <c r="Y33" s="1988"/>
      <c r="Z33" s="1988"/>
      <c r="AF33" s="2075">
        <v>44774</v>
      </c>
      <c r="AG33" s="1514">
        <v>-152583.63</v>
      </c>
      <c r="AH33" s="1514"/>
      <c r="AI33" s="1514">
        <v>74551.740000000005</v>
      </c>
      <c r="AJ33" s="1514">
        <v>-75824.350000000006</v>
      </c>
      <c r="AK33" s="1514"/>
      <c r="AL33" s="2074">
        <f t="shared" si="25"/>
        <v>-153856.24</v>
      </c>
      <c r="AM33" s="2073">
        <v>0.95628183088298646</v>
      </c>
      <c r="AN33" s="1470">
        <f t="shared" si="26"/>
        <v>147129.92687997216</v>
      </c>
      <c r="AP33" s="929">
        <f t="shared" si="27"/>
        <v>-147129.92687997216</v>
      </c>
      <c r="AQ33" s="929"/>
      <c r="AR33" s="929"/>
      <c r="AS33" s="929"/>
      <c r="AT33" s="929"/>
      <c r="AU33" s="929"/>
      <c r="BA33" s="2075">
        <v>44774</v>
      </c>
      <c r="BB33" s="1514">
        <v>-9497.8700000000008</v>
      </c>
      <c r="BC33" s="1514"/>
      <c r="BD33" s="1514">
        <v>3620.1</v>
      </c>
      <c r="BE33" s="1514">
        <v>-3356.16</v>
      </c>
      <c r="BF33" s="1514"/>
      <c r="BG33" s="2074">
        <f t="shared" si="28"/>
        <v>-9233.93</v>
      </c>
      <c r="BH33" s="2073">
        <v>0.95628183088298646</v>
      </c>
      <c r="BI33" s="1470">
        <f t="shared" si="29"/>
        <v>8830.239486645336</v>
      </c>
      <c r="BK33" s="929">
        <f t="shared" si="30"/>
        <v>-8830.239486645336</v>
      </c>
      <c r="BL33" s="929"/>
      <c r="BS33" s="2062" t="s">
        <v>1584</v>
      </c>
      <c r="BT33" s="477" t="s">
        <v>1581</v>
      </c>
      <c r="BU33" s="1514">
        <f t="shared" si="31"/>
        <v>0</v>
      </c>
      <c r="BV33" s="1514">
        <f t="shared" si="32"/>
        <v>2245.8600000001024</v>
      </c>
      <c r="BW33" s="1514">
        <f t="shared" si="33"/>
        <v>2245.8600000001024</v>
      </c>
      <c r="CB33" s="1514"/>
      <c r="CC33" s="1514"/>
      <c r="CD33" s="1514"/>
      <c r="CE33" s="1514"/>
      <c r="CF33" s="929"/>
      <c r="CH33" s="1514">
        <v>488020.39</v>
      </c>
      <c r="CI33" s="1514">
        <v>-798117.36</v>
      </c>
      <c r="CJ33" s="1514">
        <f t="shared" si="34"/>
        <v>1286137.75</v>
      </c>
      <c r="CK33" s="1514">
        <v>-1283891.8899999999</v>
      </c>
      <c r="CL33" s="929">
        <f t="shared" si="35"/>
        <v>2245.8600000001024</v>
      </c>
    </row>
    <row r="34" spans="1:90">
      <c r="A34" s="2003">
        <v>17</v>
      </c>
      <c r="B34" s="2002" t="s">
        <v>47</v>
      </c>
      <c r="C34" s="2002"/>
      <c r="D34" s="2007">
        <v>4.9508674374747468E-3</v>
      </c>
      <c r="E34" s="1989">
        <f>E$10*$D34</f>
        <v>469904.61158144363</v>
      </c>
      <c r="G34" s="2005">
        <f>E34+F34</f>
        <v>469904.61158144363</v>
      </c>
      <c r="H34" s="1989">
        <f>H$10*$D34</f>
        <v>92398.291156666863</v>
      </c>
      <c r="I34" s="1989">
        <f>I$10*$D34</f>
        <v>33768.839386710584</v>
      </c>
      <c r="J34" s="1989">
        <f>D34*J10</f>
        <v>-43970.247743002074</v>
      </c>
      <c r="K34" s="1989">
        <f>D34*K10</f>
        <v>-253.21642234431656</v>
      </c>
      <c r="L34" s="1989">
        <f>D34*L10</f>
        <v>-19348.41294776517</v>
      </c>
      <c r="M34" s="1989">
        <f>M$10*$D34</f>
        <v>69272.699624743283</v>
      </c>
      <c r="N34" s="1989">
        <f>N$10*$D34</f>
        <v>193.62842547963734</v>
      </c>
      <c r="O34" s="2000"/>
      <c r="P34" s="2000">
        <f t="shared" si="15"/>
        <v>132061.58148048882</v>
      </c>
      <c r="Q34" s="1999">
        <f>ROUND(-P34/1000,0)</f>
        <v>-132</v>
      </c>
      <c r="U34" s="1988"/>
      <c r="V34" s="1988"/>
      <c r="W34" s="1988"/>
      <c r="X34" s="1988"/>
      <c r="Y34" s="1988"/>
      <c r="Z34" s="1988"/>
      <c r="AF34" s="2075">
        <v>44805</v>
      </c>
      <c r="AG34" s="1514">
        <v>-138235.01999999999</v>
      </c>
      <c r="AH34" s="1514"/>
      <c r="AI34" s="1514">
        <v>75824.350000000006</v>
      </c>
      <c r="AJ34" s="1514">
        <v>-53356.56</v>
      </c>
      <c r="AK34" s="1514"/>
      <c r="AL34" s="2074">
        <f t="shared" si="25"/>
        <v>-115767.22999999998</v>
      </c>
      <c r="AM34" s="2073">
        <v>0.95628183088298646</v>
      </c>
      <c r="AN34" s="1470">
        <f t="shared" si="26"/>
        <v>110706.09866065178</v>
      </c>
      <c r="AP34" s="929">
        <f t="shared" si="27"/>
        <v>-110706.09866065178</v>
      </c>
      <c r="AQ34" s="929"/>
      <c r="AR34" s="929"/>
      <c r="AS34" s="929"/>
      <c r="AT34" s="929"/>
      <c r="AU34" s="929"/>
      <c r="BA34" s="2075">
        <v>44805</v>
      </c>
      <c r="BB34" s="1514">
        <v>-10091.86</v>
      </c>
      <c r="BC34" s="1514"/>
      <c r="BD34" s="1514">
        <v>3356.16</v>
      </c>
      <c r="BE34" s="1514">
        <v>-4912.28</v>
      </c>
      <c r="BF34" s="1514"/>
      <c r="BG34" s="2074">
        <f t="shared" si="28"/>
        <v>-11647.98</v>
      </c>
      <c r="BH34" s="2073">
        <v>0.95628183088298646</v>
      </c>
      <c r="BI34" s="1470">
        <f t="shared" si="29"/>
        <v>11138.751640488408</v>
      </c>
      <c r="BK34" s="929">
        <f t="shared" si="30"/>
        <v>-11138.751640488408</v>
      </c>
      <c r="BL34" s="929"/>
      <c r="BS34" s="2058">
        <v>495311</v>
      </c>
      <c r="BT34" s="477" t="s">
        <v>1628</v>
      </c>
      <c r="BU34" s="1514">
        <f t="shared" si="31"/>
        <v>0</v>
      </c>
      <c r="BV34" s="1514">
        <f t="shared" si="32"/>
        <v>0</v>
      </c>
      <c r="BW34" s="1514">
        <f t="shared" si="33"/>
        <v>0</v>
      </c>
      <c r="CB34" s="1514"/>
      <c r="CC34" s="1514"/>
      <c r="CD34" s="1514"/>
      <c r="CE34" s="1514"/>
      <c r="CF34" s="929"/>
      <c r="CH34" s="1514">
        <v>-1022805.86</v>
      </c>
      <c r="CI34" s="1514">
        <v>-1022805.86</v>
      </c>
      <c r="CJ34" s="1514">
        <f t="shared" si="34"/>
        <v>0</v>
      </c>
      <c r="CK34" s="1514">
        <v>0</v>
      </c>
      <c r="CL34" s="929">
        <f t="shared" si="35"/>
        <v>0</v>
      </c>
    </row>
    <row r="35" spans="1:90">
      <c r="A35" s="2003">
        <v>18</v>
      </c>
      <c r="B35" s="2002" t="s">
        <v>48</v>
      </c>
      <c r="C35" s="2002"/>
      <c r="D35" s="2008"/>
      <c r="G35" s="2005">
        <f>E35+F35</f>
        <v>0</v>
      </c>
      <c r="M35" s="2006">
        <f>'G-2.11 EAS'!W12+'G-2.11 EAS'!W13</f>
        <v>13330487.26</v>
      </c>
      <c r="N35" s="2006"/>
      <c r="O35" s="2000"/>
      <c r="P35" s="2000">
        <f t="shared" si="15"/>
        <v>13330487.26</v>
      </c>
      <c r="Q35" s="1999">
        <f>ROUND(-P35/1000,0)</f>
        <v>-13330</v>
      </c>
      <c r="U35" s="2046"/>
      <c r="V35" s="2045"/>
      <c r="W35" s="2044" t="s">
        <v>1555</v>
      </c>
      <c r="X35" s="1988"/>
      <c r="Y35" s="1988"/>
      <c r="Z35" s="1988"/>
      <c r="AF35" s="2075">
        <v>44835</v>
      </c>
      <c r="AG35" s="1514">
        <v>-263797.01</v>
      </c>
      <c r="AH35" s="1514"/>
      <c r="AI35" s="1514">
        <v>53356.56</v>
      </c>
      <c r="AJ35" s="1514">
        <v>0</v>
      </c>
      <c r="AK35" s="1514"/>
      <c r="AL35" s="2074">
        <f t="shared" si="25"/>
        <v>-210440.45</v>
      </c>
      <c r="AM35" s="2073">
        <v>0.95628183088298646</v>
      </c>
      <c r="AN35" s="1470">
        <f t="shared" si="26"/>
        <v>201240.37881783958</v>
      </c>
      <c r="AP35" s="929">
        <f t="shared" si="27"/>
        <v>-201240.37881783958</v>
      </c>
      <c r="AQ35" s="477" t="s">
        <v>1648</v>
      </c>
      <c r="BA35" s="2075">
        <v>44835</v>
      </c>
      <c r="BB35" s="1514">
        <v>-24915.37</v>
      </c>
      <c r="BC35" s="1514"/>
      <c r="BD35" s="1514">
        <v>4912.28</v>
      </c>
      <c r="BE35" s="1514">
        <v>0</v>
      </c>
      <c r="BF35" s="1514"/>
      <c r="BG35" s="2074">
        <f t="shared" si="28"/>
        <v>-20003.09</v>
      </c>
      <c r="BH35" s="2073">
        <v>0.95628183088298646</v>
      </c>
      <c r="BI35" s="1470">
        <f t="shared" si="29"/>
        <v>19128.591528517158</v>
      </c>
      <c r="BK35" s="929">
        <f t="shared" si="30"/>
        <v>-19128.591528517158</v>
      </c>
      <c r="BL35" s="477" t="s">
        <v>1648</v>
      </c>
      <c r="BS35" s="2058">
        <v>495329</v>
      </c>
      <c r="BT35" s="477" t="s">
        <v>1626</v>
      </c>
      <c r="BU35" s="1514">
        <f t="shared" si="31"/>
        <v>0</v>
      </c>
      <c r="BV35" s="1514">
        <f t="shared" si="32"/>
        <v>4884734.74</v>
      </c>
      <c r="BW35" s="1514">
        <f t="shared" si="33"/>
        <v>4884734.74</v>
      </c>
      <c r="CB35" s="1514"/>
      <c r="CC35" s="1514"/>
      <c r="CD35" s="1514"/>
      <c r="CE35" s="1514"/>
      <c r="CF35" s="929"/>
      <c r="CH35" s="1514">
        <v>2782530.92</v>
      </c>
      <c r="CI35" s="1514">
        <v>724559.16</v>
      </c>
      <c r="CJ35" s="1514">
        <f t="shared" si="34"/>
        <v>2057971.7599999998</v>
      </c>
      <c r="CK35" s="1514">
        <v>2826762.98</v>
      </c>
      <c r="CL35" s="929">
        <f t="shared" si="35"/>
        <v>4884734.74</v>
      </c>
    </row>
    <row r="36" spans="1:90">
      <c r="A36" s="2003">
        <v>19</v>
      </c>
      <c r="B36" s="2002" t="s">
        <v>49</v>
      </c>
      <c r="C36" s="2002"/>
      <c r="D36" s="2008"/>
      <c r="G36" s="2005">
        <f>E36+F36</f>
        <v>0</v>
      </c>
      <c r="O36" s="2000"/>
      <c r="P36" s="2000">
        <f t="shared" si="15"/>
        <v>0</v>
      </c>
      <c r="U36" s="2043"/>
      <c r="V36" s="2040" t="s">
        <v>1046</v>
      </c>
      <c r="W36" s="2042" t="s">
        <v>1045</v>
      </c>
      <c r="X36" s="1988"/>
      <c r="Y36" s="1988"/>
      <c r="Z36" s="1988"/>
      <c r="AF36" s="2075">
        <v>44866</v>
      </c>
      <c r="AG36" s="1514">
        <v>0</v>
      </c>
      <c r="AH36" s="1514"/>
      <c r="AI36" s="1514">
        <v>0</v>
      </c>
      <c r="AJ36" s="1514">
        <v>0</v>
      </c>
      <c r="AK36" s="1514"/>
      <c r="AL36" s="2074">
        <f t="shared" si="25"/>
        <v>0</v>
      </c>
      <c r="AM36" s="2073">
        <v>0.95628183088298646</v>
      </c>
      <c r="AN36" s="1470">
        <f t="shared" si="26"/>
        <v>0</v>
      </c>
      <c r="AP36" s="929">
        <f t="shared" si="27"/>
        <v>0</v>
      </c>
      <c r="BA36" s="2075">
        <v>44866</v>
      </c>
      <c r="BB36" s="1514">
        <v>0</v>
      </c>
      <c r="BC36" s="1514"/>
      <c r="BD36" s="1514">
        <v>0</v>
      </c>
      <c r="BE36" s="1514">
        <v>0</v>
      </c>
      <c r="BF36" s="1514"/>
      <c r="BG36" s="2074">
        <f t="shared" si="28"/>
        <v>0</v>
      </c>
      <c r="BH36" s="2073">
        <v>0.95628183088298646</v>
      </c>
      <c r="BI36" s="1470">
        <f t="shared" si="29"/>
        <v>0</v>
      </c>
      <c r="BK36" s="929">
        <f t="shared" si="30"/>
        <v>0</v>
      </c>
      <c r="BS36" s="2058">
        <v>495339</v>
      </c>
      <c r="BT36" s="477" t="s">
        <v>1624</v>
      </c>
      <c r="BU36" s="2077">
        <f t="shared" si="31"/>
        <v>0</v>
      </c>
      <c r="BV36" s="2077">
        <f t="shared" si="32"/>
        <v>1613569.58</v>
      </c>
      <c r="BW36" s="2077">
        <f t="shared" si="33"/>
        <v>1613569.58</v>
      </c>
      <c r="CB36" s="1514"/>
      <c r="CC36" s="1514"/>
      <c r="CD36" s="1514"/>
      <c r="CE36" s="1514"/>
      <c r="CF36" s="929"/>
      <c r="CH36" s="1514">
        <v>940704.24</v>
      </c>
      <c r="CI36" s="1514">
        <v>273983.03000000003</v>
      </c>
      <c r="CJ36" s="1514">
        <f t="shared" si="34"/>
        <v>666721.21</v>
      </c>
      <c r="CK36" s="1514">
        <v>946848.37</v>
      </c>
      <c r="CL36" s="929">
        <f t="shared" si="35"/>
        <v>1613569.58</v>
      </c>
    </row>
    <row r="37" spans="1:90">
      <c r="A37" s="2003"/>
      <c r="B37" s="2002"/>
      <c r="C37" s="2002"/>
      <c r="D37" s="2008"/>
      <c r="P37" s="2000">
        <f t="shared" si="15"/>
        <v>0</v>
      </c>
      <c r="U37" s="2040" t="s">
        <v>1604</v>
      </c>
      <c r="V37" s="2041"/>
      <c r="W37" s="2041"/>
      <c r="X37" s="1988"/>
      <c r="Y37" s="1988"/>
      <c r="Z37" s="1988"/>
      <c r="AF37" s="2072">
        <v>44896</v>
      </c>
      <c r="AG37" s="1514">
        <v>0</v>
      </c>
      <c r="AH37" s="1514"/>
      <c r="AI37" s="1514">
        <v>0</v>
      </c>
      <c r="AJ37" s="1514">
        <v>0</v>
      </c>
      <c r="AK37" s="1514"/>
      <c r="AL37" s="2071">
        <f t="shared" si="25"/>
        <v>0</v>
      </c>
      <c r="AM37" s="2070">
        <v>0.95628183088298646</v>
      </c>
      <c r="AN37" s="2069">
        <f t="shared" si="26"/>
        <v>0</v>
      </c>
      <c r="AP37" s="929">
        <f t="shared" si="27"/>
        <v>0</v>
      </c>
      <c r="BA37" s="2072">
        <v>44896</v>
      </c>
      <c r="BB37" s="2071">
        <v>0</v>
      </c>
      <c r="BC37" s="2071"/>
      <c r="BD37" s="2071">
        <v>0</v>
      </c>
      <c r="BE37" s="2071">
        <v>0</v>
      </c>
      <c r="BF37" s="2071"/>
      <c r="BG37" s="2071">
        <f t="shared" si="28"/>
        <v>0</v>
      </c>
      <c r="BH37" s="2070">
        <v>0.95628183088298646</v>
      </c>
      <c r="BI37" s="2069">
        <f t="shared" si="29"/>
        <v>0</v>
      </c>
      <c r="BK37" s="929">
        <f t="shared" si="30"/>
        <v>0</v>
      </c>
      <c r="BU37" s="929">
        <f>SUM(BU28:BU36)</f>
        <v>0</v>
      </c>
      <c r="BV37" s="929">
        <f>SUM(BV28:BV36)</f>
        <v>27572182.919999994</v>
      </c>
      <c r="BW37" s="929">
        <f>SUM(BW28:BW36)</f>
        <v>27572182.919999994</v>
      </c>
    </row>
    <row r="38" spans="1:90">
      <c r="A38" s="2003"/>
      <c r="B38" s="2002" t="s">
        <v>50</v>
      </c>
      <c r="C38" s="2002"/>
      <c r="D38" s="2008"/>
      <c r="P38" s="2000">
        <f t="shared" si="15"/>
        <v>0</v>
      </c>
      <c r="U38" s="2040">
        <v>195</v>
      </c>
      <c r="V38" s="2041"/>
      <c r="W38" s="2036">
        <v>39110</v>
      </c>
      <c r="X38" s="1988"/>
      <c r="Y38" s="1988"/>
      <c r="Z38" s="1988"/>
      <c r="BU38" s="929"/>
      <c r="BV38" s="929"/>
      <c r="BW38" s="929"/>
    </row>
    <row r="39" spans="1:90">
      <c r="A39" s="2003">
        <v>20</v>
      </c>
      <c r="B39" s="2002"/>
      <c r="C39" s="2002" t="s">
        <v>42</v>
      </c>
      <c r="D39" s="2007">
        <v>4.0000000000000001E-3</v>
      </c>
      <c r="E39" s="1989">
        <f>E$10*$D39</f>
        <v>379654.36765652889</v>
      </c>
      <c r="G39" s="2005">
        <f>E39+F39</f>
        <v>379654.36765652889</v>
      </c>
      <c r="H39" s="1989">
        <f>H$10*$D39</f>
        <v>74652.203738903423</v>
      </c>
      <c r="I39" s="1989">
        <f>I$10*$D39</f>
        <v>27283.169919762437</v>
      </c>
      <c r="J39" s="1989">
        <f>D39*J10</f>
        <v>-35525.287880000003</v>
      </c>
      <c r="K39" s="1989">
        <f>D39*K10</f>
        <v>-204.58348000000001</v>
      </c>
      <c r="L39" s="1989">
        <f>D39*L10</f>
        <v>-15632.341759999999</v>
      </c>
      <c r="M39" s="1989">
        <f>M$10*$D39</f>
        <v>55968.131241321797</v>
      </c>
      <c r="N39" s="1989">
        <f>N$10*$D39</f>
        <v>156.44</v>
      </c>
      <c r="O39" s="2000"/>
      <c r="P39" s="2000">
        <f t="shared" si="15"/>
        <v>106697.73177998766</v>
      </c>
      <c r="Q39" s="1999">
        <f>ROUND(-P39/1000,0)</f>
        <v>-107</v>
      </c>
      <c r="U39" s="2040"/>
      <c r="V39" s="2039"/>
      <c r="W39" s="2036"/>
      <c r="X39" s="1988"/>
      <c r="Y39" s="1988"/>
      <c r="Z39" s="1988"/>
      <c r="AG39" s="2068">
        <f t="shared" ref="AG39:AL39" si="37">SUM(AG26:AG38)</f>
        <v>-675526.04</v>
      </c>
      <c r="AH39" s="2068">
        <f t="shared" si="37"/>
        <v>0</v>
      </c>
      <c r="AI39" s="2068">
        <f t="shared" si="37"/>
        <v>260845.73</v>
      </c>
      <c r="AJ39" s="2068">
        <f t="shared" si="37"/>
        <v>-203732.65000000002</v>
      </c>
      <c r="AK39" s="2068">
        <f t="shared" si="37"/>
        <v>0</v>
      </c>
      <c r="AL39" s="2068">
        <f t="shared" si="37"/>
        <v>-618412.96</v>
      </c>
      <c r="AM39" s="2068"/>
      <c r="AN39" s="2068">
        <f>SUM(AN26:AN38)</f>
        <v>591377.07763056702</v>
      </c>
      <c r="AP39" s="929">
        <f>SUM(AP26:AP38)</f>
        <v>-591377.07763056702</v>
      </c>
      <c r="BB39" s="2068">
        <f t="shared" ref="BB39:BG39" si="38">SUM(BB26:BB38)</f>
        <v>-56598.8</v>
      </c>
      <c r="BC39" s="2068">
        <f t="shared" si="38"/>
        <v>0</v>
      </c>
      <c r="BD39" s="2068">
        <f t="shared" si="38"/>
        <v>17341.47</v>
      </c>
      <c r="BE39" s="2068">
        <f t="shared" si="38"/>
        <v>-11888.54</v>
      </c>
      <c r="BF39" s="2068">
        <f t="shared" si="38"/>
        <v>0</v>
      </c>
      <c r="BG39" s="2068">
        <f t="shared" si="38"/>
        <v>-51145.87</v>
      </c>
      <c r="BH39" s="2068"/>
      <c r="BI39" s="2068">
        <f>SUM(BI26:BI38)</f>
        <v>48909.866205703212</v>
      </c>
      <c r="BK39" s="929">
        <f>SUM(BK26:BK38)</f>
        <v>-48909.866205703212</v>
      </c>
      <c r="BS39" s="2062" t="s">
        <v>1689</v>
      </c>
      <c r="BT39" s="477" t="s">
        <v>1688</v>
      </c>
      <c r="BU39" s="1514">
        <f t="shared" ref="BU39:BU53" si="39">CF39</f>
        <v>291371.02</v>
      </c>
      <c r="BV39" s="1514">
        <f t="shared" ref="BV39:BV53" si="40">CL39</f>
        <v>0</v>
      </c>
      <c r="BW39" s="1514">
        <f t="shared" ref="BW39:BW53" si="41">SUM(BU39:BV39)</f>
        <v>291371.02</v>
      </c>
      <c r="CB39" s="1514">
        <v>316947.44</v>
      </c>
      <c r="CC39" s="1514">
        <v>171684.37</v>
      </c>
      <c r="CD39" s="1514">
        <f t="shared" ref="CD39:CD53" si="42">CB39-CC39</f>
        <v>145263.07</v>
      </c>
      <c r="CE39" s="1514">
        <v>146107.95000000001</v>
      </c>
      <c r="CF39" s="929">
        <f t="shared" ref="CF39:CF53" si="43">CD39+CE39</f>
        <v>291371.02</v>
      </c>
    </row>
    <row r="40" spans="1:90">
      <c r="A40" s="2003">
        <v>21</v>
      </c>
      <c r="B40" s="2002"/>
      <c r="C40" s="2002" t="s">
        <v>188</v>
      </c>
      <c r="D40" s="2002"/>
      <c r="G40" s="2005">
        <f>E40+F40</f>
        <v>0</v>
      </c>
      <c r="O40" s="2000"/>
      <c r="P40" s="2000">
        <f t="shared" si="15"/>
        <v>0</v>
      </c>
      <c r="U40" s="2040"/>
      <c r="V40" s="2039"/>
      <c r="W40" s="2036"/>
      <c r="X40" s="1988"/>
      <c r="Y40" s="1988"/>
      <c r="Z40" s="1988"/>
      <c r="BS40" s="2062">
        <v>407344</v>
      </c>
      <c r="BT40" s="477" t="s">
        <v>1687</v>
      </c>
      <c r="BU40" s="1514">
        <f t="shared" si="39"/>
        <v>3085215.98</v>
      </c>
      <c r="BV40" s="1514">
        <f t="shared" si="40"/>
        <v>0</v>
      </c>
      <c r="BW40" s="1514">
        <f t="shared" si="41"/>
        <v>3085215.98</v>
      </c>
      <c r="CB40" s="1514">
        <v>742825.71</v>
      </c>
      <c r="CC40" s="1514">
        <v>0</v>
      </c>
      <c r="CD40" s="1514">
        <f t="shared" si="42"/>
        <v>742825.71</v>
      </c>
      <c r="CE40" s="1514">
        <v>2342390.27</v>
      </c>
      <c r="CF40" s="929">
        <f t="shared" si="43"/>
        <v>3085215.98</v>
      </c>
    </row>
    <row r="41" spans="1:90">
      <c r="A41" s="2003">
        <v>22</v>
      </c>
      <c r="B41" s="2002"/>
      <c r="C41" s="2002" t="s">
        <v>370</v>
      </c>
      <c r="D41" s="2002"/>
      <c r="G41" s="2005">
        <f>E41+F41</f>
        <v>0</v>
      </c>
      <c r="J41" s="2006">
        <v>0</v>
      </c>
      <c r="K41" s="2006">
        <f>'G-2.11 EAS'!W9</f>
        <v>-48909.859999999986</v>
      </c>
      <c r="L41" s="2006">
        <f>'G-2.11 EAS'!X9</f>
        <v>0</v>
      </c>
      <c r="N41" s="1989">
        <f>'G-2.11 EAS'!W8</f>
        <v>48373.54</v>
      </c>
      <c r="O41" s="2000"/>
      <c r="P41" s="2000">
        <f t="shared" si="15"/>
        <v>-536.31999999998516</v>
      </c>
      <c r="Q41" s="1999">
        <f>ROUND(-P41/1000,0)</f>
        <v>1</v>
      </c>
      <c r="U41" s="2038" t="s">
        <v>1603</v>
      </c>
      <c r="V41" s="2037"/>
      <c r="W41" s="2036">
        <f>SUM(W38:W40)</f>
        <v>39110</v>
      </c>
      <c r="X41" s="1988"/>
      <c r="Y41" s="1988"/>
      <c r="Z41" s="1988"/>
      <c r="BS41" s="2062">
        <v>407419</v>
      </c>
      <c r="BT41" s="477" t="s">
        <v>1639</v>
      </c>
      <c r="BU41" s="1514">
        <f t="shared" si="39"/>
        <v>-591245.18999999994</v>
      </c>
      <c r="BV41" s="1514">
        <f t="shared" si="40"/>
        <v>0</v>
      </c>
      <c r="BW41" s="1514">
        <f t="shared" si="41"/>
        <v>-591245.18999999994</v>
      </c>
      <c r="CB41" s="1514">
        <v>-1374325.96</v>
      </c>
      <c r="CC41" s="1514">
        <v>-783080.77</v>
      </c>
      <c r="CD41" s="1514">
        <f t="shared" si="42"/>
        <v>-591245.18999999994</v>
      </c>
      <c r="CE41" s="1514">
        <v>0</v>
      </c>
      <c r="CF41" s="929">
        <f t="shared" si="43"/>
        <v>-591245.18999999994</v>
      </c>
    </row>
    <row r="42" spans="1:90">
      <c r="A42" s="2003">
        <v>23</v>
      </c>
      <c r="B42" s="2002"/>
      <c r="C42" s="2002" t="s">
        <v>20</v>
      </c>
      <c r="D42" s="2002"/>
      <c r="G42" s="2005">
        <f>E42+F42</f>
        <v>0</v>
      </c>
      <c r="O42" s="2000"/>
      <c r="P42" s="2004">
        <f t="shared" si="15"/>
        <v>0</v>
      </c>
      <c r="U42" s="2035"/>
      <c r="V42" s="1988"/>
      <c r="W42" s="2034"/>
      <c r="X42" s="1988"/>
      <c r="Y42" s="1988"/>
      <c r="Z42" s="1988"/>
      <c r="BE42" s="929"/>
      <c r="BS42" s="2062" t="s">
        <v>1686</v>
      </c>
      <c r="BT42" s="477" t="s">
        <v>1685</v>
      </c>
      <c r="BU42" s="1514">
        <f t="shared" si="39"/>
        <v>-11243705.34</v>
      </c>
      <c r="BV42" s="1514">
        <f t="shared" si="40"/>
        <v>0</v>
      </c>
      <c r="BW42" s="1514">
        <f t="shared" si="41"/>
        <v>-11243705.34</v>
      </c>
      <c r="CB42" s="1514">
        <v>-10965563.93</v>
      </c>
      <c r="CC42" s="1514">
        <v>-5630715.3700000001</v>
      </c>
      <c r="CD42" s="1514">
        <f t="shared" si="42"/>
        <v>-5334848.5599999996</v>
      </c>
      <c r="CE42" s="1514">
        <v>-5908856.7800000003</v>
      </c>
      <c r="CF42" s="929">
        <f t="shared" si="43"/>
        <v>-11243705.34</v>
      </c>
    </row>
    <row r="43" spans="1:90">
      <c r="A43" s="2003">
        <v>24</v>
      </c>
      <c r="B43" s="2002" t="s">
        <v>51</v>
      </c>
      <c r="C43" s="2002"/>
      <c r="D43" s="2002"/>
      <c r="E43" s="2001">
        <f t="shared" ref="E43:O43" si="44">SUM(E39:E42)</f>
        <v>379654.36765652889</v>
      </c>
      <c r="F43" s="2001">
        <f t="shared" si="44"/>
        <v>0</v>
      </c>
      <c r="G43" s="2001">
        <f t="shared" si="44"/>
        <v>379654.36765652889</v>
      </c>
      <c r="H43" s="2001">
        <f t="shared" si="44"/>
        <v>74652.203738903423</v>
      </c>
      <c r="I43" s="2001">
        <f t="shared" si="44"/>
        <v>27283.169919762437</v>
      </c>
      <c r="J43" s="2001">
        <f t="shared" si="44"/>
        <v>-35525.287880000003</v>
      </c>
      <c r="K43" s="2001">
        <f t="shared" si="44"/>
        <v>-49114.443479999987</v>
      </c>
      <c r="L43" s="2001">
        <f t="shared" si="44"/>
        <v>-15632.341759999999</v>
      </c>
      <c r="M43" s="2001">
        <f t="shared" si="44"/>
        <v>55968.131241321797</v>
      </c>
      <c r="N43" s="2001">
        <f t="shared" si="44"/>
        <v>48529.98</v>
      </c>
      <c r="O43" s="2001">
        <f t="shared" si="44"/>
        <v>0</v>
      </c>
      <c r="P43" s="2000">
        <f t="shared" si="15"/>
        <v>106161.41177998768</v>
      </c>
      <c r="Q43" s="2001">
        <f>SUM(Q39:Q42)</f>
        <v>-106</v>
      </c>
      <c r="U43" s="2035"/>
      <c r="V43" s="1988"/>
      <c r="W43" s="2034"/>
      <c r="X43" s="1988"/>
      <c r="Y43" s="1988"/>
      <c r="Z43" s="1988"/>
      <c r="BE43" s="929"/>
      <c r="BS43" s="2062" t="s">
        <v>1684</v>
      </c>
      <c r="BT43" s="477" t="s">
        <v>1683</v>
      </c>
      <c r="BU43" s="1514">
        <f t="shared" si="39"/>
        <v>-86483.25</v>
      </c>
      <c r="BV43" s="1514">
        <f t="shared" si="40"/>
        <v>0</v>
      </c>
      <c r="BW43" s="1514">
        <f t="shared" si="41"/>
        <v>-86483.25</v>
      </c>
      <c r="CB43" s="1514">
        <v>-159773.82</v>
      </c>
      <c r="CC43" s="1514">
        <v>11367.25</v>
      </c>
      <c r="CD43" s="1514">
        <f t="shared" si="42"/>
        <v>-171141.07</v>
      </c>
      <c r="CE43" s="1514">
        <v>84657.82</v>
      </c>
      <c r="CF43" s="929">
        <f t="shared" si="43"/>
        <v>-86483.25</v>
      </c>
    </row>
    <row r="44" spans="1:90">
      <c r="A44" s="1998">
        <v>25</v>
      </c>
      <c r="B44" s="1997" t="s">
        <v>52</v>
      </c>
      <c r="C44" s="1997"/>
      <c r="E44" s="1989">
        <f t="shared" ref="E44:O44" si="45">E20+E26+E32+E34+E35+E36+E43</f>
        <v>135316267.91413224</v>
      </c>
      <c r="F44" s="1989">
        <f t="shared" si="45"/>
        <v>-40402676</v>
      </c>
      <c r="G44" s="1989">
        <f t="shared" si="45"/>
        <v>94913591.914132223</v>
      </c>
      <c r="H44" s="1989">
        <f t="shared" si="45"/>
        <v>18663050.934725855</v>
      </c>
      <c r="I44" s="1989">
        <f t="shared" si="45"/>
        <v>322488.15994060913</v>
      </c>
      <c r="J44" s="1989">
        <f t="shared" si="45"/>
        <v>-419910.32396434166</v>
      </c>
      <c r="K44" s="1989">
        <f t="shared" si="45"/>
        <v>-51328.044918155603</v>
      </c>
      <c r="L44" s="1989">
        <f t="shared" si="45"/>
        <v>-184774.90498981724</v>
      </c>
      <c r="M44" s="1989">
        <f t="shared" si="45"/>
        <v>13992032.810330449</v>
      </c>
      <c r="N44" s="1989">
        <f t="shared" si="45"/>
        <v>48723.608425479637</v>
      </c>
      <c r="O44" s="1989">
        <f t="shared" si="45"/>
        <v>0</v>
      </c>
      <c r="P44" s="2000">
        <f t="shared" si="15"/>
        <v>32370282.239550073</v>
      </c>
      <c r="Q44" s="1989">
        <f>Q20+Q26+Q32+Q34+Q35+Q36+Q43</f>
        <v>-72773</v>
      </c>
      <c r="V44" s="477" t="s">
        <v>1602</v>
      </c>
      <c r="W44" s="2032">
        <f>'G-2.11 EAS'!BB17+'G-2.11 EAS'!BB39</f>
        <v>-8943493.2300000004</v>
      </c>
      <c r="Y44" s="477" t="s">
        <v>1595</v>
      </c>
      <c r="BS44" s="2062" t="s">
        <v>1682</v>
      </c>
      <c r="BT44" s="477" t="s">
        <v>1681</v>
      </c>
      <c r="BU44" s="1514">
        <f t="shared" si="39"/>
        <v>84158.150000000023</v>
      </c>
      <c r="BV44" s="1514">
        <f t="shared" si="40"/>
        <v>0</v>
      </c>
      <c r="BW44" s="1514">
        <f t="shared" si="41"/>
        <v>84158.150000000023</v>
      </c>
      <c r="CB44" s="1514">
        <v>-84905.2</v>
      </c>
      <c r="CC44" s="1514">
        <v>258583.85</v>
      </c>
      <c r="CD44" s="1514">
        <f t="shared" si="42"/>
        <v>-343489.05</v>
      </c>
      <c r="CE44" s="1514">
        <v>427647.2</v>
      </c>
      <c r="CF44" s="929">
        <f t="shared" si="43"/>
        <v>84158.150000000023</v>
      </c>
    </row>
    <row r="45" spans="1:90">
      <c r="A45" s="1998"/>
      <c r="B45" s="1997"/>
      <c r="C45" s="1997"/>
      <c r="O45" s="1989"/>
      <c r="P45" s="2000">
        <f t="shared" si="15"/>
        <v>0</v>
      </c>
      <c r="Q45" s="1989"/>
      <c r="V45" s="477" t="s">
        <v>1601</v>
      </c>
      <c r="W45" s="2032">
        <f>'G-2.11 EAS'!BD10</f>
        <v>85429.31</v>
      </c>
      <c r="Y45" s="477" t="s">
        <v>1593</v>
      </c>
      <c r="BS45" s="2062">
        <v>411193</v>
      </c>
      <c r="BT45" s="477" t="s">
        <v>1637</v>
      </c>
      <c r="BU45" s="1514">
        <f t="shared" si="39"/>
        <v>-19965280.190000001</v>
      </c>
      <c r="BV45" s="1514">
        <f t="shared" si="40"/>
        <v>0</v>
      </c>
      <c r="BW45" s="1514">
        <f t="shared" si="41"/>
        <v>-19965280.190000001</v>
      </c>
      <c r="CB45" s="1514">
        <v>-13881575.76</v>
      </c>
      <c r="CC45" s="1514">
        <v>-6441088.7999999998</v>
      </c>
      <c r="CD45" s="1514">
        <f t="shared" si="42"/>
        <v>-7440486.96</v>
      </c>
      <c r="CE45" s="1514">
        <v>-12524793.23</v>
      </c>
      <c r="CF45" s="929">
        <f t="shared" si="43"/>
        <v>-19965280.190000001</v>
      </c>
    </row>
    <row r="46" spans="1:90">
      <c r="A46" s="1998">
        <v>26</v>
      </c>
      <c r="B46" s="1997" t="s">
        <v>53</v>
      </c>
      <c r="C46" s="1997"/>
      <c r="E46" s="1989">
        <f t="shared" ref="E46:Q46" si="46">E13-E44</f>
        <v>0</v>
      </c>
      <c r="F46" s="1989">
        <f t="shared" si="46"/>
        <v>0</v>
      </c>
      <c r="G46" s="1989">
        <f t="shared" si="46"/>
        <v>0</v>
      </c>
      <c r="H46" s="1989">
        <f t="shared" si="46"/>
        <v>0</v>
      </c>
      <c r="I46" s="1989">
        <f t="shared" si="46"/>
        <v>0</v>
      </c>
      <c r="J46" s="1989">
        <f t="shared" si="46"/>
        <v>-8461411.6460356582</v>
      </c>
      <c r="K46" s="1989">
        <f t="shared" si="46"/>
        <v>182.17491815560061</v>
      </c>
      <c r="L46" s="1989">
        <f t="shared" si="46"/>
        <v>-3723310.5350101828</v>
      </c>
      <c r="M46" s="1989">
        <f t="shared" si="46"/>
        <v>0</v>
      </c>
      <c r="N46" s="1989">
        <f t="shared" si="46"/>
        <v>-9613.6084254796369</v>
      </c>
      <c r="O46" s="1989">
        <f t="shared" si="46"/>
        <v>0</v>
      </c>
      <c r="P46" s="1989">
        <f t="shared" si="46"/>
        <v>-12194153.614553161</v>
      </c>
      <c r="Q46" s="1989">
        <f t="shared" si="46"/>
        <v>12195</v>
      </c>
      <c r="V46" s="477" t="s">
        <v>1600</v>
      </c>
      <c r="W46" s="2032">
        <f>'G-2.11 EAS'!BD32</f>
        <v>5452.93</v>
      </c>
      <c r="Y46" s="477" t="s">
        <v>1597</v>
      </c>
      <c r="BS46" s="2062" t="s">
        <v>1680</v>
      </c>
      <c r="BT46" s="477" t="s">
        <v>1582</v>
      </c>
      <c r="BU46" s="1514">
        <f t="shared" si="39"/>
        <v>0</v>
      </c>
      <c r="BV46" s="1514">
        <f t="shared" si="40"/>
        <v>0</v>
      </c>
      <c r="BW46" s="1514">
        <f t="shared" si="41"/>
        <v>0</v>
      </c>
      <c r="CB46" s="1514">
        <v>730338</v>
      </c>
      <c r="CC46" s="1514">
        <v>730338</v>
      </c>
      <c r="CD46" s="1514">
        <f t="shared" si="42"/>
        <v>0</v>
      </c>
      <c r="CE46" s="1514">
        <v>0</v>
      </c>
      <c r="CF46" s="929">
        <f t="shared" si="43"/>
        <v>0</v>
      </c>
    </row>
    <row r="47" spans="1:90">
      <c r="A47" s="1998"/>
      <c r="B47" s="1997"/>
      <c r="C47" s="1997"/>
      <c r="O47" s="1989"/>
      <c r="P47" s="1989"/>
      <c r="Q47" s="1989"/>
      <c r="V47" s="477" t="s">
        <v>1599</v>
      </c>
      <c r="W47" s="2032">
        <f>'G-2.11 EAS'!BE9</f>
        <v>-79856.850000000006</v>
      </c>
      <c r="Y47" s="477" t="s">
        <v>1593</v>
      </c>
      <c r="BS47" s="2062" t="s">
        <v>1679</v>
      </c>
      <c r="BT47" s="477" t="s">
        <v>1678</v>
      </c>
      <c r="BU47" s="1514">
        <f t="shared" si="39"/>
        <v>0</v>
      </c>
      <c r="BV47" s="1514">
        <f t="shared" si="40"/>
        <v>0</v>
      </c>
      <c r="BW47" s="1514">
        <f t="shared" si="41"/>
        <v>0</v>
      </c>
      <c r="CB47" s="1514">
        <v>-5747222</v>
      </c>
      <c r="CC47" s="1514">
        <v>-5747222</v>
      </c>
      <c r="CD47" s="1514">
        <f t="shared" si="42"/>
        <v>0</v>
      </c>
      <c r="CE47" s="1514">
        <v>0</v>
      </c>
      <c r="CF47" s="929">
        <f t="shared" si="43"/>
        <v>0</v>
      </c>
    </row>
    <row r="48" spans="1:90">
      <c r="A48" s="1998"/>
      <c r="B48" s="1997"/>
      <c r="C48" s="1997" t="s">
        <v>1561</v>
      </c>
      <c r="E48" s="1989">
        <f t="shared" ref="E48:O48" si="47">E46*0.21</f>
        <v>0</v>
      </c>
      <c r="F48" s="1989">
        <f t="shared" si="47"/>
        <v>0</v>
      </c>
      <c r="G48" s="1989">
        <f t="shared" si="47"/>
        <v>0</v>
      </c>
      <c r="H48" s="1989">
        <f t="shared" si="47"/>
        <v>0</v>
      </c>
      <c r="I48" s="1989">
        <f t="shared" si="47"/>
        <v>0</v>
      </c>
      <c r="J48" s="1989">
        <f t="shared" si="47"/>
        <v>-1776896.4456674883</v>
      </c>
      <c r="K48" s="1989">
        <f t="shared" si="47"/>
        <v>38.256732812676127</v>
      </c>
      <c r="L48" s="1989">
        <f t="shared" si="47"/>
        <v>-781895.21235213836</v>
      </c>
      <c r="M48" s="1989">
        <f t="shared" si="47"/>
        <v>0</v>
      </c>
      <c r="N48" s="1989">
        <f t="shared" si="47"/>
        <v>-2018.8577693507236</v>
      </c>
      <c r="O48" s="1989">
        <f t="shared" si="47"/>
        <v>0</v>
      </c>
      <c r="P48" s="2000">
        <f>SUM(H48:O48)</f>
        <v>-2560772.2590561644</v>
      </c>
      <c r="Q48" s="1999">
        <f>ROUND(-P48/1000,0)</f>
        <v>2561</v>
      </c>
      <c r="V48" s="477" t="s">
        <v>1598</v>
      </c>
      <c r="W48" s="2032">
        <f>'G-2.11 EAS'!BE31</f>
        <v>0</v>
      </c>
      <c r="Y48" s="477" t="s">
        <v>1597</v>
      </c>
      <c r="BS48" s="2062" t="s">
        <v>1677</v>
      </c>
      <c r="BT48" s="477" t="s">
        <v>1676</v>
      </c>
      <c r="BU48" s="1514">
        <f t="shared" si="39"/>
        <v>-3425532.14</v>
      </c>
      <c r="BV48" s="1514">
        <f t="shared" si="40"/>
        <v>0</v>
      </c>
      <c r="BW48" s="1514">
        <f t="shared" si="41"/>
        <v>-3425532.14</v>
      </c>
      <c r="CB48" s="1514">
        <v>-2079906.84</v>
      </c>
      <c r="CC48" s="1514">
        <v>-430615.48</v>
      </c>
      <c r="CD48" s="1514">
        <f t="shared" si="42"/>
        <v>-1649291.36</v>
      </c>
      <c r="CE48" s="1514">
        <v>-1776240.78</v>
      </c>
      <c r="CF48" s="929">
        <f t="shared" si="43"/>
        <v>-3425532.14</v>
      </c>
    </row>
    <row r="49" spans="1:84">
      <c r="A49" s="1998"/>
      <c r="B49" s="1997"/>
      <c r="C49" s="1997" t="s">
        <v>1560</v>
      </c>
      <c r="J49" s="1989">
        <f>'G-2.11 EAS'!BK19+J61</f>
        <v>-6684515.2003681716</v>
      </c>
      <c r="K49" s="1989">
        <f>K61</f>
        <v>143.92308784847089</v>
      </c>
      <c r="L49" s="1989">
        <f>'G-2.11 EAS'!BN19+L61</f>
        <v>-2941415.3226580443</v>
      </c>
      <c r="O49" s="1989"/>
      <c r="P49" s="2000">
        <f>SUM(H49:O49)</f>
        <v>-9625786.5999383666</v>
      </c>
      <c r="Q49" s="1999">
        <f>ROUND(-P49/1000,0)</f>
        <v>9626</v>
      </c>
      <c r="V49" s="477" t="s">
        <v>1596</v>
      </c>
      <c r="W49" s="2032">
        <f>'G-2.11 EAS'!BC17</f>
        <v>-3848325.48</v>
      </c>
      <c r="Y49" s="477" t="s">
        <v>1595</v>
      </c>
      <c r="BS49" s="2062" t="s">
        <v>1632</v>
      </c>
      <c r="BT49" s="477" t="s">
        <v>1631</v>
      </c>
      <c r="BU49" s="1514">
        <f t="shared" si="39"/>
        <v>23225764.449999999</v>
      </c>
      <c r="BV49" s="1514">
        <f t="shared" si="40"/>
        <v>0</v>
      </c>
      <c r="BW49" s="1514">
        <f t="shared" si="41"/>
        <v>23225764.449999999</v>
      </c>
      <c r="CB49" s="1514">
        <v>22366837.989999998</v>
      </c>
      <c r="CC49" s="1514">
        <v>11109800.85</v>
      </c>
      <c r="CD49" s="1514">
        <f t="shared" si="42"/>
        <v>11257037.139999999</v>
      </c>
      <c r="CE49" s="1514">
        <v>11968727.310000001</v>
      </c>
      <c r="CF49" s="929">
        <f t="shared" si="43"/>
        <v>23225764.449999999</v>
      </c>
    </row>
    <row r="50" spans="1:84">
      <c r="A50" s="1998"/>
      <c r="B50" s="1997" t="s">
        <v>58</v>
      </c>
      <c r="C50" s="1997"/>
      <c r="E50" s="1989">
        <f t="shared" ref="E50:Q50" si="48">E46-SUM(E48:E49)</f>
        <v>0</v>
      </c>
      <c r="F50" s="1989">
        <f t="shared" si="48"/>
        <v>0</v>
      </c>
      <c r="G50" s="1989">
        <f t="shared" si="48"/>
        <v>0</v>
      </c>
      <c r="H50" s="1989">
        <f t="shared" si="48"/>
        <v>0</v>
      </c>
      <c r="I50" s="1989">
        <f t="shared" si="48"/>
        <v>0</v>
      </c>
      <c r="J50" s="1989">
        <f t="shared" si="48"/>
        <v>0</v>
      </c>
      <c r="K50" s="1989">
        <f t="shared" si="48"/>
        <v>-4.9025055463971512E-3</v>
      </c>
      <c r="L50" s="1989">
        <f t="shared" si="48"/>
        <v>0</v>
      </c>
      <c r="M50" s="1989">
        <f t="shared" si="48"/>
        <v>0</v>
      </c>
      <c r="N50" s="1989">
        <f t="shared" si="48"/>
        <v>-7594.7506561289138</v>
      </c>
      <c r="O50" s="1989">
        <f t="shared" si="48"/>
        <v>0</v>
      </c>
      <c r="P50" s="1989">
        <f t="shared" si="48"/>
        <v>-7594.7555586304516</v>
      </c>
      <c r="Q50" s="1989">
        <f t="shared" si="48"/>
        <v>8</v>
      </c>
      <c r="V50" s="477" t="s">
        <v>1594</v>
      </c>
      <c r="W50" s="2032">
        <f>'G-2.11 EAS'!BF9</f>
        <v>-59759.96</v>
      </c>
      <c r="Y50" s="477" t="s">
        <v>1593</v>
      </c>
      <c r="BS50" s="2078" t="s">
        <v>1584</v>
      </c>
      <c r="BT50" s="477" t="s">
        <v>1581</v>
      </c>
      <c r="BU50" s="1514">
        <f t="shared" si="39"/>
        <v>-97999.780000000028</v>
      </c>
      <c r="BV50" s="1514">
        <f t="shared" si="40"/>
        <v>0</v>
      </c>
      <c r="BW50" s="1514">
        <f t="shared" si="41"/>
        <v>-97999.780000000028</v>
      </c>
      <c r="CB50" s="1514">
        <v>188241.35</v>
      </c>
      <c r="CC50" s="1514">
        <v>-322370.21999999997</v>
      </c>
      <c r="CD50" s="1514">
        <f t="shared" si="42"/>
        <v>510611.56999999995</v>
      </c>
      <c r="CE50" s="1514">
        <v>-608611.35</v>
      </c>
      <c r="CF50" s="929">
        <f t="shared" si="43"/>
        <v>-97999.780000000028</v>
      </c>
    </row>
    <row r="51" spans="1:84">
      <c r="A51" s="1998"/>
      <c r="B51" s="1997"/>
      <c r="C51" s="1997"/>
      <c r="O51" s="1989"/>
      <c r="P51" s="1989"/>
      <c r="Q51" s="1989"/>
      <c r="V51" s="477" t="s">
        <v>1592</v>
      </c>
      <c r="W51" s="2033">
        <f>SUM(W44:W50)</f>
        <v>-12840553.280000001</v>
      </c>
      <c r="BS51" s="2078" t="s">
        <v>1675</v>
      </c>
      <c r="BT51" s="477" t="s">
        <v>1674</v>
      </c>
      <c r="BU51" s="1514">
        <f t="shared" si="39"/>
        <v>0</v>
      </c>
      <c r="BV51" s="1514">
        <f t="shared" si="40"/>
        <v>0</v>
      </c>
      <c r="BW51" s="1514">
        <f t="shared" si="41"/>
        <v>0</v>
      </c>
      <c r="CB51" s="1514">
        <v>0</v>
      </c>
      <c r="CC51" s="1514">
        <v>0</v>
      </c>
      <c r="CD51" s="1514">
        <f t="shared" si="42"/>
        <v>0</v>
      </c>
      <c r="CE51" s="1514">
        <v>0</v>
      </c>
      <c r="CF51" s="929">
        <f t="shared" si="43"/>
        <v>0</v>
      </c>
    </row>
    <row r="52" spans="1:84" ht="12.75">
      <c r="A52" s="477"/>
      <c r="B52" s="477"/>
      <c r="C52" s="477"/>
      <c r="D52" s="477"/>
      <c r="E52" s="477"/>
      <c r="F52" s="477"/>
      <c r="G52" s="477"/>
      <c r="H52" s="477"/>
      <c r="I52" s="477"/>
      <c r="J52" s="1996"/>
      <c r="K52" s="1996"/>
      <c r="L52" s="1996"/>
      <c r="M52" s="516"/>
      <c r="N52" s="516"/>
      <c r="O52" s="477"/>
      <c r="P52" s="477"/>
      <c r="Q52" s="477"/>
      <c r="R52" s="477"/>
      <c r="W52" s="2032"/>
      <c r="BS52" s="2058">
        <v>456329</v>
      </c>
      <c r="BT52" s="477" t="s">
        <v>1626</v>
      </c>
      <c r="BU52" s="1514">
        <f t="shared" si="39"/>
        <v>-4806683.99</v>
      </c>
      <c r="BV52" s="1514">
        <f t="shared" si="40"/>
        <v>0</v>
      </c>
      <c r="BW52" s="1514">
        <f t="shared" si="41"/>
        <v>-4806683.99</v>
      </c>
      <c r="CB52" s="1514">
        <v>-2468401.87</v>
      </c>
      <c r="CC52" s="1514">
        <v>-558943.35</v>
      </c>
      <c r="CD52" s="1514">
        <f t="shared" si="42"/>
        <v>-1909458.52</v>
      </c>
      <c r="CE52" s="1514">
        <v>-2897225.47</v>
      </c>
      <c r="CF52" s="929">
        <f t="shared" si="43"/>
        <v>-4806683.99</v>
      </c>
    </row>
    <row r="53" spans="1:84" ht="12.75">
      <c r="A53" s="477"/>
      <c r="B53" s="477"/>
      <c r="C53" s="477"/>
      <c r="D53" s="477"/>
      <c r="E53" s="477"/>
      <c r="F53" s="477"/>
      <c r="G53" s="477" t="s">
        <v>1559</v>
      </c>
      <c r="H53" s="477"/>
      <c r="I53" s="477"/>
      <c r="J53" s="477"/>
      <c r="K53" s="477"/>
      <c r="L53" s="477"/>
      <c r="M53" s="515"/>
      <c r="N53" s="515"/>
      <c r="O53" s="477"/>
      <c r="P53" s="477"/>
      <c r="Q53" s="477"/>
      <c r="R53" s="477"/>
      <c r="BS53" s="2058">
        <v>456339</v>
      </c>
      <c r="BT53" s="477" t="s">
        <v>1624</v>
      </c>
      <c r="BU53" s="2077">
        <f t="shared" si="39"/>
        <v>5885214.6000000006</v>
      </c>
      <c r="BV53" s="2077">
        <f t="shared" si="40"/>
        <v>0</v>
      </c>
      <c r="BW53" s="2077">
        <f t="shared" si="41"/>
        <v>5885214.6000000006</v>
      </c>
      <c r="CB53" s="1514">
        <v>11188489.560000001</v>
      </c>
      <c r="CC53" s="1514">
        <v>6584471.8300000001</v>
      </c>
      <c r="CD53" s="1514">
        <f t="shared" si="42"/>
        <v>4604017.7300000004</v>
      </c>
      <c r="CE53" s="1514">
        <v>1281196.8700000001</v>
      </c>
      <c r="CF53" s="929">
        <f t="shared" si="43"/>
        <v>5885214.6000000006</v>
      </c>
    </row>
    <row r="54" spans="1:84" ht="12.75">
      <c r="A54" s="477"/>
      <c r="B54" s="477"/>
      <c r="C54" s="477"/>
      <c r="D54" s="477"/>
      <c r="E54" s="477"/>
      <c r="F54" s="477"/>
      <c r="G54" s="477"/>
      <c r="H54" s="477"/>
      <c r="I54" s="1992" t="s">
        <v>1558</v>
      </c>
      <c r="J54" s="1994">
        <f>D10</f>
        <v>0.95271983997621679</v>
      </c>
      <c r="K54" s="1994">
        <f>J54</f>
        <v>0.95271983997621679</v>
      </c>
      <c r="L54" s="1994">
        <f>D10</f>
        <v>0.95271983997621679</v>
      </c>
      <c r="M54" s="515"/>
      <c r="N54" s="515"/>
      <c r="O54" s="477"/>
      <c r="P54" s="477"/>
      <c r="Q54" s="477"/>
      <c r="R54" s="477"/>
      <c r="BU54" s="929">
        <f>SUM(BU39:BU53)</f>
        <v>-7645205.6800000006</v>
      </c>
      <c r="BV54" s="929">
        <f>SUM(BV39:BV53)</f>
        <v>0</v>
      </c>
      <c r="BW54" s="929">
        <f>SUM(BW39:BW53)</f>
        <v>-7645205.6800000006</v>
      </c>
      <c r="CB54" s="1514"/>
      <c r="CC54" s="1514"/>
      <c r="CD54" s="1514"/>
      <c r="CE54" s="1514"/>
      <c r="CF54" s="929"/>
    </row>
    <row r="55" spans="1:84" ht="12.75">
      <c r="A55" s="477"/>
      <c r="B55" s="477"/>
      <c r="C55" s="477"/>
      <c r="D55" s="477"/>
      <c r="E55" s="477"/>
      <c r="F55" s="477"/>
      <c r="G55" s="477"/>
      <c r="H55" s="477"/>
      <c r="I55" s="1992" t="s">
        <v>1557</v>
      </c>
      <c r="J55" s="1995">
        <v>0.95628183088298646</v>
      </c>
      <c r="K55" s="1995">
        <v>0.95628183088298646</v>
      </c>
      <c r="L55" s="1995">
        <v>0.95628183088298646</v>
      </c>
      <c r="M55" s="515"/>
      <c r="N55" s="515"/>
      <c r="O55" s="477"/>
      <c r="P55" s="477"/>
      <c r="Q55" s="477"/>
      <c r="R55" s="477"/>
    </row>
    <row r="56" spans="1:84" ht="12.75">
      <c r="A56" s="477"/>
      <c r="B56" s="477"/>
      <c r="C56" s="477"/>
      <c r="D56" s="477"/>
      <c r="E56" s="477"/>
      <c r="F56" s="477"/>
      <c r="G56" s="477"/>
      <c r="H56" s="477"/>
      <c r="I56" s="1992" t="s">
        <v>1556</v>
      </c>
      <c r="J56" s="1994">
        <f>J54-J55</f>
        <v>-3.5619909067696742E-3</v>
      </c>
      <c r="K56" s="1994">
        <f>K54-K55</f>
        <v>-3.5619909067696742E-3</v>
      </c>
      <c r="L56" s="1994">
        <f>L54-L55</f>
        <v>-3.5619909067696742E-3</v>
      </c>
      <c r="M56" s="515"/>
      <c r="N56" s="515"/>
      <c r="O56" s="888"/>
      <c r="P56" s="929"/>
      <c r="Q56" s="477"/>
      <c r="R56" s="477"/>
    </row>
    <row r="57" spans="1:84" ht="12.75">
      <c r="A57" s="477"/>
      <c r="B57" s="477"/>
      <c r="C57" s="477"/>
      <c r="D57" s="477"/>
      <c r="E57" s="477"/>
      <c r="F57" s="477"/>
      <c r="G57" s="477"/>
      <c r="H57" s="477"/>
      <c r="I57" s="1992"/>
      <c r="J57" s="1994"/>
      <c r="K57" s="1994"/>
      <c r="L57" s="1994"/>
      <c r="M57" s="515"/>
      <c r="N57" s="515"/>
      <c r="O57" s="477"/>
      <c r="P57" s="888"/>
      <c r="Q57" s="477"/>
      <c r="R57" s="477"/>
    </row>
    <row r="58" spans="1:84" ht="12.75">
      <c r="A58" s="477"/>
      <c r="B58" s="477"/>
      <c r="C58" s="477"/>
      <c r="D58" s="477"/>
      <c r="E58" s="477"/>
      <c r="F58" s="477"/>
      <c r="G58" s="477"/>
      <c r="H58" s="477"/>
      <c r="I58" s="1992" t="s">
        <v>1555</v>
      </c>
      <c r="J58" s="1989">
        <f>J10</f>
        <v>-8881321.9700000007</v>
      </c>
      <c r="K58" s="1989">
        <f>K10</f>
        <v>-51145.87</v>
      </c>
      <c r="L58" s="1989">
        <f>L10</f>
        <v>-3908085.44</v>
      </c>
      <c r="M58" s="515"/>
      <c r="N58" s="515"/>
      <c r="O58" s="477"/>
      <c r="P58" s="477"/>
      <c r="Q58" s="477"/>
      <c r="R58" s="477"/>
      <c r="U58" s="477" t="s">
        <v>1591</v>
      </c>
    </row>
    <row r="59" spans="1:84" ht="12.75">
      <c r="A59" s="477"/>
      <c r="B59" s="477"/>
      <c r="C59" s="477"/>
      <c r="D59" s="477"/>
      <c r="E59" s="477"/>
      <c r="F59" s="477"/>
      <c r="G59" s="477"/>
      <c r="H59" s="477"/>
      <c r="I59" s="1992" t="s">
        <v>1554</v>
      </c>
      <c r="J59" s="1989">
        <f>J56*J58</f>
        <v>31635.188097233731</v>
      </c>
      <c r="K59" s="1989">
        <f>K56*K58</f>
        <v>182.1811238588239</v>
      </c>
      <c r="L59" s="1989">
        <f>L56*L58</f>
        <v>13920.564800158962</v>
      </c>
      <c r="M59" s="888"/>
      <c r="N59" s="888"/>
      <c r="O59" s="477"/>
      <c r="P59" s="477"/>
      <c r="Q59" s="477"/>
      <c r="R59" s="477"/>
      <c r="U59" s="477" t="s">
        <v>1590</v>
      </c>
    </row>
    <row r="60" spans="1:84" ht="12.75">
      <c r="A60" s="477"/>
      <c r="B60" s="477"/>
      <c r="C60" s="477"/>
      <c r="D60" s="477"/>
      <c r="E60" s="477"/>
      <c r="F60" s="477"/>
      <c r="G60" s="477"/>
      <c r="H60" s="477"/>
      <c r="I60" s="1992" t="s">
        <v>1553</v>
      </c>
      <c r="J60" s="1993">
        <f>J59*0.21</f>
        <v>6643.3895004190836</v>
      </c>
      <c r="K60" s="1993">
        <f>K59*0.21</f>
        <v>38.258036010353017</v>
      </c>
      <c r="L60" s="1993">
        <f>L59*0.21</f>
        <v>2923.3186080333817</v>
      </c>
      <c r="M60" s="477"/>
      <c r="N60" s="477"/>
      <c r="O60" s="477"/>
      <c r="P60" s="477"/>
      <c r="Q60" s="477"/>
      <c r="R60" s="477"/>
      <c r="U60" s="477" t="s">
        <v>1589</v>
      </c>
      <c r="Y60" s="477" t="s">
        <v>1588</v>
      </c>
    </row>
    <row r="61" spans="1:84" ht="12.75">
      <c r="A61" s="477"/>
      <c r="B61" s="477"/>
      <c r="C61" s="477"/>
      <c r="D61" s="477"/>
      <c r="E61" s="477"/>
      <c r="F61" s="477"/>
      <c r="G61" s="477"/>
      <c r="H61" s="477"/>
      <c r="I61" s="1992" t="s">
        <v>1552</v>
      </c>
      <c r="J61" s="1989">
        <f>J59-J60</f>
        <v>24991.798596814646</v>
      </c>
      <c r="K61" s="1989">
        <f>K59-K60</f>
        <v>143.92308784847089</v>
      </c>
      <c r="L61" s="1989">
        <f>L59-L60</f>
        <v>10997.24619212558</v>
      </c>
      <c r="M61" s="477"/>
      <c r="N61" s="477"/>
      <c r="O61" s="477"/>
      <c r="P61" s="1514"/>
      <c r="Q61" s="477"/>
      <c r="R61" s="477"/>
    </row>
    <row r="62" spans="1:84" ht="12.75">
      <c r="A62" s="477"/>
      <c r="B62" s="477"/>
      <c r="C62" s="477"/>
      <c r="D62" s="477"/>
      <c r="E62" s="477"/>
      <c r="F62" s="477"/>
      <c r="G62" s="477"/>
      <c r="H62" s="477"/>
      <c r="I62" s="477"/>
      <c r="J62" s="1989" t="s">
        <v>1551</v>
      </c>
      <c r="K62" s="477"/>
      <c r="L62" s="477"/>
      <c r="M62" s="477"/>
      <c r="N62" s="477"/>
      <c r="O62" s="477"/>
      <c r="P62" s="1514"/>
      <c r="Q62" s="477"/>
      <c r="R62" s="477"/>
      <c r="U62" s="2023" t="s">
        <v>1587</v>
      </c>
    </row>
    <row r="63" spans="1:84" ht="12.75">
      <c r="A63" s="477"/>
      <c r="B63" s="477"/>
      <c r="C63" s="477"/>
      <c r="D63" s="477"/>
      <c r="E63" s="477"/>
      <c r="F63" s="477"/>
      <c r="G63" s="477"/>
      <c r="H63" s="890"/>
      <c r="I63" s="477"/>
      <c r="J63" s="477"/>
      <c r="K63" s="477"/>
      <c r="L63" s="477"/>
      <c r="M63" s="477"/>
      <c r="N63" s="477"/>
      <c r="O63" s="477"/>
      <c r="P63" s="929"/>
      <c r="Q63" s="477"/>
      <c r="R63" s="477"/>
    </row>
    <row r="64" spans="1:84" ht="12.75">
      <c r="A64" s="477"/>
      <c r="B64" s="477"/>
      <c r="C64" s="477"/>
      <c r="D64" s="477"/>
      <c r="E64" s="477"/>
      <c r="F64" s="477"/>
      <c r="G64" s="477"/>
      <c r="H64" s="890"/>
      <c r="I64" s="477"/>
      <c r="J64" s="477"/>
      <c r="K64" s="477"/>
      <c r="L64" s="477"/>
      <c r="M64" s="477"/>
      <c r="N64" s="477"/>
      <c r="O64" s="477"/>
      <c r="P64" s="929"/>
      <c r="Q64" s="477"/>
      <c r="R64" s="477"/>
      <c r="U64" s="1549"/>
      <c r="V64" s="2031" t="s">
        <v>1586</v>
      </c>
      <c r="W64" s="2031" t="s">
        <v>865</v>
      </c>
      <c r="X64" s="2031" t="s">
        <v>864</v>
      </c>
    </row>
    <row r="65" spans="1:26" ht="12.75">
      <c r="A65" s="477"/>
      <c r="B65" s="477"/>
      <c r="C65" s="477"/>
      <c r="D65" s="477"/>
      <c r="E65" s="477"/>
      <c r="F65" s="477"/>
      <c r="G65" s="477"/>
      <c r="H65" s="1991"/>
      <c r="I65" s="477"/>
      <c r="J65" s="477"/>
      <c r="K65" s="477"/>
      <c r="L65" s="477"/>
      <c r="M65" s="477"/>
      <c r="N65" s="477"/>
      <c r="O65" s="477"/>
      <c r="P65" s="929"/>
      <c r="Q65" s="477"/>
      <c r="R65" s="477"/>
      <c r="U65" s="1556"/>
    </row>
    <row r="66" spans="1:26" ht="12.75">
      <c r="A66" s="477"/>
      <c r="B66" s="477"/>
      <c r="C66" s="477"/>
      <c r="D66" s="477"/>
      <c r="E66" s="477"/>
      <c r="F66" s="477"/>
      <c r="G66" s="477"/>
      <c r="H66" s="1991"/>
      <c r="I66" s="477"/>
      <c r="J66" s="477"/>
      <c r="K66" s="477"/>
      <c r="L66" s="477"/>
      <c r="M66" s="477"/>
      <c r="N66" s="477"/>
      <c r="O66" s="477"/>
      <c r="P66" s="477"/>
      <c r="Q66" s="477"/>
      <c r="R66" s="477"/>
      <c r="U66" s="2023" t="s">
        <v>1043</v>
      </c>
      <c r="V66" s="2030"/>
      <c r="W66" s="1555"/>
      <c r="Y66" s="2029" t="s">
        <v>1059</v>
      </c>
      <c r="Z66" s="1845"/>
    </row>
    <row r="67" spans="1:26" ht="12.75">
      <c r="A67" s="477"/>
      <c r="B67" s="477"/>
      <c r="C67" s="477"/>
      <c r="D67" s="477"/>
      <c r="E67" s="477"/>
      <c r="F67" s="477"/>
      <c r="G67" s="477"/>
      <c r="H67" s="1991"/>
      <c r="I67" s="477"/>
      <c r="J67" s="477"/>
      <c r="K67" s="477"/>
      <c r="L67" s="477"/>
      <c r="M67" s="477"/>
      <c r="N67" s="477"/>
      <c r="O67" s="477"/>
      <c r="P67" s="477"/>
      <c r="Q67" s="477"/>
      <c r="R67" s="477"/>
      <c r="U67" s="2026" t="s">
        <v>1585</v>
      </c>
      <c r="V67" s="2028"/>
      <c r="W67" s="1561"/>
      <c r="Y67" s="2027" t="s">
        <v>24</v>
      </c>
    </row>
    <row r="68" spans="1:26" ht="14.25">
      <c r="A68" s="477"/>
      <c r="B68" s="477"/>
      <c r="C68" s="477"/>
      <c r="D68" s="477"/>
      <c r="E68" s="477"/>
      <c r="F68" s="477"/>
      <c r="G68" s="477"/>
      <c r="H68" s="1991"/>
      <c r="I68" s="477"/>
      <c r="J68" s="477"/>
      <c r="K68" s="477"/>
      <c r="L68" s="477"/>
      <c r="M68" s="477"/>
      <c r="N68" s="477"/>
      <c r="O68" s="477"/>
      <c r="P68" s="477"/>
      <c r="Q68" s="477"/>
      <c r="R68" s="477"/>
      <c r="U68" s="2026" t="s">
        <v>1584</v>
      </c>
      <c r="V68" s="1547" t="s">
        <v>1583</v>
      </c>
      <c r="W68" s="2023" t="s">
        <v>679</v>
      </c>
      <c r="Y68" s="2025"/>
    </row>
    <row r="69" spans="1:26" ht="14.25">
      <c r="A69" s="477"/>
      <c r="B69" s="477"/>
      <c r="C69" s="477"/>
      <c r="D69" s="477"/>
      <c r="E69" s="477"/>
      <c r="F69" s="477"/>
      <c r="G69" s="477"/>
      <c r="H69" s="1991"/>
      <c r="I69" s="477"/>
      <c r="J69" s="477"/>
      <c r="K69" s="477"/>
      <c r="L69" s="477"/>
      <c r="M69" s="477"/>
      <c r="N69" s="477"/>
      <c r="O69" s="477"/>
      <c r="P69" s="477"/>
      <c r="Q69" s="477"/>
      <c r="R69" s="477"/>
      <c r="U69" s="2024" t="s">
        <v>24</v>
      </c>
      <c r="V69" s="1562" t="s">
        <v>1582</v>
      </c>
      <c r="W69" s="2023" t="s">
        <v>1580</v>
      </c>
      <c r="Y69" s="2020">
        <f>-112787.5+110541.64</f>
        <v>-2245.8600000000006</v>
      </c>
    </row>
    <row r="70" spans="1:26" ht="14.25">
      <c r="A70" s="477"/>
      <c r="B70" s="477"/>
      <c r="C70" s="477"/>
      <c r="D70" s="477"/>
      <c r="E70" s="477"/>
      <c r="F70" s="477"/>
      <c r="G70" s="477"/>
      <c r="H70" s="1991"/>
      <c r="I70" s="1990"/>
      <c r="J70" s="477"/>
      <c r="K70" s="477"/>
      <c r="L70" s="477"/>
      <c r="M70" s="477"/>
      <c r="N70" s="477"/>
      <c r="O70" s="477"/>
      <c r="P70" s="477"/>
      <c r="Q70" s="515"/>
      <c r="R70" s="477"/>
      <c r="V70" s="1562" t="s">
        <v>1581</v>
      </c>
      <c r="W70" s="2023" t="s">
        <v>1580</v>
      </c>
      <c r="Y70" s="2020">
        <v>2245.86</v>
      </c>
    </row>
    <row r="71" spans="1:26" ht="12.75">
      <c r="A71" s="477"/>
      <c r="B71" s="477"/>
      <c r="C71" s="477"/>
      <c r="D71" s="477"/>
      <c r="E71" s="477"/>
      <c r="F71" s="477"/>
      <c r="G71" s="477"/>
      <c r="H71" s="477"/>
      <c r="I71" s="477"/>
      <c r="J71" s="477"/>
      <c r="K71" s="477"/>
      <c r="L71" s="477"/>
      <c r="M71" s="477"/>
      <c r="N71" s="477"/>
      <c r="O71" s="477"/>
      <c r="P71" s="477"/>
      <c r="Q71" s="515"/>
      <c r="R71" s="477"/>
      <c r="V71" s="2022"/>
      <c r="W71" s="2021"/>
      <c r="Y71" s="2020">
        <f>SUM(Y69:Y70)</f>
        <v>0</v>
      </c>
    </row>
    <row r="72" spans="1:26" ht="12.75">
      <c r="A72" s="477"/>
      <c r="B72" s="477"/>
      <c r="C72" s="477"/>
      <c r="D72" s="477"/>
      <c r="E72" s="477"/>
      <c r="F72" s="477"/>
      <c r="G72" s="477"/>
      <c r="H72" s="477"/>
      <c r="I72" s="477"/>
      <c r="J72" s="477"/>
      <c r="K72" s="477"/>
      <c r="L72" s="477"/>
      <c r="M72" s="477"/>
      <c r="N72" s="477"/>
      <c r="O72" s="477"/>
      <c r="P72" s="477"/>
      <c r="Q72" s="515"/>
      <c r="R72" s="477"/>
      <c r="Z72" s="2019"/>
    </row>
    <row r="73" spans="1:26" ht="12.75">
      <c r="A73" s="477"/>
      <c r="B73" s="477"/>
      <c r="C73" s="477"/>
      <c r="D73" s="477"/>
      <c r="E73" s="477"/>
      <c r="F73" s="477"/>
      <c r="G73" s="477"/>
      <c r="H73" s="477"/>
      <c r="I73" s="477"/>
      <c r="J73" s="477"/>
      <c r="K73" s="477"/>
      <c r="L73" s="477"/>
      <c r="M73" s="477"/>
      <c r="N73" s="477"/>
      <c r="O73" s="477"/>
      <c r="P73" s="477"/>
      <c r="Q73" s="515"/>
      <c r="R73" s="477"/>
    </row>
    <row r="74" spans="1:26" ht="12.75">
      <c r="A74" s="477"/>
      <c r="B74" s="477"/>
      <c r="C74" s="477"/>
      <c r="D74" s="477"/>
      <c r="E74" s="477"/>
      <c r="F74" s="477"/>
      <c r="G74" s="477"/>
      <c r="H74" s="477"/>
      <c r="I74" s="477"/>
      <c r="J74" s="477"/>
      <c r="K74" s="477"/>
      <c r="L74" s="477"/>
      <c r="M74" s="477"/>
      <c r="N74" s="477"/>
      <c r="O74" s="477"/>
      <c r="P74" s="477"/>
      <c r="Q74" s="477"/>
      <c r="R74" s="477"/>
    </row>
    <row r="75" spans="1:26" ht="12.75">
      <c r="A75" s="477"/>
      <c r="B75" s="477"/>
      <c r="C75" s="477"/>
      <c r="D75" s="477"/>
      <c r="E75" s="477"/>
      <c r="F75" s="477"/>
      <c r="G75" s="477"/>
      <c r="H75" s="477"/>
      <c r="I75" s="477"/>
      <c r="J75" s="477"/>
      <c r="K75" s="477"/>
      <c r="L75" s="477"/>
      <c r="M75" s="477"/>
      <c r="N75" s="477"/>
      <c r="O75" s="477"/>
      <c r="P75" s="477"/>
      <c r="Q75" s="477"/>
      <c r="R75" s="477"/>
    </row>
    <row r="76" spans="1:26" ht="12.75">
      <c r="A76" s="477"/>
      <c r="B76" s="477"/>
      <c r="C76" s="477"/>
      <c r="D76" s="477"/>
      <c r="E76" s="477"/>
      <c r="F76" s="477"/>
      <c r="G76" s="477"/>
      <c r="H76" s="477"/>
      <c r="I76" s="477"/>
      <c r="J76" s="477"/>
      <c r="K76" s="477"/>
      <c r="L76" s="477"/>
      <c r="M76" s="477"/>
      <c r="N76" s="477"/>
      <c r="O76" s="477"/>
      <c r="P76" s="477"/>
      <c r="Q76" s="477"/>
      <c r="R76" s="477"/>
    </row>
    <row r="77" spans="1:26" ht="12.75">
      <c r="A77" s="477"/>
      <c r="B77" s="477"/>
      <c r="C77" s="477"/>
      <c r="D77" s="477"/>
      <c r="E77" s="477"/>
      <c r="F77" s="477"/>
      <c r="G77" s="477"/>
      <c r="H77" s="477"/>
      <c r="I77" s="477"/>
      <c r="J77" s="477"/>
      <c r="K77" s="477"/>
      <c r="L77" s="477"/>
      <c r="M77" s="477"/>
      <c r="N77" s="477"/>
      <c r="O77" s="477"/>
      <c r="P77" s="477"/>
      <c r="Q77" s="477"/>
      <c r="R77" s="477"/>
    </row>
  </sheetData>
  <mergeCells count="12">
    <mergeCell ref="CB4:CF4"/>
    <mergeCell ref="CH4:CL4"/>
    <mergeCell ref="W2:X2"/>
    <mergeCell ref="Y24:Z24"/>
    <mergeCell ref="Y9:Z9"/>
    <mergeCell ref="Y11:Z11"/>
    <mergeCell ref="Y12:Z12"/>
    <mergeCell ref="Y13:Z13"/>
    <mergeCell ref="Y14:Z14"/>
    <mergeCell ref="Y15:Z15"/>
    <mergeCell ref="Y16:Z16"/>
    <mergeCell ref="Y10:Z10"/>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C8FE-1824-4034-930C-20BF8DF38C3A}">
  <sheetPr codeName="Sheet25"/>
  <dimension ref="A1:V40"/>
  <sheetViews>
    <sheetView workbookViewId="0"/>
  </sheetViews>
  <sheetFormatPr defaultColWidth="8.85546875" defaultRowHeight="15"/>
  <cols>
    <col min="1" max="1" width="48.28515625" style="2088" bestFit="1" customWidth="1"/>
    <col min="2" max="2" width="7.28515625" style="2088" bestFit="1" customWidth="1"/>
    <col min="3" max="3" width="16.85546875" style="2088" customWidth="1"/>
    <col min="4" max="4" width="7.5703125" style="2088" bestFit="1" customWidth="1"/>
    <col min="5" max="5" width="14.140625" style="2088" customWidth="1"/>
    <col min="6" max="6" width="9.140625"/>
    <col min="7" max="7" width="1.7109375" style="1008" customWidth="1"/>
    <col min="8" max="8" width="8.85546875" style="477"/>
    <col min="9" max="9" width="12" style="1362" bestFit="1" customWidth="1"/>
    <col min="10" max="10" width="14.42578125" style="2118" customWidth="1"/>
    <col min="11" max="11" width="16.140625" style="2118" bestFit="1" customWidth="1"/>
    <col min="12" max="12" width="11" style="2118" bestFit="1" customWidth="1"/>
    <col min="13" max="13" width="16.140625" style="2118" bestFit="1" customWidth="1"/>
    <col min="14" max="14" width="10" style="1362" bestFit="1" customWidth="1"/>
    <col min="15" max="15" width="14.85546875" style="1362" bestFit="1" customWidth="1"/>
    <col min="16" max="16" width="14.85546875" style="2118" bestFit="1" customWidth="1"/>
    <col min="17" max="17" width="12.85546875" style="1362" customWidth="1"/>
    <col min="18" max="18" width="11.5703125" style="1362" bestFit="1" customWidth="1"/>
    <col min="19" max="19" width="12.5703125" style="1362" bestFit="1" customWidth="1"/>
    <col min="20" max="20" width="18.42578125" style="2119" customWidth="1"/>
    <col min="21" max="22" width="9.140625" style="1362" customWidth="1"/>
    <col min="23" max="16384" width="8.85546875" style="477"/>
  </cols>
  <sheetData>
    <row r="1" spans="1:22">
      <c r="A1" s="1230" t="s">
        <v>1282</v>
      </c>
      <c r="I1" s="1339" t="s">
        <v>1733</v>
      </c>
      <c r="J1" s="2135"/>
      <c r="R1" s="1339"/>
    </row>
    <row r="2" spans="1:22" ht="30.75" thickBot="1">
      <c r="A2" s="1230" t="s">
        <v>1703</v>
      </c>
      <c r="I2" s="2134" t="s">
        <v>818</v>
      </c>
      <c r="J2" s="2091" t="s">
        <v>1704</v>
      </c>
      <c r="K2" s="2091" t="s">
        <v>1705</v>
      </c>
      <c r="L2" s="2091" t="s">
        <v>1706</v>
      </c>
      <c r="M2" s="2092" t="s">
        <v>1707</v>
      </c>
      <c r="N2" s="2092" t="s">
        <v>1708</v>
      </c>
      <c r="O2" s="2092" t="s">
        <v>1709</v>
      </c>
      <c r="P2" s="2092" t="s">
        <v>1710</v>
      </c>
      <c r="Q2" s="2134" t="s">
        <v>24</v>
      </c>
      <c r="R2" s="2134" t="s">
        <v>818</v>
      </c>
      <c r="S2" s="2134" t="s">
        <v>1183</v>
      </c>
      <c r="T2" s="2134" t="s">
        <v>1711</v>
      </c>
      <c r="U2" s="2093"/>
      <c r="V2" s="2093"/>
    </row>
    <row r="3" spans="1:22">
      <c r="A3" s="2094" t="s">
        <v>1327</v>
      </c>
      <c r="I3" s="2095">
        <v>935000</v>
      </c>
      <c r="J3" s="2128"/>
      <c r="K3" s="2128"/>
      <c r="L3" s="2128">
        <v>-470.79</v>
      </c>
      <c r="M3" s="2097"/>
      <c r="N3" s="2132"/>
      <c r="O3" s="2128"/>
      <c r="P3" s="2128"/>
      <c r="Q3" s="2098">
        <f>SUM(K3:P3)</f>
        <v>-470.79</v>
      </c>
      <c r="R3" s="2090">
        <f t="shared" ref="R3:R33" si="0">I3</f>
        <v>935000</v>
      </c>
      <c r="S3" s="2089">
        <f>SUM(Q3:Q12)</f>
        <v>-409193.04</v>
      </c>
      <c r="T3" s="1375" t="s">
        <v>1712</v>
      </c>
    </row>
    <row r="4" spans="1:22">
      <c r="I4" s="2095">
        <v>931000</v>
      </c>
      <c r="J4" s="2128"/>
      <c r="K4" s="2128"/>
      <c r="L4" s="2128"/>
      <c r="M4" s="2097"/>
      <c r="N4" s="2132"/>
      <c r="O4" s="2128"/>
      <c r="P4" s="2133"/>
      <c r="Q4" s="2099">
        <f>SUM(J4:P4)</f>
        <v>0</v>
      </c>
      <c r="R4" s="1361">
        <f t="shared" si="0"/>
        <v>931000</v>
      </c>
      <c r="S4" s="2100"/>
      <c r="T4" s="1370"/>
    </row>
    <row r="5" spans="1:22">
      <c r="I5" s="2095">
        <v>930200</v>
      </c>
      <c r="J5" s="2128">
        <v>-177863</v>
      </c>
      <c r="K5" s="2128">
        <v>1675</v>
      </c>
      <c r="L5" s="2128">
        <v>3.57</v>
      </c>
      <c r="M5" s="2097">
        <v>-56.83</v>
      </c>
      <c r="N5" s="2132"/>
      <c r="O5" s="2128">
        <v>-8192</v>
      </c>
      <c r="P5" s="2128"/>
      <c r="Q5" s="2099">
        <f>SUM(J5:P5)</f>
        <v>-184433.25999999998</v>
      </c>
      <c r="R5" s="1361">
        <f t="shared" si="0"/>
        <v>930200</v>
      </c>
      <c r="S5" s="2100"/>
      <c r="T5" s="1370"/>
    </row>
    <row r="6" spans="1:22">
      <c r="I6" s="2095">
        <v>928000</v>
      </c>
      <c r="J6" s="2128"/>
      <c r="K6" s="2128"/>
      <c r="L6" s="2128"/>
      <c r="M6" s="2097"/>
      <c r="N6" s="2132"/>
      <c r="P6" s="2128"/>
      <c r="Q6" s="2099">
        <f t="shared" ref="Q6:Q12" si="1">SUM(K6:P6)</f>
        <v>0</v>
      </c>
      <c r="R6" s="1361">
        <f t="shared" si="0"/>
        <v>928000</v>
      </c>
      <c r="S6" s="2100"/>
      <c r="T6" s="1370"/>
    </row>
    <row r="7" spans="1:22">
      <c r="C7" s="2083" t="s">
        <v>763</v>
      </c>
      <c r="D7" s="2083"/>
      <c r="E7" s="2083" t="s">
        <v>763</v>
      </c>
      <c r="I7" s="2095">
        <v>926100</v>
      </c>
      <c r="J7" s="2128"/>
      <c r="K7" s="2128"/>
      <c r="L7" s="2128"/>
      <c r="M7" s="2097"/>
      <c r="N7" s="2132"/>
      <c r="O7" s="2128"/>
      <c r="P7" s="2128"/>
      <c r="Q7" s="2099">
        <f t="shared" si="1"/>
        <v>0</v>
      </c>
      <c r="R7" s="1361">
        <f t="shared" si="0"/>
        <v>926100</v>
      </c>
      <c r="S7" s="2100"/>
      <c r="T7" s="1370"/>
    </row>
    <row r="8" spans="1:22">
      <c r="C8" s="2101" t="s">
        <v>729</v>
      </c>
      <c r="D8" s="2083"/>
      <c r="E8" s="2101" t="s">
        <v>1713</v>
      </c>
      <c r="I8" s="2095">
        <v>925100</v>
      </c>
      <c r="J8" s="2128"/>
      <c r="K8" s="2128"/>
      <c r="L8" s="2128"/>
      <c r="M8" s="2097"/>
      <c r="N8" s="2132"/>
      <c r="O8" s="2128"/>
      <c r="P8" s="2128"/>
      <c r="Q8" s="2099">
        <f t="shared" si="1"/>
        <v>0</v>
      </c>
      <c r="R8" s="1361">
        <f t="shared" si="0"/>
        <v>925100</v>
      </c>
      <c r="S8" s="2100"/>
      <c r="T8" s="1370"/>
    </row>
    <row r="9" spans="1:22">
      <c r="I9" s="2095">
        <v>925200</v>
      </c>
      <c r="J9" s="2128"/>
      <c r="K9" s="2128"/>
      <c r="L9" s="2097"/>
      <c r="M9" s="2097"/>
      <c r="N9" s="2132"/>
      <c r="O9" s="2128"/>
      <c r="P9" s="2128">
        <v>-13442</v>
      </c>
      <c r="Q9" s="2099">
        <f t="shared" si="1"/>
        <v>-13442</v>
      </c>
      <c r="R9" s="1361">
        <f t="shared" si="0"/>
        <v>925200</v>
      </c>
      <c r="S9" s="2100"/>
      <c r="T9" s="1370"/>
    </row>
    <row r="10" spans="1:22">
      <c r="A10" s="2102" t="s">
        <v>1714</v>
      </c>
      <c r="C10" s="2083"/>
      <c r="D10" s="2083"/>
      <c r="E10" s="2083"/>
      <c r="I10" s="2129">
        <v>923000</v>
      </c>
      <c r="J10" s="2128"/>
      <c r="K10" s="2128"/>
      <c r="L10" s="2128"/>
      <c r="M10" s="2096"/>
      <c r="N10" s="2128"/>
      <c r="O10" s="2128"/>
      <c r="P10" s="2128"/>
      <c r="Q10" s="2099">
        <f t="shared" si="1"/>
        <v>0</v>
      </c>
      <c r="R10" s="1361">
        <f t="shared" si="0"/>
        <v>923000</v>
      </c>
      <c r="S10" s="2100"/>
      <c r="T10" s="1370"/>
    </row>
    <row r="11" spans="1:22">
      <c r="A11" s="2088" t="s">
        <v>1715</v>
      </c>
      <c r="B11" s="2103" t="s">
        <v>1716</v>
      </c>
      <c r="C11" s="2104">
        <v>5293</v>
      </c>
      <c r="D11" s="2103" t="s">
        <v>1717</v>
      </c>
      <c r="E11" s="2104">
        <f>'G-2.12 Misc'!K34</f>
        <v>1675</v>
      </c>
      <c r="I11" s="2095">
        <v>921000</v>
      </c>
      <c r="J11" s="2128"/>
      <c r="K11" s="2128"/>
      <c r="L11" s="2128">
        <v>-215.26</v>
      </c>
      <c r="M11" s="2096">
        <v>-19.73</v>
      </c>
      <c r="N11" s="2128"/>
      <c r="O11" s="2128"/>
      <c r="P11" s="2128"/>
      <c r="Q11" s="2099">
        <f t="shared" si="1"/>
        <v>-234.98999999999998</v>
      </c>
      <c r="R11" s="1361">
        <f t="shared" si="0"/>
        <v>921000</v>
      </c>
      <c r="S11" s="2100"/>
      <c r="T11" s="1370"/>
    </row>
    <row r="12" spans="1:22" ht="15.75" thickBot="1">
      <c r="B12" s="2103"/>
      <c r="C12" s="2104"/>
      <c r="D12" s="2103"/>
      <c r="E12" s="2104"/>
      <c r="I12" s="2095">
        <v>920000</v>
      </c>
      <c r="J12" s="2128"/>
      <c r="K12" s="2128"/>
      <c r="L12" s="2128"/>
      <c r="M12" s="2096"/>
      <c r="N12" s="2128">
        <v>-210612</v>
      </c>
      <c r="O12" s="2128"/>
      <c r="P12" s="2128"/>
      <c r="Q12" s="2099">
        <f t="shared" si="1"/>
        <v>-210612</v>
      </c>
      <c r="R12" s="1361">
        <f t="shared" si="0"/>
        <v>920000</v>
      </c>
      <c r="S12" s="2100"/>
      <c r="T12" s="1370"/>
    </row>
    <row r="13" spans="1:22">
      <c r="A13" s="2088" t="s">
        <v>636</v>
      </c>
      <c r="B13" s="2103" t="s">
        <v>1716</v>
      </c>
      <c r="C13" s="2104">
        <v>-561884</v>
      </c>
      <c r="D13" s="2103" t="s">
        <v>1717</v>
      </c>
      <c r="E13" s="2104">
        <f>'G-2.12 Misc'!J34</f>
        <v>-177863</v>
      </c>
      <c r="I13" s="2095">
        <v>910000</v>
      </c>
      <c r="J13" s="2128"/>
      <c r="K13" s="2128"/>
      <c r="L13" s="2128">
        <v>-3.71</v>
      </c>
      <c r="M13" s="2096"/>
      <c r="N13" s="2128"/>
      <c r="O13" s="2128"/>
      <c r="P13" s="2128"/>
      <c r="Q13" s="2098">
        <f>SUM(J13:P13)</f>
        <v>-3.71</v>
      </c>
      <c r="R13" s="2090">
        <f t="shared" si="0"/>
        <v>910000</v>
      </c>
      <c r="S13" s="2089">
        <f>SUM(Q13:Q15)</f>
        <v>-1454.02</v>
      </c>
      <c r="T13" s="1375" t="s">
        <v>1732</v>
      </c>
    </row>
    <row r="14" spans="1:22">
      <c r="B14" s="2105"/>
      <c r="D14" s="2105"/>
      <c r="I14" s="2095">
        <v>909000</v>
      </c>
      <c r="J14" s="2128"/>
      <c r="K14" s="2128"/>
      <c r="L14" s="2128">
        <v>-147.58000000000001</v>
      </c>
      <c r="M14" s="2096">
        <v>-1302.73</v>
      </c>
      <c r="N14" s="2128"/>
      <c r="O14" s="2128"/>
      <c r="P14" s="2128"/>
      <c r="Q14" s="2099">
        <f>SUM(K14:P14)</f>
        <v>-1450.31</v>
      </c>
      <c r="R14" s="1361">
        <f t="shared" si="0"/>
        <v>909000</v>
      </c>
      <c r="S14" s="2100"/>
      <c r="T14" s="1370"/>
    </row>
    <row r="15" spans="1:22" ht="15.75" thickBot="1">
      <c r="A15" s="2088" t="s">
        <v>1706</v>
      </c>
      <c r="B15" s="2103" t="s">
        <v>1716</v>
      </c>
      <c r="C15" s="2109">
        <v>-4225.2800000000007</v>
      </c>
      <c r="D15" s="2103" t="s">
        <v>1717</v>
      </c>
      <c r="E15" s="2109">
        <f>'G-2.12 Misc'!L34</f>
        <v>-1037.5600000000002</v>
      </c>
      <c r="I15" s="2095">
        <v>908000</v>
      </c>
      <c r="J15" s="2128"/>
      <c r="K15" s="2128"/>
      <c r="L15" s="2128"/>
      <c r="M15" s="2096"/>
      <c r="N15" s="2128"/>
      <c r="O15" s="2128"/>
      <c r="P15" s="2128"/>
      <c r="Q15" s="2106">
        <f>SUM(K15:P15)</f>
        <v>0</v>
      </c>
      <c r="R15" s="2107">
        <f t="shared" si="0"/>
        <v>908000</v>
      </c>
      <c r="S15" s="2108"/>
      <c r="T15" s="1363"/>
    </row>
    <row r="16" spans="1:22">
      <c r="B16" s="2105"/>
      <c r="C16" s="2104"/>
      <c r="D16" s="2105"/>
      <c r="E16" s="2104"/>
      <c r="I16" s="2095">
        <v>905000</v>
      </c>
      <c r="J16" s="2128"/>
      <c r="K16" s="2128"/>
      <c r="L16" s="2128"/>
      <c r="M16" s="2096"/>
      <c r="N16" s="2128"/>
      <c r="O16" s="2128"/>
      <c r="P16" s="2128"/>
      <c r="Q16" s="2099">
        <f>SUM(K16:P16)</f>
        <v>0</v>
      </c>
      <c r="R16" s="1361">
        <f t="shared" si="0"/>
        <v>905000</v>
      </c>
      <c r="S16" s="2100">
        <f>Q16+Q17</f>
        <v>0</v>
      </c>
      <c r="T16" s="1370" t="s">
        <v>1731</v>
      </c>
    </row>
    <row r="17" spans="1:20" ht="15.75" thickBot="1">
      <c r="A17" s="2088" t="s">
        <v>1707</v>
      </c>
      <c r="B17" s="2103" t="s">
        <v>1716</v>
      </c>
      <c r="C17" s="2109">
        <v>-11974.699999999999</v>
      </c>
      <c r="D17" s="2103" t="s">
        <v>1717</v>
      </c>
      <c r="E17" s="2109">
        <f>'G-2.12 Misc'!M34</f>
        <v>-5716.91</v>
      </c>
      <c r="I17" s="2095">
        <v>902000</v>
      </c>
      <c r="J17" s="2128"/>
      <c r="K17" s="2128"/>
      <c r="L17" s="2128"/>
      <c r="M17" s="2096"/>
      <c r="N17" s="2128"/>
      <c r="O17" s="2128"/>
      <c r="P17" s="2128"/>
      <c r="Q17" s="2106">
        <f>SUM(K17:P17)</f>
        <v>0</v>
      </c>
      <c r="R17" s="2107">
        <f t="shared" si="0"/>
        <v>902000</v>
      </c>
      <c r="S17" s="2108"/>
      <c r="T17" s="1363"/>
    </row>
    <row r="18" spans="1:20">
      <c r="B18" s="2105"/>
      <c r="C18" s="2104"/>
      <c r="D18" s="2105"/>
      <c r="E18" s="2104"/>
      <c r="I18" s="2095">
        <v>880000</v>
      </c>
      <c r="J18" s="2128"/>
      <c r="K18" s="2128"/>
      <c r="L18" s="2128">
        <v>-203.79</v>
      </c>
      <c r="M18" s="2096"/>
      <c r="N18" s="2128"/>
      <c r="O18" s="2128"/>
      <c r="P18" s="2128"/>
      <c r="Q18" s="2098">
        <f>SUM(K18:P18)</f>
        <v>-203.79</v>
      </c>
      <c r="R18" s="2090">
        <f t="shared" si="0"/>
        <v>880000</v>
      </c>
      <c r="S18" s="2089">
        <f>SUM(Q18:Q27)</f>
        <v>-4565.2299999999996</v>
      </c>
      <c r="T18" s="1375" t="s">
        <v>1730</v>
      </c>
    </row>
    <row r="19" spans="1:20">
      <c r="A19" s="2088" t="s">
        <v>1708</v>
      </c>
      <c r="B19" s="2103" t="s">
        <v>1716</v>
      </c>
      <c r="C19" s="2109">
        <v>-665342</v>
      </c>
      <c r="D19" s="2103" t="s">
        <v>1717</v>
      </c>
      <c r="E19" s="2109">
        <f>'G-2.12 Misc'!N34</f>
        <v>-210612</v>
      </c>
      <c r="I19" s="2095">
        <v>881000</v>
      </c>
      <c r="J19" s="2128"/>
      <c r="K19" s="2128"/>
      <c r="L19" s="2128"/>
      <c r="M19" s="2096"/>
      <c r="N19" s="2128"/>
      <c r="O19" s="2128"/>
      <c r="P19" s="2128"/>
      <c r="Q19" s="2099">
        <f t="shared" ref="Q19:Q26" si="2">SUM(J19:P19)</f>
        <v>0</v>
      </c>
      <c r="R19" s="1361">
        <f t="shared" si="0"/>
        <v>881000</v>
      </c>
      <c r="S19" s="2100"/>
      <c r="T19" s="1370"/>
    </row>
    <row r="20" spans="1:20">
      <c r="B20" s="2103"/>
      <c r="C20" s="2109"/>
      <c r="D20" s="2103"/>
      <c r="E20" s="2109"/>
      <c r="I20" s="2095">
        <v>894000</v>
      </c>
      <c r="J20" s="2128"/>
      <c r="K20" s="2128"/>
      <c r="L20" s="2128"/>
      <c r="M20" s="2096"/>
      <c r="N20" s="2128"/>
      <c r="O20" s="2128"/>
      <c r="P20" s="2128"/>
      <c r="Q20" s="2099">
        <f t="shared" si="2"/>
        <v>0</v>
      </c>
      <c r="R20" s="1361">
        <f t="shared" si="0"/>
        <v>894000</v>
      </c>
      <c r="S20" s="2100"/>
      <c r="T20" s="1370"/>
    </row>
    <row r="21" spans="1:20">
      <c r="A21" s="2088" t="s">
        <v>1718</v>
      </c>
      <c r="B21" s="2103" t="s">
        <v>1716</v>
      </c>
      <c r="C21" s="2109">
        <v>-16162</v>
      </c>
      <c r="D21" s="2103" t="s">
        <v>1717</v>
      </c>
      <c r="E21" s="2109">
        <f>'G-2.12 Misc'!O34</f>
        <v>-8192</v>
      </c>
      <c r="I21" s="2095">
        <v>892000</v>
      </c>
      <c r="J21" s="2128"/>
      <c r="K21" s="2128"/>
      <c r="L21" s="2128"/>
      <c r="M21" s="2096">
        <v>-1607.08</v>
      </c>
      <c r="N21" s="2128"/>
      <c r="O21" s="2128"/>
      <c r="P21" s="2128"/>
      <c r="Q21" s="2099">
        <f t="shared" si="2"/>
        <v>-1607.08</v>
      </c>
      <c r="R21" s="1361">
        <f t="shared" si="0"/>
        <v>892000</v>
      </c>
      <c r="S21" s="2100"/>
      <c r="T21" s="1370"/>
    </row>
    <row r="22" spans="1:20">
      <c r="B22" s="2103"/>
      <c r="C22" s="2109"/>
      <c r="D22" s="2103"/>
      <c r="E22" s="2109"/>
      <c r="I22" s="2095">
        <v>889000</v>
      </c>
      <c r="J22" s="2128"/>
      <c r="K22" s="2128"/>
      <c r="L22" s="2128"/>
      <c r="M22" s="2096"/>
      <c r="N22" s="2128"/>
      <c r="O22" s="2128"/>
      <c r="P22" s="2128"/>
      <c r="Q22" s="2099">
        <f t="shared" si="2"/>
        <v>0</v>
      </c>
      <c r="R22" s="1361">
        <f t="shared" si="0"/>
        <v>889000</v>
      </c>
      <c r="S22" s="2100"/>
      <c r="T22" s="1370"/>
    </row>
    <row r="23" spans="1:20">
      <c r="A23" s="2088" t="s">
        <v>1710</v>
      </c>
      <c r="B23" s="2103" t="s">
        <v>1716</v>
      </c>
      <c r="C23" s="2109">
        <v>-42466</v>
      </c>
      <c r="D23" s="2103" t="s">
        <v>1717</v>
      </c>
      <c r="E23" s="2109">
        <f>'G-2.12 Misc'!P34</f>
        <v>-13442</v>
      </c>
      <c r="I23" s="2095">
        <v>880000</v>
      </c>
      <c r="J23" s="2128"/>
      <c r="K23" s="2128"/>
      <c r="L23" s="2128"/>
      <c r="M23" s="2096"/>
      <c r="N23" s="2128"/>
      <c r="O23" s="2128"/>
      <c r="P23" s="2128"/>
      <c r="Q23" s="2099">
        <f t="shared" si="2"/>
        <v>0</v>
      </c>
      <c r="R23" s="1361">
        <f t="shared" si="0"/>
        <v>880000</v>
      </c>
      <c r="S23" s="2100"/>
      <c r="T23" s="1370"/>
    </row>
    <row r="24" spans="1:20">
      <c r="B24" s="2103"/>
      <c r="C24" s="2109"/>
      <c r="D24" s="2103"/>
      <c r="E24" s="2109"/>
      <c r="I24" s="2095">
        <v>887000</v>
      </c>
      <c r="J24" s="2128"/>
      <c r="K24" s="2128"/>
      <c r="L24" s="2128"/>
      <c r="M24" s="2096"/>
      <c r="N24" s="2128"/>
      <c r="O24" s="2128"/>
      <c r="P24" s="2128"/>
      <c r="Q24" s="2099">
        <f t="shared" si="2"/>
        <v>0</v>
      </c>
      <c r="R24" s="1361">
        <f t="shared" si="0"/>
        <v>887000</v>
      </c>
      <c r="S24" s="2100"/>
      <c r="T24" s="1370"/>
    </row>
    <row r="25" spans="1:20">
      <c r="A25" s="1230" t="s">
        <v>1719</v>
      </c>
      <c r="B25" s="1230"/>
      <c r="C25" s="2110">
        <f>SUM(C11:C23)</f>
        <v>-1296760.98</v>
      </c>
      <c r="D25" s="2111"/>
      <c r="E25" s="2110">
        <f>SUM(E11:E23)</f>
        <v>-415188.47</v>
      </c>
      <c r="I25" s="2095">
        <v>878000</v>
      </c>
      <c r="J25" s="2128"/>
      <c r="K25" s="2128"/>
      <c r="L25" s="2128"/>
      <c r="M25" s="2096"/>
      <c r="N25" s="2128"/>
      <c r="O25" s="2128"/>
      <c r="P25" s="2128"/>
      <c r="Q25" s="2099">
        <f t="shared" si="2"/>
        <v>0</v>
      </c>
      <c r="R25" s="1361">
        <f t="shared" si="0"/>
        <v>878000</v>
      </c>
      <c r="S25" s="2100"/>
      <c r="T25" s="1370"/>
    </row>
    <row r="26" spans="1:20">
      <c r="I26" s="2095">
        <v>874000</v>
      </c>
      <c r="J26" s="2128"/>
      <c r="K26" s="2128"/>
      <c r="L26" s="2128"/>
      <c r="M26" s="2096">
        <v>-2754.36</v>
      </c>
      <c r="N26" s="2128"/>
      <c r="O26" s="2128"/>
      <c r="P26" s="2128"/>
      <c r="Q26" s="2099">
        <f t="shared" si="2"/>
        <v>-2754.36</v>
      </c>
      <c r="R26" s="1361">
        <f t="shared" si="0"/>
        <v>874000</v>
      </c>
      <c r="S26" s="2100"/>
      <c r="T26" s="1370"/>
    </row>
    <row r="27" spans="1:20" ht="15.75" thickBot="1">
      <c r="A27" s="2102" t="s">
        <v>1720</v>
      </c>
      <c r="I27" s="2095">
        <v>870000</v>
      </c>
      <c r="J27" s="2128"/>
      <c r="K27" s="2128"/>
      <c r="L27" s="2128"/>
      <c r="M27" s="2096"/>
      <c r="N27" s="2128"/>
      <c r="O27" s="2128"/>
      <c r="P27" s="2128"/>
      <c r="Q27" s="2106">
        <f t="shared" ref="Q27:Q33" si="3">SUM(K27:P27)</f>
        <v>0</v>
      </c>
      <c r="R27" s="2107">
        <f t="shared" si="0"/>
        <v>870000</v>
      </c>
      <c r="S27" s="2108"/>
      <c r="T27" s="1363"/>
    </row>
    <row r="28" spans="1:20">
      <c r="A28" s="2112"/>
      <c r="B28" s="2103"/>
      <c r="C28" s="2109">
        <v>0</v>
      </c>
      <c r="E28" s="2109">
        <v>0</v>
      </c>
      <c r="I28" s="2129">
        <v>813000</v>
      </c>
      <c r="J28" s="2128"/>
      <c r="K28" s="2128"/>
      <c r="L28" s="2128"/>
      <c r="M28" s="2096"/>
      <c r="N28" s="2128"/>
      <c r="O28" s="2128"/>
      <c r="P28" s="2128"/>
      <c r="Q28" s="2098">
        <f t="shared" si="3"/>
        <v>0</v>
      </c>
      <c r="R28" s="2131">
        <f t="shared" si="0"/>
        <v>813000</v>
      </c>
      <c r="S28" s="2089">
        <f>Q28:Q33</f>
        <v>0</v>
      </c>
      <c r="T28" s="1375" t="s">
        <v>1729</v>
      </c>
    </row>
    <row r="29" spans="1:20">
      <c r="A29" s="1230" t="s">
        <v>1721</v>
      </c>
      <c r="C29" s="2110">
        <f>SUM(C28)</f>
        <v>0</v>
      </c>
      <c r="E29" s="2110">
        <f>SUM(E28)</f>
        <v>0</v>
      </c>
      <c r="I29" s="2129">
        <v>588000</v>
      </c>
      <c r="J29" s="2128"/>
      <c r="K29" s="2128"/>
      <c r="L29" s="2128"/>
      <c r="M29" s="2096"/>
      <c r="N29" s="2128"/>
      <c r="O29" s="2128"/>
      <c r="P29" s="2128"/>
      <c r="Q29" s="2099">
        <f t="shared" si="3"/>
        <v>0</v>
      </c>
      <c r="R29" s="2130">
        <f t="shared" si="0"/>
        <v>588000</v>
      </c>
      <c r="S29" s="2100"/>
      <c r="T29" s="1370"/>
    </row>
    <row r="30" spans="1:20">
      <c r="I30" s="2129">
        <v>566000</v>
      </c>
      <c r="J30" s="2128"/>
      <c r="K30" s="2128"/>
      <c r="L30" s="2128"/>
      <c r="M30" s="2096"/>
      <c r="N30" s="2128"/>
      <c r="O30" s="2128"/>
      <c r="P30" s="2128"/>
      <c r="Q30" s="2099">
        <f t="shared" si="3"/>
        <v>0</v>
      </c>
      <c r="R30" s="2130">
        <f t="shared" si="0"/>
        <v>566000</v>
      </c>
      <c r="S30" s="2100"/>
      <c r="T30" s="1370"/>
    </row>
    <row r="31" spans="1:20" ht="15.75" thickBot="1">
      <c r="A31" s="2088" t="s">
        <v>151</v>
      </c>
      <c r="C31" s="2113">
        <f>C29-C25</f>
        <v>1296760.98</v>
      </c>
      <c r="E31" s="2113">
        <f>E29-E25</f>
        <v>415188.47</v>
      </c>
      <c r="I31" s="2129">
        <v>557170</v>
      </c>
      <c r="J31" s="2128"/>
      <c r="K31" s="2128"/>
      <c r="L31" s="2128"/>
      <c r="M31" s="2096"/>
      <c r="N31" s="2128"/>
      <c r="O31" s="2128"/>
      <c r="P31" s="2128"/>
      <c r="Q31" s="2099">
        <f t="shared" si="3"/>
        <v>0</v>
      </c>
      <c r="R31" s="2130">
        <f t="shared" si="0"/>
        <v>557170</v>
      </c>
      <c r="S31" s="2100"/>
      <c r="T31" s="1370"/>
    </row>
    <row r="32" spans="1:20" ht="15.75" thickTop="1">
      <c r="I32" s="2129">
        <v>535000</v>
      </c>
      <c r="J32" s="2128"/>
      <c r="K32" s="2128"/>
      <c r="L32" s="2128"/>
      <c r="M32" s="2096">
        <v>23.82</v>
      </c>
      <c r="N32" s="2128"/>
      <c r="O32" s="2128"/>
      <c r="P32" s="2128"/>
      <c r="Q32" s="2099">
        <f t="shared" si="3"/>
        <v>23.82</v>
      </c>
      <c r="R32" s="2130">
        <f t="shared" si="0"/>
        <v>535000</v>
      </c>
      <c r="S32" s="2100"/>
      <c r="T32" s="1370"/>
    </row>
    <row r="33" spans="9:20" ht="15.75" thickBot="1">
      <c r="I33" s="2129">
        <v>426500</v>
      </c>
      <c r="J33" s="2128"/>
      <c r="K33" s="2128"/>
      <c r="L33" s="2128"/>
      <c r="M33" s="2096"/>
      <c r="N33" s="2128"/>
      <c r="O33" s="2128"/>
      <c r="P33" s="2128"/>
      <c r="Q33" s="2106">
        <f t="shared" si="3"/>
        <v>0</v>
      </c>
      <c r="R33" s="2127">
        <f t="shared" si="0"/>
        <v>426500</v>
      </c>
      <c r="S33" s="2108"/>
      <c r="T33" s="1363"/>
    </row>
    <row r="34" spans="9:20" ht="15.75" thickBot="1">
      <c r="I34" s="2114"/>
      <c r="J34" s="2126">
        <f>SUM(J3:J33)</f>
        <v>-177863</v>
      </c>
      <c r="K34" s="2125">
        <f>SUM(K3:K30)</f>
        <v>1675</v>
      </c>
      <c r="L34" s="2125">
        <f>SUM(L3:L33)</f>
        <v>-1037.5600000000002</v>
      </c>
      <c r="M34" s="2125">
        <f>SUM(M3:M33)</f>
        <v>-5716.91</v>
      </c>
      <c r="N34" s="2125">
        <f>SUM(N3:N30)</f>
        <v>-210612</v>
      </c>
      <c r="O34" s="2125">
        <f>SUM(O3:O30)</f>
        <v>-8192</v>
      </c>
      <c r="P34" s="2125">
        <f>SUM(P3:P30)</f>
        <v>-13442</v>
      </c>
      <c r="Q34" s="2124">
        <f>SUM(Q3:Q33)</f>
        <v>-415188.47</v>
      </c>
      <c r="R34" s="2123"/>
      <c r="S34" s="2108">
        <f>SUM(S3:S33)</f>
        <v>-415212.29</v>
      </c>
      <c r="T34" s="2122"/>
    </row>
    <row r="35" spans="9:20">
      <c r="J35" s="2115" t="s">
        <v>1722</v>
      </c>
      <c r="K35" s="2115" t="s">
        <v>1723</v>
      </c>
      <c r="L35" s="2115" t="s">
        <v>1724</v>
      </c>
      <c r="M35" s="2115" t="s">
        <v>1725</v>
      </c>
      <c r="N35" s="2115" t="s">
        <v>1726</v>
      </c>
      <c r="O35" s="2115" t="s">
        <v>1727</v>
      </c>
      <c r="P35" s="2115" t="s">
        <v>1728</v>
      </c>
      <c r="Q35" s="2117"/>
      <c r="S35" s="2104"/>
      <c r="T35" s="2121"/>
    </row>
    <row r="36" spans="9:20">
      <c r="K36" s="2116"/>
      <c r="L36" s="2120"/>
      <c r="M36" s="2116"/>
      <c r="N36" s="2117"/>
      <c r="O36" s="2117"/>
      <c r="P36" s="2116"/>
      <c r="Q36" s="2117"/>
      <c r="S36" s="2117"/>
      <c r="T36" s="2121"/>
    </row>
    <row r="37" spans="9:20">
      <c r="L37" s="2120"/>
    </row>
    <row r="38" spans="9:20">
      <c r="L38" s="2120"/>
    </row>
    <row r="39" spans="9:20">
      <c r="L39" s="2120"/>
    </row>
    <row r="40" spans="9:20">
      <c r="L40" s="212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76BF-20E5-4C64-A0E0-2DD684D15AB1}">
  <sheetPr codeName="Sheet26"/>
  <dimension ref="A1:AC62"/>
  <sheetViews>
    <sheetView workbookViewId="0"/>
  </sheetViews>
  <sheetFormatPr defaultColWidth="8.85546875" defaultRowHeight="15"/>
  <cols>
    <col min="1" max="1" width="30.140625" style="2139" customWidth="1"/>
    <col min="2" max="2" width="12.5703125" style="2137" bestFit="1" customWidth="1"/>
    <col min="3" max="3" width="13.5703125" style="2138" customWidth="1"/>
    <col min="4" max="4" width="12.5703125" style="2139" bestFit="1" customWidth="1"/>
    <col min="5" max="5" width="12.5703125" style="2137" bestFit="1" customWidth="1"/>
    <col min="6" max="6" width="14.28515625" style="2137" bestFit="1" customWidth="1"/>
    <col min="7" max="7" width="12.5703125" style="2137" bestFit="1" customWidth="1"/>
    <col min="8" max="8" width="5.140625" style="2137" customWidth="1"/>
    <col min="9" max="9" width="16.140625" style="2140" customWidth="1"/>
    <col min="10" max="10" width="15.28515625" style="2140" bestFit="1" customWidth="1"/>
    <col min="11" max="11" width="15.28515625" style="2140" customWidth="1"/>
    <col min="12" max="12" width="8.85546875" style="2141"/>
    <col min="13" max="13" width="1.7109375" style="2142" customWidth="1"/>
    <col min="14" max="14" width="8.85546875" style="2141"/>
    <col min="15" max="15" width="32.28515625" style="2143" customWidth="1"/>
    <col min="16" max="16" width="30.28515625" style="2143" customWidth="1"/>
    <col min="17" max="17" width="17.5703125" style="2143" customWidth="1"/>
    <col min="18" max="18" width="19" style="2143" customWidth="1"/>
    <col min="19" max="19" width="8.85546875" style="2141"/>
    <col min="20" max="20" width="1.7109375" style="2142" customWidth="1"/>
    <col min="21" max="21" width="8.85546875" style="2141"/>
    <col min="22" max="22" width="47.7109375" style="2143" bestFit="1" customWidth="1"/>
    <col min="23" max="28" width="20.28515625" style="2143" customWidth="1"/>
    <col min="29" max="29" width="9.42578125" style="2143" customWidth="1"/>
    <col min="30" max="16384" width="8.85546875" style="2141"/>
  </cols>
  <sheetData>
    <row r="1" spans="1:29">
      <c r="A1" s="2136" t="s">
        <v>1734</v>
      </c>
      <c r="O1" s="3839" t="s">
        <v>1735</v>
      </c>
      <c r="P1" s="3840"/>
      <c r="Q1" s="3840"/>
      <c r="R1" s="3840"/>
      <c r="V1" s="2143" t="s">
        <v>1736</v>
      </c>
    </row>
    <row r="2" spans="1:29">
      <c r="A2" s="2136" t="s">
        <v>1737</v>
      </c>
      <c r="O2" s="3839" t="s">
        <v>1738</v>
      </c>
      <c r="P2" s="3840"/>
      <c r="Q2" s="3840"/>
      <c r="R2" s="3840"/>
    </row>
    <row r="3" spans="1:29">
      <c r="A3" s="2136"/>
      <c r="O3" s="2140"/>
      <c r="P3" s="2140"/>
      <c r="Q3" s="2140"/>
      <c r="V3" s="2140" t="s">
        <v>1251</v>
      </c>
      <c r="W3" s="2140" t="s">
        <v>1252</v>
      </c>
      <c r="X3" s="2140"/>
      <c r="Y3" s="2140"/>
      <c r="Z3" s="2140"/>
      <c r="AA3" s="2140"/>
      <c r="AB3" s="2140"/>
    </row>
    <row r="4" spans="1:29">
      <c r="A4" s="2144" t="s">
        <v>1739</v>
      </c>
      <c r="B4" s="2140"/>
      <c r="C4" s="2140"/>
      <c r="D4" s="2140"/>
      <c r="E4" s="2140"/>
      <c r="F4" s="2145"/>
      <c r="G4" s="2145" t="s">
        <v>1740</v>
      </c>
      <c r="H4" s="2140"/>
      <c r="J4" s="2145" t="s">
        <v>1740</v>
      </c>
      <c r="O4" s="2140" t="s">
        <v>1741</v>
      </c>
      <c r="P4" s="2140"/>
      <c r="Q4" s="2140"/>
      <c r="V4" s="2146" t="s">
        <v>1170</v>
      </c>
      <c r="W4" s="2146" t="s">
        <v>1742</v>
      </c>
      <c r="X4" s="2146" t="s">
        <v>1743</v>
      </c>
      <c r="Y4" s="2146" t="s">
        <v>1744</v>
      </c>
      <c r="Z4" s="2146" t="s">
        <v>1745</v>
      </c>
      <c r="AA4" s="2146" t="s">
        <v>377</v>
      </c>
      <c r="AB4" s="2146" t="s">
        <v>978</v>
      </c>
    </row>
    <row r="5" spans="1:29" ht="30">
      <c r="A5" s="2147" t="s">
        <v>1736</v>
      </c>
      <c r="B5" s="2147">
        <v>2017</v>
      </c>
      <c r="C5" s="2147">
        <v>2018</v>
      </c>
      <c r="D5" s="2147">
        <v>2019</v>
      </c>
      <c r="E5" s="2147">
        <v>2020</v>
      </c>
      <c r="F5" s="2147">
        <v>2021</v>
      </c>
      <c r="G5" s="2147">
        <v>2022</v>
      </c>
      <c r="H5" s="2148"/>
      <c r="I5" s="2149" t="s">
        <v>1746</v>
      </c>
      <c r="J5" s="2149" t="s">
        <v>1747</v>
      </c>
      <c r="K5" s="2149" t="s">
        <v>1748</v>
      </c>
      <c r="O5" s="2150" t="s">
        <v>1251</v>
      </c>
      <c r="P5" s="2150"/>
      <c r="Q5" s="2150"/>
      <c r="V5" s="2151">
        <v>202207</v>
      </c>
      <c r="W5" s="2152">
        <f t="shared" ref="W5:AB5" si="0">SUM(W6:W7)</f>
        <v>148156.82999999999</v>
      </c>
      <c r="X5" s="2152">
        <f t="shared" si="0"/>
        <v>2274.9899999999998</v>
      </c>
      <c r="Y5" s="2152">
        <f t="shared" si="0"/>
        <v>2978.96</v>
      </c>
      <c r="Z5" s="2152">
        <f t="shared" si="0"/>
        <v>324134.11</v>
      </c>
      <c r="AA5" s="2152">
        <f t="shared" si="0"/>
        <v>36312.31</v>
      </c>
      <c r="AB5" s="2152">
        <f t="shared" si="0"/>
        <v>513857.19999999995</v>
      </c>
      <c r="AC5" s="2136"/>
    </row>
    <row r="6" spans="1:29">
      <c r="A6" s="2153" t="s">
        <v>1749</v>
      </c>
      <c r="B6" s="2154">
        <v>8907284.0899999999</v>
      </c>
      <c r="C6" s="2154">
        <v>8939222</v>
      </c>
      <c r="D6" s="2154">
        <v>9560785</v>
      </c>
      <c r="E6" s="2154">
        <v>11027927</v>
      </c>
      <c r="F6" s="2155">
        <v>11636327</v>
      </c>
      <c r="G6" s="2155">
        <v>11677040</v>
      </c>
      <c r="H6" s="2140"/>
      <c r="I6" s="2156"/>
      <c r="J6" s="2153"/>
      <c r="K6" s="2153"/>
      <c r="O6" s="2150" t="s">
        <v>1750</v>
      </c>
      <c r="P6" s="2157" t="s">
        <v>1751</v>
      </c>
      <c r="Q6" s="2157" t="s">
        <v>1752</v>
      </c>
      <c r="V6" s="2158" t="s">
        <v>1753</v>
      </c>
      <c r="W6" s="2159">
        <v>132012.03</v>
      </c>
      <c r="X6" s="2159">
        <v>2274.9899999999998</v>
      </c>
      <c r="Y6" s="2159">
        <v>2975.29</v>
      </c>
      <c r="Z6" s="2159">
        <v>309011.84999999998</v>
      </c>
      <c r="AA6" s="2159">
        <v>35210.86</v>
      </c>
      <c r="AB6" s="2159">
        <f>SUM(W6:AA6)</f>
        <v>481485.01999999996</v>
      </c>
    </row>
    <row r="7" spans="1:29">
      <c r="A7" s="2153"/>
      <c r="B7" s="2154"/>
      <c r="C7" s="2154"/>
      <c r="D7" s="2154"/>
      <c r="E7" s="2154"/>
      <c r="F7" s="2154"/>
      <c r="G7" s="2154"/>
      <c r="H7" s="2140"/>
      <c r="I7" s="2153"/>
      <c r="J7" s="2153"/>
      <c r="K7" s="2153"/>
      <c r="O7" s="2150" t="s">
        <v>1754</v>
      </c>
      <c r="P7" s="2157" t="s">
        <v>1755</v>
      </c>
      <c r="Q7" s="2157" t="s">
        <v>1756</v>
      </c>
      <c r="V7" s="2158" t="s">
        <v>1757</v>
      </c>
      <c r="W7" s="2159">
        <v>16144.8</v>
      </c>
      <c r="X7" s="2159"/>
      <c r="Y7" s="2159">
        <v>3.67</v>
      </c>
      <c r="Z7" s="2159">
        <v>15122.26</v>
      </c>
      <c r="AA7" s="2159">
        <v>1101.45</v>
      </c>
      <c r="AB7" s="2159">
        <f>SUM(W7:AA7)</f>
        <v>32372.18</v>
      </c>
    </row>
    <row r="8" spans="1:29">
      <c r="A8" s="2153" t="s">
        <v>128</v>
      </c>
      <c r="B8" s="2154">
        <v>3024645.6942000003</v>
      </c>
      <c r="C8" s="2154">
        <v>2763400.8181698681</v>
      </c>
      <c r="D8" s="2154">
        <v>1915430.404649351</v>
      </c>
      <c r="E8" s="2154">
        <v>1301158.3403929451</v>
      </c>
      <c r="F8" s="2154">
        <v>4674952.357970004</v>
      </c>
      <c r="G8" s="2154">
        <v>797795.87000000034</v>
      </c>
      <c r="H8" s="2160">
        <f>G8/$G$12</f>
        <v>9.9802450921696831E-2</v>
      </c>
      <c r="I8" s="2156">
        <f>AVERAGE(B8:G8)</f>
        <v>2412897.2475636951</v>
      </c>
      <c r="J8" s="2156">
        <f>'G-2.13 Incentives'!W50</f>
        <v>1282277.4099999999</v>
      </c>
      <c r="K8" s="2156"/>
      <c r="O8" s="2150" t="s">
        <v>1758</v>
      </c>
      <c r="P8" s="2157" t="s">
        <v>1745</v>
      </c>
      <c r="Q8" s="2157" t="s">
        <v>1744</v>
      </c>
      <c r="V8" s="2151">
        <f>+V5+1</f>
        <v>202208</v>
      </c>
      <c r="W8" s="2152">
        <f t="shared" ref="W8:AB8" si="1">SUM(W9:W10)</f>
        <v>159034.56999999998</v>
      </c>
      <c r="X8" s="2152">
        <f t="shared" si="1"/>
        <v>-963.88</v>
      </c>
      <c r="Y8" s="2152">
        <f t="shared" si="1"/>
        <v>6995.6</v>
      </c>
      <c r="Z8" s="2152">
        <f t="shared" si="1"/>
        <v>581574.43999999994</v>
      </c>
      <c r="AA8" s="2152">
        <f t="shared" si="1"/>
        <v>122883.91</v>
      </c>
      <c r="AB8" s="2152">
        <f t="shared" si="1"/>
        <v>869524.6399999999</v>
      </c>
      <c r="AC8" s="2136"/>
    </row>
    <row r="9" spans="1:29">
      <c r="A9" s="2153" t="s">
        <v>938</v>
      </c>
      <c r="B9" s="2154">
        <v>232665.0534</v>
      </c>
      <c r="C9" s="2154">
        <v>227418.58825925156</v>
      </c>
      <c r="D9" s="2154">
        <v>157633.47671826064</v>
      </c>
      <c r="E9" s="2154">
        <v>107080.95290710905</v>
      </c>
      <c r="F9" s="2154">
        <v>44962.698830913003</v>
      </c>
      <c r="G9" s="2154">
        <v>3228217</v>
      </c>
      <c r="H9" s="2160">
        <f>G9/$G$12</f>
        <v>0.40384261290684198</v>
      </c>
      <c r="I9" s="2156">
        <f>AVERAGE(B9:G9)</f>
        <v>666329.62835258909</v>
      </c>
      <c r="J9" s="2156">
        <f>'G-2.13 Incentives'!Y50</f>
        <v>3218450.4099999997</v>
      </c>
      <c r="K9" s="2156"/>
      <c r="O9" s="2161" t="s">
        <v>679</v>
      </c>
      <c r="P9" s="2162"/>
      <c r="Q9" s="2162"/>
      <c r="V9" s="2158" t="s">
        <v>1753</v>
      </c>
      <c r="W9" s="2159">
        <v>142358.60999999999</v>
      </c>
      <c r="X9" s="2159">
        <v>-963.88</v>
      </c>
      <c r="Y9" s="2159">
        <v>6976.83</v>
      </c>
      <c r="Z9" s="2159">
        <v>559445.81999999995</v>
      </c>
      <c r="AA9" s="2159">
        <v>116297.47</v>
      </c>
      <c r="AB9" s="2159">
        <f>SUM(W9:AA9)</f>
        <v>824114.84999999986</v>
      </c>
    </row>
    <row r="10" spans="1:29">
      <c r="A10" s="2153" t="s">
        <v>933</v>
      </c>
      <c r="B10" s="2154">
        <v>6747286.5485999994</v>
      </c>
      <c r="C10" s="2154">
        <v>6703033.547677394</v>
      </c>
      <c r="D10" s="2154">
        <v>4646157.0743504977</v>
      </c>
      <c r="E10" s="2154">
        <v>3156150.1860849573</v>
      </c>
      <c r="F10" s="2154">
        <v>7980128.549638628</v>
      </c>
      <c r="G10" s="2154">
        <v>3109772</v>
      </c>
      <c r="H10" s="2160">
        <f>G10/$G$12</f>
        <v>0.38902541248761652</v>
      </c>
      <c r="I10" s="2156">
        <f>AVERAGE(B10:G10)</f>
        <v>5390421.3177252458</v>
      </c>
      <c r="J10" s="2156">
        <f>'G-2.13 Incentives'!Z50</f>
        <v>3915750.5500000007</v>
      </c>
      <c r="K10" s="2156">
        <f>I10-J10</f>
        <v>1474670.7677252451</v>
      </c>
      <c r="O10" s="2141">
        <v>202207</v>
      </c>
      <c r="P10" s="2163">
        <v>66368.75</v>
      </c>
      <c r="Q10" s="2163">
        <v>71899.48</v>
      </c>
      <c r="V10" s="2158" t="s">
        <v>1757</v>
      </c>
      <c r="W10" s="2159">
        <v>16675.96</v>
      </c>
      <c r="X10" s="2159"/>
      <c r="Y10" s="2159">
        <v>18.77</v>
      </c>
      <c r="Z10" s="2159">
        <v>22128.62</v>
      </c>
      <c r="AA10" s="2159">
        <v>6586.44</v>
      </c>
      <c r="AB10" s="2159">
        <f>SUM(W10:AA10)</f>
        <v>45409.79</v>
      </c>
    </row>
    <row r="11" spans="1:29" ht="17.25">
      <c r="A11" s="2153" t="s">
        <v>471</v>
      </c>
      <c r="B11" s="2164">
        <v>1628655.3738000002</v>
      </c>
      <c r="C11" s="2164">
        <v>1636727.1251204626</v>
      </c>
      <c r="D11" s="2164">
        <v>1134485.0442818908</v>
      </c>
      <c r="E11" s="2164">
        <v>770659.52061498829</v>
      </c>
      <c r="F11" s="2164">
        <v>568140.39356045367</v>
      </c>
      <c r="G11" s="2164">
        <v>857965.4099999998</v>
      </c>
      <c r="H11" s="2160">
        <f>G11/$G$12</f>
        <v>0.10732952368384464</v>
      </c>
      <c r="I11" s="2156">
        <f>AVERAGE(B11:G11)</f>
        <v>1099438.8112296325</v>
      </c>
      <c r="J11" s="2156">
        <f>'G-2.13 Incentives'!AA50+'G-2.13 Incentives'!X50</f>
        <v>989534.47999999986</v>
      </c>
      <c r="K11" s="2165"/>
      <c r="O11" s="2141">
        <v>202208</v>
      </c>
      <c r="P11" s="2163">
        <v>66368.75</v>
      </c>
      <c r="Q11" s="2163">
        <v>71899.48</v>
      </c>
      <c r="V11" s="2151">
        <f>+V8+1</f>
        <v>202209</v>
      </c>
      <c r="W11" s="2152">
        <f t="shared" ref="W11:AB11" si="2">SUM(W12:W13)</f>
        <v>228965.57</v>
      </c>
      <c r="X11" s="2152">
        <f t="shared" si="2"/>
        <v>1571.28</v>
      </c>
      <c r="Y11" s="2152">
        <f t="shared" si="2"/>
        <v>4737.9699999999993</v>
      </c>
      <c r="Z11" s="2152">
        <f t="shared" si="2"/>
        <v>344232.96000000002</v>
      </c>
      <c r="AA11" s="2152">
        <f t="shared" si="2"/>
        <v>19846.439999999999</v>
      </c>
      <c r="AB11" s="2152">
        <f t="shared" si="2"/>
        <v>599354.22000000009</v>
      </c>
      <c r="AC11" s="2136"/>
    </row>
    <row r="12" spans="1:29">
      <c r="A12" s="2166" t="s">
        <v>1740</v>
      </c>
      <c r="B12" s="2167">
        <f t="shared" ref="B12:G12" si="3">SUM(B8:B11)</f>
        <v>11633252.67</v>
      </c>
      <c r="C12" s="2167">
        <f t="shared" si="3"/>
        <v>11330580.079226976</v>
      </c>
      <c r="D12" s="2167">
        <f t="shared" si="3"/>
        <v>7853706</v>
      </c>
      <c r="E12" s="2167">
        <f t="shared" si="3"/>
        <v>5335048.9999999991</v>
      </c>
      <c r="F12" s="2167">
        <f t="shared" si="3"/>
        <v>13268184</v>
      </c>
      <c r="G12" s="2167">
        <f t="shared" si="3"/>
        <v>7993750.2800000003</v>
      </c>
      <c r="H12" s="2140"/>
      <c r="I12" s="2156">
        <f>SUM(I8:I11)</f>
        <v>9569087.0048711635</v>
      </c>
      <c r="J12" s="2156">
        <f>SUM(J8:J11)</f>
        <v>9406012.8500000015</v>
      </c>
      <c r="K12" s="2156">
        <f>SUM(K8:K11)</f>
        <v>1474670.7677252451</v>
      </c>
      <c r="O12" s="2141">
        <v>202209</v>
      </c>
      <c r="P12" s="2163">
        <v>122978.75</v>
      </c>
      <c r="Q12" s="2163">
        <v>133226.98000000001</v>
      </c>
      <c r="V12" s="2158" t="s">
        <v>1753</v>
      </c>
      <c r="W12" s="2159">
        <v>204946.89</v>
      </c>
      <c r="X12" s="2159">
        <v>1571.28</v>
      </c>
      <c r="Y12" s="2159">
        <v>4496.9799999999996</v>
      </c>
      <c r="Z12" s="2159">
        <v>324989.77</v>
      </c>
      <c r="AA12" s="2159">
        <v>23267.87</v>
      </c>
      <c r="AB12" s="2159">
        <f>SUM(W12:AA12)</f>
        <v>559272.79</v>
      </c>
    </row>
    <row r="13" spans="1:29">
      <c r="A13" s="2153"/>
      <c r="B13" s="2153"/>
      <c r="C13" s="2153"/>
      <c r="D13" s="2153"/>
      <c r="E13" s="2153"/>
      <c r="F13" s="2153"/>
      <c r="G13" s="2153"/>
      <c r="H13" s="2140"/>
      <c r="I13" s="2153"/>
      <c r="J13" s="2153"/>
      <c r="K13" s="2153"/>
      <c r="O13" s="2141">
        <v>202210</v>
      </c>
      <c r="P13" s="2163">
        <v>-169537.08</v>
      </c>
      <c r="Q13" s="2163">
        <v>78713.649999999994</v>
      </c>
      <c r="V13" s="2158" t="s">
        <v>1757</v>
      </c>
      <c r="W13" s="2159">
        <v>24018.68</v>
      </c>
      <c r="X13" s="2159"/>
      <c r="Y13" s="2159">
        <v>240.99</v>
      </c>
      <c r="Z13" s="2159">
        <v>19243.189999999999</v>
      </c>
      <c r="AA13" s="2159">
        <v>-3421.43</v>
      </c>
      <c r="AB13" s="2159">
        <f>SUM(W13:AA13)</f>
        <v>40081.43</v>
      </c>
    </row>
    <row r="14" spans="1:29" ht="30">
      <c r="A14" s="2168" t="s">
        <v>1759</v>
      </c>
      <c r="B14" s="2168">
        <f t="shared" ref="B14:G14" si="4">+B5</f>
        <v>2017</v>
      </c>
      <c r="C14" s="2168">
        <f t="shared" si="4"/>
        <v>2018</v>
      </c>
      <c r="D14" s="2168">
        <f t="shared" si="4"/>
        <v>2019</v>
      </c>
      <c r="E14" s="2168">
        <f t="shared" si="4"/>
        <v>2020</v>
      </c>
      <c r="F14" s="2168">
        <f t="shared" si="4"/>
        <v>2021</v>
      </c>
      <c r="G14" s="2168">
        <f t="shared" si="4"/>
        <v>2022</v>
      </c>
      <c r="H14" s="2140"/>
      <c r="I14" s="2169" t="s">
        <v>1746</v>
      </c>
      <c r="J14" s="2149" t="str">
        <f>+J5</f>
        <v>12 ME 06.2023 Expense</v>
      </c>
      <c r="K14" s="2149" t="s">
        <v>1748</v>
      </c>
      <c r="O14" s="2141">
        <v>202211</v>
      </c>
      <c r="P14" s="2163">
        <v>48439.17</v>
      </c>
      <c r="Q14" s="2163">
        <v>78713.649999999994</v>
      </c>
      <c r="V14" s="2151">
        <f>+V11+1</f>
        <v>202210</v>
      </c>
      <c r="W14" s="2152">
        <f t="shared" ref="W14:AB14" si="5">SUM(W15:W16)</f>
        <v>71162.39</v>
      </c>
      <c r="X14" s="2152">
        <f t="shared" si="5"/>
        <v>639.84</v>
      </c>
      <c r="Y14" s="2152">
        <f t="shared" si="5"/>
        <v>1585.9599999999998</v>
      </c>
      <c r="Z14" s="2152">
        <f t="shared" si="5"/>
        <v>181213.06</v>
      </c>
      <c r="AA14" s="2152">
        <f t="shared" si="5"/>
        <v>15868.83</v>
      </c>
      <c r="AB14" s="2152">
        <f t="shared" si="5"/>
        <v>270470.08</v>
      </c>
      <c r="AC14" s="2136"/>
    </row>
    <row r="15" spans="1:29">
      <c r="A15" s="2153" t="s">
        <v>1749</v>
      </c>
      <c r="B15" s="2154">
        <v>2645970</v>
      </c>
      <c r="C15" s="2154">
        <v>2786099</v>
      </c>
      <c r="D15" s="2154">
        <v>2981115</v>
      </c>
      <c r="E15" s="2154">
        <v>2486258</v>
      </c>
      <c r="F15" s="2155">
        <v>2461365</v>
      </c>
      <c r="G15" s="2155">
        <v>2461365</v>
      </c>
      <c r="H15" s="2140"/>
      <c r="I15" s="2156"/>
      <c r="J15" s="2153"/>
      <c r="K15" s="2153"/>
      <c r="O15" s="2141">
        <v>202212</v>
      </c>
      <c r="P15" s="2163">
        <v>48439.17</v>
      </c>
      <c r="Q15" s="2163">
        <v>1851587.15</v>
      </c>
      <c r="V15" s="2158" t="s">
        <v>1753</v>
      </c>
      <c r="W15" s="2159">
        <v>62546.04</v>
      </c>
      <c r="X15" s="2159">
        <v>639.84</v>
      </c>
      <c r="Y15" s="2159">
        <v>1584.6</v>
      </c>
      <c r="Z15" s="2159">
        <v>173727.95</v>
      </c>
      <c r="AA15" s="2159">
        <v>16183.75</v>
      </c>
      <c r="AB15" s="2159">
        <f>SUM(W15:AA15)</f>
        <v>254682.18</v>
      </c>
    </row>
    <row r="16" spans="1:29">
      <c r="A16" s="2153"/>
      <c r="B16" s="2154"/>
      <c r="C16" s="2154"/>
      <c r="D16" s="2154"/>
      <c r="E16" s="2154"/>
      <c r="F16" s="2154"/>
      <c r="G16" s="2154"/>
      <c r="H16" s="2140"/>
      <c r="I16" s="2156"/>
      <c r="J16" s="2153"/>
      <c r="K16" s="2153"/>
      <c r="O16" s="2141">
        <v>202301</v>
      </c>
      <c r="P16" s="2163">
        <v>96878.33</v>
      </c>
      <c r="Q16" s="2163">
        <v>145317.5</v>
      </c>
      <c r="V16" s="2158" t="s">
        <v>1757</v>
      </c>
      <c r="W16" s="2159">
        <v>8616.35</v>
      </c>
      <c r="X16" s="2159"/>
      <c r="Y16" s="2159">
        <v>1.36</v>
      </c>
      <c r="Z16" s="2159">
        <v>7485.11</v>
      </c>
      <c r="AA16" s="2159">
        <v>-314.92</v>
      </c>
      <c r="AB16" s="2159">
        <f>SUM(W16:AA16)</f>
        <v>15787.9</v>
      </c>
    </row>
    <row r="17" spans="1:29">
      <c r="A17" s="2153" t="s">
        <v>933</v>
      </c>
      <c r="B17" s="2154">
        <v>1298642</v>
      </c>
      <c r="C17" s="2154">
        <v>1246174</v>
      </c>
      <c r="D17" s="2154">
        <v>979535</v>
      </c>
      <c r="E17" s="2154">
        <v>497252</v>
      </c>
      <c r="F17" s="2154">
        <v>695450</v>
      </c>
      <c r="G17" s="2154">
        <v>581270.01000000013</v>
      </c>
      <c r="H17" s="2140"/>
      <c r="I17" s="2156">
        <f>AVERAGE(B17:G17)</f>
        <v>883053.83499999996</v>
      </c>
      <c r="J17" s="2156">
        <f>'G-2.13 Incentives'!P24</f>
        <v>673132.33000000007</v>
      </c>
      <c r="K17" s="2156">
        <f>I17-J17</f>
        <v>209921.50499999989</v>
      </c>
      <c r="O17" s="2141">
        <v>202302</v>
      </c>
      <c r="P17" s="2163">
        <v>94251.67</v>
      </c>
      <c r="Q17" s="2163">
        <v>141377.5</v>
      </c>
      <c r="V17" s="2151">
        <f>+V14+1</f>
        <v>202211</v>
      </c>
      <c r="W17" s="2152">
        <f t="shared" ref="W17:AB17" si="6">SUM(W18:W19)</f>
        <v>86220.650000000009</v>
      </c>
      <c r="X17" s="2152">
        <f t="shared" si="6"/>
        <v>835.8</v>
      </c>
      <c r="Y17" s="2152">
        <f t="shared" si="6"/>
        <v>3220.7999999999997</v>
      </c>
      <c r="Z17" s="2152">
        <f t="shared" si="6"/>
        <v>242869.87</v>
      </c>
      <c r="AA17" s="2152">
        <f t="shared" si="6"/>
        <v>49788.579999999994</v>
      </c>
      <c r="AB17" s="2152">
        <f t="shared" si="6"/>
        <v>382935.69999999995</v>
      </c>
      <c r="AC17" s="2136"/>
    </row>
    <row r="18" spans="1:29" ht="17.25">
      <c r="A18" s="2153" t="s">
        <v>938</v>
      </c>
      <c r="B18" s="2164">
        <v>1111307</v>
      </c>
      <c r="C18" s="2164">
        <v>1539925</v>
      </c>
      <c r="D18" s="2164">
        <v>2861870</v>
      </c>
      <c r="E18" s="2164">
        <v>124312</v>
      </c>
      <c r="F18" s="2164">
        <v>2042921</v>
      </c>
      <c r="G18" s="2164">
        <v>2717437.26</v>
      </c>
      <c r="H18" s="2140"/>
      <c r="I18" s="2165">
        <f>AVERAGE(B18:G18)</f>
        <v>1732962.0433333332</v>
      </c>
      <c r="J18" s="2165">
        <f>'G-2.13 Incentives'!Q24</f>
        <v>2811524.76</v>
      </c>
      <c r="K18" s="2165"/>
      <c r="O18" s="2141">
        <v>202303</v>
      </c>
      <c r="P18" s="2163">
        <v>112265</v>
      </c>
      <c r="Q18" s="2163">
        <v>259416</v>
      </c>
      <c r="V18" s="2158" t="s">
        <v>1753</v>
      </c>
      <c r="W18" s="2159">
        <v>77658.350000000006</v>
      </c>
      <c r="X18" s="2159">
        <v>835.8</v>
      </c>
      <c r="Y18" s="2159">
        <v>3205.43</v>
      </c>
      <c r="Z18" s="2159">
        <v>232234.29</v>
      </c>
      <c r="AA18" s="2159">
        <v>47171.09</v>
      </c>
      <c r="AB18" s="2159">
        <f>SUM(W18:AA18)</f>
        <v>361104.95999999996</v>
      </c>
    </row>
    <row r="19" spans="1:29">
      <c r="A19" s="2166" t="s">
        <v>1740</v>
      </c>
      <c r="B19" s="2167">
        <f t="shared" ref="B19:G19" si="7">SUM(B17:B18)</f>
        <v>2409949</v>
      </c>
      <c r="C19" s="2167">
        <f t="shared" si="7"/>
        <v>2786099</v>
      </c>
      <c r="D19" s="2167">
        <f t="shared" si="7"/>
        <v>3841405</v>
      </c>
      <c r="E19" s="2167">
        <f t="shared" si="7"/>
        <v>621564</v>
      </c>
      <c r="F19" s="2167">
        <f t="shared" si="7"/>
        <v>2738371</v>
      </c>
      <c r="G19" s="2167">
        <f t="shared" si="7"/>
        <v>3298707.27</v>
      </c>
      <c r="H19" s="2140"/>
      <c r="I19" s="2156">
        <f>SUM(I17:I18)</f>
        <v>2616015.8783333329</v>
      </c>
      <c r="J19" s="2156">
        <f>SUM(J17:J18)</f>
        <v>3484657.09</v>
      </c>
      <c r="K19" s="2156">
        <f>SUM(K17:K18)</f>
        <v>209921.50499999989</v>
      </c>
      <c r="O19" s="2141">
        <v>202304</v>
      </c>
      <c r="P19" s="2163">
        <v>101131.67</v>
      </c>
      <c r="Q19" s="2163">
        <v>182037</v>
      </c>
      <c r="V19" s="2158" t="s">
        <v>1757</v>
      </c>
      <c r="W19" s="2159">
        <v>8562.2999999999993</v>
      </c>
      <c r="X19" s="2159"/>
      <c r="Y19" s="2159">
        <v>15.37</v>
      </c>
      <c r="Z19" s="2159">
        <v>10635.58</v>
      </c>
      <c r="AA19" s="2159">
        <v>2617.4899999999998</v>
      </c>
      <c r="AB19" s="2159">
        <f>SUM(W19:AA19)</f>
        <v>21830.739999999998</v>
      </c>
    </row>
    <row r="20" spans="1:29">
      <c r="A20" s="2156"/>
      <c r="B20" s="2153"/>
      <c r="C20" s="2153"/>
      <c r="D20" s="2153"/>
      <c r="E20" s="2153"/>
      <c r="F20" s="2153"/>
      <c r="G20" s="2153"/>
      <c r="H20" s="2140"/>
      <c r="I20" s="2153"/>
      <c r="J20" s="2153"/>
      <c r="K20" s="2153"/>
      <c r="O20" s="2141">
        <v>202305</v>
      </c>
      <c r="P20" s="2163">
        <v>101131.67</v>
      </c>
      <c r="Q20" s="2163">
        <v>182037</v>
      </c>
      <c r="V20" s="2151">
        <f>+V17+1</f>
        <v>202212</v>
      </c>
      <c r="W20" s="2152">
        <f t="shared" ref="W20:AB20" si="8">SUM(W21:W22)</f>
        <v>77892.17</v>
      </c>
      <c r="X20" s="2152">
        <f t="shared" si="8"/>
        <v>840.88</v>
      </c>
      <c r="Y20" s="2152">
        <f t="shared" si="8"/>
        <v>2553.64</v>
      </c>
      <c r="Z20" s="2152">
        <f t="shared" si="8"/>
        <v>202467.31</v>
      </c>
      <c r="AA20" s="2152">
        <f t="shared" si="8"/>
        <v>47521.63</v>
      </c>
      <c r="AB20" s="2152">
        <f t="shared" si="8"/>
        <v>331275.62999999995</v>
      </c>
      <c r="AC20" s="2136"/>
    </row>
    <row r="21" spans="1:29">
      <c r="A21" s="2170" t="s">
        <v>24</v>
      </c>
      <c r="B21" s="2168">
        <f t="shared" ref="B21:G21" si="9">+B14</f>
        <v>2017</v>
      </c>
      <c r="C21" s="2168">
        <f t="shared" si="9"/>
        <v>2018</v>
      </c>
      <c r="D21" s="2168">
        <f t="shared" si="9"/>
        <v>2019</v>
      </c>
      <c r="E21" s="2168">
        <f t="shared" si="9"/>
        <v>2020</v>
      </c>
      <c r="F21" s="2168">
        <f t="shared" si="9"/>
        <v>2021</v>
      </c>
      <c r="G21" s="2168">
        <f t="shared" si="9"/>
        <v>2022</v>
      </c>
      <c r="H21" s="2140"/>
      <c r="I21" s="3841" t="s">
        <v>1760</v>
      </c>
      <c r="J21" s="3842"/>
      <c r="K21" s="2171">
        <f>K12+K19</f>
        <v>1684592.272725245</v>
      </c>
      <c r="O21" s="2141">
        <v>202306</v>
      </c>
      <c r="P21" s="2163">
        <v>-15583.52</v>
      </c>
      <c r="Q21" s="2163">
        <v>189290</v>
      </c>
      <c r="V21" s="2158" t="s">
        <v>1753</v>
      </c>
      <c r="W21" s="2159">
        <v>71026.509999999995</v>
      </c>
      <c r="X21" s="2159">
        <v>840.88</v>
      </c>
      <c r="Y21" s="2159">
        <v>2515.6999999999998</v>
      </c>
      <c r="Z21" s="2159">
        <v>192437.76000000001</v>
      </c>
      <c r="AA21" s="2159">
        <v>45293.43</v>
      </c>
      <c r="AB21" s="2159">
        <f>SUM(W21:AA21)</f>
        <v>312114.27999999997</v>
      </c>
    </row>
    <row r="22" spans="1:29">
      <c r="A22" s="2153" t="s">
        <v>1761</v>
      </c>
      <c r="B22" s="2156">
        <f t="shared" ref="B22:G22" si="10">B6+B15</f>
        <v>11553254.09</v>
      </c>
      <c r="C22" s="2156">
        <f t="shared" si="10"/>
        <v>11725321</v>
      </c>
      <c r="D22" s="2156">
        <f t="shared" si="10"/>
        <v>12541900</v>
      </c>
      <c r="E22" s="2156">
        <f t="shared" si="10"/>
        <v>13514185</v>
      </c>
      <c r="F22" s="2156">
        <f t="shared" si="10"/>
        <v>14097692</v>
      </c>
      <c r="G22" s="2156">
        <f t="shared" si="10"/>
        <v>14138405</v>
      </c>
      <c r="H22" s="2140"/>
      <c r="I22" s="2153"/>
      <c r="J22" s="2153"/>
      <c r="K22" s="2153"/>
      <c r="O22" s="2141"/>
      <c r="P22" s="2163"/>
      <c r="Q22" s="2163"/>
      <c r="V22" s="2158" t="s">
        <v>1757</v>
      </c>
      <c r="W22" s="2159">
        <v>6865.66</v>
      </c>
      <c r="X22" s="2159"/>
      <c r="Y22" s="2159">
        <v>37.94</v>
      </c>
      <c r="Z22" s="2159">
        <v>10029.549999999999</v>
      </c>
      <c r="AA22" s="2159">
        <v>2228.1999999999998</v>
      </c>
      <c r="AB22" s="2159">
        <f>SUM(W22:AA22)</f>
        <v>19161.349999999999</v>
      </c>
    </row>
    <row r="23" spans="1:29" ht="15.75" thickBot="1">
      <c r="A23" s="2172" t="s">
        <v>1762</v>
      </c>
      <c r="B23" s="2173">
        <f t="shared" ref="B23:G23" si="11">B12+B19</f>
        <v>14043201.67</v>
      </c>
      <c r="C23" s="2173">
        <f t="shared" si="11"/>
        <v>14116679.079226976</v>
      </c>
      <c r="D23" s="2173">
        <f t="shared" si="11"/>
        <v>11695111</v>
      </c>
      <c r="E23" s="2173">
        <f t="shared" si="11"/>
        <v>5956612.9999999991</v>
      </c>
      <c r="F23" s="2173">
        <f t="shared" si="11"/>
        <v>16006555</v>
      </c>
      <c r="G23" s="2173">
        <f t="shared" si="11"/>
        <v>11292457.550000001</v>
      </c>
      <c r="H23" s="2140"/>
      <c r="I23" s="2174" t="s">
        <v>538</v>
      </c>
      <c r="J23" s="2175">
        <v>0.70111999999999997</v>
      </c>
      <c r="K23" s="2176"/>
      <c r="O23" s="2141" t="s">
        <v>1763</v>
      </c>
      <c r="P23" s="2163">
        <v>0</v>
      </c>
      <c r="Q23" s="2163">
        <v>-573990.63</v>
      </c>
      <c r="V23" s="2151">
        <v>202301</v>
      </c>
      <c r="W23" s="2152">
        <f t="shared" ref="W23:AB23" si="12">SUM(W24:W25)</f>
        <v>60270.590000000004</v>
      </c>
      <c r="X23" s="2152">
        <f t="shared" si="12"/>
        <v>500.3</v>
      </c>
      <c r="Y23" s="2152">
        <f t="shared" si="12"/>
        <v>1433.35</v>
      </c>
      <c r="Z23" s="2152">
        <f t="shared" si="12"/>
        <v>156611.59</v>
      </c>
      <c r="AA23" s="2152">
        <f t="shared" si="12"/>
        <v>35275.22</v>
      </c>
      <c r="AB23" s="2152">
        <f t="shared" si="12"/>
        <v>254091.05000000002</v>
      </c>
      <c r="AC23" s="2136"/>
    </row>
    <row r="24" spans="1:29" ht="16.5" thickTop="1" thickBot="1">
      <c r="A24" s="2172"/>
      <c r="B24" s="2154"/>
      <c r="C24" s="2177"/>
      <c r="D24" s="2172"/>
      <c r="E24" s="2154"/>
      <c r="F24" s="2154"/>
      <c r="G24" s="2154"/>
      <c r="H24" s="2140"/>
      <c r="I24" s="2178" t="s">
        <v>1764</v>
      </c>
      <c r="J24" s="2179">
        <v>0.66942999999999997</v>
      </c>
      <c r="K24" s="2180">
        <f>K21*J23*J24</f>
        <v>790664.66618906858</v>
      </c>
      <c r="O24" s="2181" t="s">
        <v>978</v>
      </c>
      <c r="P24" s="2182">
        <f>SUM(P10:P23)</f>
        <v>673132.33000000007</v>
      </c>
      <c r="Q24" s="2182">
        <f>SUM(Q10:Q23)</f>
        <v>2811524.76</v>
      </c>
      <c r="R24" s="2183">
        <f>P24+Q24</f>
        <v>3484657.09</v>
      </c>
      <c r="V24" s="2158" t="s">
        <v>1757</v>
      </c>
      <c r="W24" s="2159">
        <v>11747.47</v>
      </c>
      <c r="X24" s="2159"/>
      <c r="Y24" s="2159">
        <v>-4.38</v>
      </c>
      <c r="Z24" s="2159">
        <v>20488.23</v>
      </c>
      <c r="AA24" s="2159">
        <v>8386.5</v>
      </c>
      <c r="AB24" s="2159">
        <f>SUM(W24:AA24)</f>
        <v>40617.82</v>
      </c>
    </row>
    <row r="25" spans="1:29" ht="16.5" thickTop="1" thickBot="1">
      <c r="B25" s="2184"/>
      <c r="C25" s="2185"/>
      <c r="E25" s="2184"/>
      <c r="F25" s="2184"/>
      <c r="G25" s="2184"/>
      <c r="H25" s="2140"/>
      <c r="I25" s="2178"/>
      <c r="J25" s="2175"/>
      <c r="K25" s="2186"/>
      <c r="P25" s="2187" t="s">
        <v>1765</v>
      </c>
      <c r="V25" s="2158" t="s">
        <v>1753</v>
      </c>
      <c r="W25" s="2159">
        <v>48523.12</v>
      </c>
      <c r="X25" s="2159">
        <v>500.3</v>
      </c>
      <c r="Y25" s="2159">
        <v>1437.73</v>
      </c>
      <c r="Z25" s="2159">
        <v>136123.35999999999</v>
      </c>
      <c r="AA25" s="2159">
        <v>26888.720000000001</v>
      </c>
      <c r="AB25" s="2159">
        <f>SUM(W25:AA25)</f>
        <v>213473.23</v>
      </c>
    </row>
    <row r="26" spans="1:29" ht="16.5" thickTop="1" thickBot="1">
      <c r="A26" s="2138"/>
      <c r="B26" s="2184"/>
      <c r="C26" s="2185"/>
      <c r="E26" s="2184"/>
      <c r="F26" s="2184"/>
      <c r="G26" s="2184"/>
      <c r="H26" s="2140"/>
      <c r="I26" s="2178" t="s">
        <v>1104</v>
      </c>
      <c r="J26" s="2175">
        <v>0.20707999999999999</v>
      </c>
      <c r="K26" s="2176"/>
      <c r="V26" s="2151">
        <f>+V23+1</f>
        <v>202302</v>
      </c>
      <c r="W26" s="2152">
        <f t="shared" ref="W26:AB26" si="13">SUM(W27:W28)</f>
        <v>133690.04999999999</v>
      </c>
      <c r="X26" s="2152">
        <f t="shared" si="13"/>
        <v>2128.41</v>
      </c>
      <c r="Y26" s="2152">
        <f t="shared" si="13"/>
        <v>6722.28</v>
      </c>
      <c r="Z26" s="2152">
        <f t="shared" si="13"/>
        <v>545937.14</v>
      </c>
      <c r="AA26" s="2152">
        <f t="shared" si="13"/>
        <v>186479.36000000002</v>
      </c>
      <c r="AB26" s="2152">
        <f t="shared" si="13"/>
        <v>874957.24</v>
      </c>
      <c r="AC26" s="2136"/>
    </row>
    <row r="27" spans="1:29" ht="16.5" thickTop="1" thickBot="1">
      <c r="A27" s="2138"/>
      <c r="B27" s="2184"/>
      <c r="C27" s="2185"/>
      <c r="E27" s="2184"/>
      <c r="F27" s="2184"/>
      <c r="G27" s="2184"/>
      <c r="H27" s="2140"/>
      <c r="I27" s="2178" t="s">
        <v>1764</v>
      </c>
      <c r="J27" s="2179">
        <v>0.71745999999999999</v>
      </c>
      <c r="K27" s="2180">
        <f>K21*J26*J27</f>
        <v>250282.59760757617</v>
      </c>
      <c r="V27" s="2158" t="s">
        <v>1753</v>
      </c>
      <c r="W27" s="2159">
        <v>117237.53</v>
      </c>
      <c r="X27" s="2159">
        <v>2128.41</v>
      </c>
      <c r="Y27" s="2159">
        <v>6725.13</v>
      </c>
      <c r="Z27" s="2159">
        <v>521592.61</v>
      </c>
      <c r="AA27" s="2159">
        <v>179909.13</v>
      </c>
      <c r="AB27" s="2159">
        <f>SUM(W27:AA27)</f>
        <v>827592.80999999994</v>
      </c>
    </row>
    <row r="28" spans="1:29" ht="15.75" thickTop="1">
      <c r="A28" s="2139" t="s">
        <v>1766</v>
      </c>
      <c r="B28" s="2184"/>
      <c r="C28" s="2185"/>
      <c r="E28" s="2184"/>
      <c r="F28" s="2184"/>
      <c r="G28" s="2184"/>
      <c r="H28" s="2140"/>
      <c r="I28" s="2188"/>
      <c r="J28" s="2189"/>
      <c r="K28" s="2190"/>
      <c r="V28" s="2158" t="s">
        <v>1757</v>
      </c>
      <c r="W28" s="2159">
        <v>16452.52</v>
      </c>
      <c r="X28" s="2159"/>
      <c r="Y28" s="2159">
        <v>-2.85</v>
      </c>
      <c r="Z28" s="2159">
        <v>24344.53</v>
      </c>
      <c r="AA28" s="2159">
        <v>6570.23</v>
      </c>
      <c r="AB28" s="2159">
        <f>SUM(W28:AA28)</f>
        <v>47364.429999999993</v>
      </c>
    </row>
    <row r="29" spans="1:29">
      <c r="A29" s="2139" t="s">
        <v>1767</v>
      </c>
      <c r="B29" s="2184"/>
      <c r="C29" s="2185"/>
      <c r="E29" s="2184"/>
      <c r="F29" s="2184"/>
      <c r="G29" s="2184"/>
      <c r="H29" s="2140"/>
      <c r="I29" s="2191"/>
      <c r="J29" s="2192"/>
      <c r="K29" s="2192"/>
      <c r="V29" s="2151">
        <f>+V26+1</f>
        <v>202303</v>
      </c>
      <c r="W29" s="2152">
        <f t="shared" ref="W29:AB29" si="14">SUM(W30:W31)</f>
        <v>313683.96000000002</v>
      </c>
      <c r="X29" s="2152">
        <f t="shared" si="14"/>
        <v>1766.98</v>
      </c>
      <c r="Y29" s="2152">
        <f t="shared" si="14"/>
        <v>10444.57</v>
      </c>
      <c r="Z29" s="2152">
        <f t="shared" si="14"/>
        <v>605639.43000000005</v>
      </c>
      <c r="AA29" s="2152">
        <f t="shared" si="14"/>
        <v>51667.24</v>
      </c>
      <c r="AB29" s="2152">
        <f t="shared" si="14"/>
        <v>983202.17999999993</v>
      </c>
      <c r="AC29" s="2136"/>
    </row>
    <row r="30" spans="1:29">
      <c r="A30" s="2139" t="s">
        <v>1768</v>
      </c>
      <c r="H30" s="2140"/>
      <c r="I30" s="2191"/>
      <c r="J30" s="2192"/>
      <c r="K30" s="2192"/>
      <c r="V30" s="2158" t="s">
        <v>1753</v>
      </c>
      <c r="W30" s="2159">
        <v>283946.87</v>
      </c>
      <c r="X30" s="2159">
        <v>1766.98</v>
      </c>
      <c r="Y30" s="2159">
        <v>10405.19</v>
      </c>
      <c r="Z30" s="2159">
        <v>578317.17000000004</v>
      </c>
      <c r="AA30" s="2159">
        <v>53558.65</v>
      </c>
      <c r="AB30" s="2159">
        <f>SUM(W30:AA30)</f>
        <v>927994.86</v>
      </c>
    </row>
    <row r="31" spans="1:29">
      <c r="I31" s="2191"/>
      <c r="J31" s="2192"/>
      <c r="K31" s="2192"/>
      <c r="V31" s="2158" t="s">
        <v>1757</v>
      </c>
      <c r="W31" s="2159">
        <v>29737.09</v>
      </c>
      <c r="X31" s="2159"/>
      <c r="Y31" s="2159">
        <v>39.380000000000003</v>
      </c>
      <c r="Z31" s="2159">
        <v>27322.26</v>
      </c>
      <c r="AA31" s="2159">
        <v>-1891.41</v>
      </c>
      <c r="AB31" s="2159">
        <f>SUM(W31:AA31)</f>
        <v>55207.319999999992</v>
      </c>
    </row>
    <row r="32" spans="1:29">
      <c r="I32" s="2191"/>
      <c r="J32" s="2192"/>
      <c r="K32" s="2192"/>
      <c r="V32" s="2151">
        <f>+V29+1</f>
        <v>202304</v>
      </c>
      <c r="W32" s="2152">
        <f t="shared" ref="W32:AB32" si="15">SUM(W33:W34)</f>
        <v>214344.41</v>
      </c>
      <c r="X32" s="2152">
        <f t="shared" si="15"/>
        <v>2146.67</v>
      </c>
      <c r="Y32" s="2152">
        <f t="shared" si="15"/>
        <v>6670.92</v>
      </c>
      <c r="Z32" s="2152">
        <f t="shared" si="15"/>
        <v>516951.36</v>
      </c>
      <c r="AA32" s="2152">
        <f t="shared" si="15"/>
        <v>108953.73</v>
      </c>
      <c r="AB32" s="2152">
        <f t="shared" si="15"/>
        <v>849067.09000000008</v>
      </c>
    </row>
    <row r="33" spans="9:29">
      <c r="I33" s="2191"/>
      <c r="J33" s="2192"/>
      <c r="K33" s="2192"/>
      <c r="V33" s="2158" t="s">
        <v>1753</v>
      </c>
      <c r="W33" s="2159">
        <v>191854.92</v>
      </c>
      <c r="X33" s="2159">
        <v>2146.67</v>
      </c>
      <c r="Y33" s="2159">
        <v>6662.36</v>
      </c>
      <c r="Z33" s="2159">
        <v>494342.37</v>
      </c>
      <c r="AA33" s="2159">
        <v>104447.64</v>
      </c>
      <c r="AB33" s="2159">
        <f>SUM(W33:AA33)</f>
        <v>799453.96000000008</v>
      </c>
    </row>
    <row r="34" spans="9:29">
      <c r="I34" s="2191"/>
      <c r="J34" s="2192"/>
      <c r="K34" s="2192"/>
      <c r="V34" s="2158" t="s">
        <v>1757</v>
      </c>
      <c r="W34" s="2159">
        <v>22489.49</v>
      </c>
      <c r="X34" s="2159"/>
      <c r="Y34" s="2159">
        <v>8.56</v>
      </c>
      <c r="Z34" s="2159">
        <v>22608.99</v>
      </c>
      <c r="AA34" s="2159">
        <v>4506.09</v>
      </c>
      <c r="AB34" s="2159">
        <f>SUM(W34:AA34)</f>
        <v>49613.130000000005</v>
      </c>
    </row>
    <row r="35" spans="9:29">
      <c r="I35" s="2138"/>
      <c r="V35" s="2151">
        <f>+V32+1</f>
        <v>202305</v>
      </c>
      <c r="W35" s="2152">
        <f t="shared" ref="W35:AB35" si="16">SUM(W36:W37)</f>
        <v>224729.11</v>
      </c>
      <c r="X35" s="2152">
        <f t="shared" si="16"/>
        <v>2420.83</v>
      </c>
      <c r="Y35" s="2152">
        <f t="shared" si="16"/>
        <v>7252.42</v>
      </c>
      <c r="Z35" s="2152">
        <f t="shared" si="16"/>
        <v>626406.25999999989</v>
      </c>
      <c r="AA35" s="2152">
        <f t="shared" si="16"/>
        <v>164441.04</v>
      </c>
      <c r="AB35" s="2152">
        <f t="shared" si="16"/>
        <v>1025249.66</v>
      </c>
    </row>
    <row r="36" spans="9:29">
      <c r="V36" s="2158" t="s">
        <v>1753</v>
      </c>
      <c r="W36" s="2159">
        <v>201097.55</v>
      </c>
      <c r="X36" s="2159">
        <v>2420.83</v>
      </c>
      <c r="Y36" s="2159">
        <v>7252.42</v>
      </c>
      <c r="Z36" s="2159">
        <v>600514.43999999994</v>
      </c>
      <c r="AA36" s="2159">
        <v>156397.5</v>
      </c>
      <c r="AB36" s="2159">
        <f>SUM(W36:AA36)</f>
        <v>967682.74</v>
      </c>
    </row>
    <row r="37" spans="9:29">
      <c r="V37" s="2158" t="s">
        <v>1757</v>
      </c>
      <c r="W37" s="2159">
        <v>23631.56</v>
      </c>
      <c r="X37" s="2159"/>
      <c r="Y37" s="2159"/>
      <c r="Z37" s="2159">
        <v>25891.82</v>
      </c>
      <c r="AA37" s="2159">
        <v>8043.54</v>
      </c>
      <c r="AB37" s="2159">
        <f>SUM(W37:AA37)</f>
        <v>57566.920000000006</v>
      </c>
    </row>
    <row r="38" spans="9:29">
      <c r="I38" s="2138"/>
      <c r="V38" s="2151">
        <f>+V35+1</f>
        <v>202306</v>
      </c>
      <c r="W38" s="2152">
        <f t="shared" ref="W38:AB38" si="17">SUM(W39:W40)</f>
        <v>213391.28</v>
      </c>
      <c r="X38" s="2152">
        <f t="shared" si="17"/>
        <v>1049.78</v>
      </c>
      <c r="Y38" s="2152">
        <f t="shared" si="17"/>
        <v>9139.369999999999</v>
      </c>
      <c r="Z38" s="2152">
        <f t="shared" si="17"/>
        <v>561609.27</v>
      </c>
      <c r="AA38" s="2152">
        <f t="shared" si="17"/>
        <v>135284.31</v>
      </c>
      <c r="AB38" s="2152">
        <f t="shared" si="17"/>
        <v>920474.01</v>
      </c>
    </row>
    <row r="39" spans="9:29">
      <c r="V39" s="2158" t="s">
        <v>1753</v>
      </c>
      <c r="W39" s="2159">
        <v>191396.35</v>
      </c>
      <c r="X39" s="2159">
        <v>1049.78</v>
      </c>
      <c r="Y39" s="2159">
        <v>9129.8799999999992</v>
      </c>
      <c r="Z39" s="2159">
        <v>538442.71</v>
      </c>
      <c r="AA39" s="2159">
        <v>128838.42</v>
      </c>
      <c r="AB39" s="2159">
        <f>SUM(W39:AA39)</f>
        <v>868857.14</v>
      </c>
    </row>
    <row r="40" spans="9:29">
      <c r="V40" s="2158" t="s">
        <v>1757</v>
      </c>
      <c r="W40" s="2159">
        <v>21994.93</v>
      </c>
      <c r="X40" s="2159"/>
      <c r="Y40" s="2159">
        <v>9.49</v>
      </c>
      <c r="Z40" s="2159">
        <v>23166.560000000001</v>
      </c>
      <c r="AA40" s="2159">
        <v>6445.89</v>
      </c>
      <c r="AB40" s="2159">
        <f>SUM(W40:AA40)</f>
        <v>51616.87</v>
      </c>
    </row>
    <row r="41" spans="9:29">
      <c r="V41" s="2158"/>
      <c r="W41" s="2159"/>
      <c r="X41" s="2159"/>
      <c r="Y41" s="2159"/>
      <c r="Z41" s="2159"/>
      <c r="AA41" s="2159"/>
      <c r="AB41" s="2159"/>
    </row>
    <row r="42" spans="9:29">
      <c r="V42" s="2151" t="s">
        <v>1769</v>
      </c>
      <c r="W42" s="2152"/>
      <c r="X42" s="2152"/>
      <c r="Y42" s="2152"/>
      <c r="Z42" s="2152"/>
      <c r="AA42" s="2152"/>
      <c r="AB42" s="2152"/>
    </row>
    <row r="43" spans="9:29">
      <c r="V43" s="2158" t="s">
        <v>1770</v>
      </c>
      <c r="W43" s="2159">
        <v>103236.8</v>
      </c>
      <c r="X43" s="2159"/>
      <c r="Y43" s="2159"/>
      <c r="Z43" s="2159">
        <v>154855.19</v>
      </c>
      <c r="AA43" s="2159"/>
      <c r="AB43" s="2159">
        <f t="shared" ref="AB43:AB48" si="18">SUM(W43:AA43)</f>
        <v>258091.99</v>
      </c>
    </row>
    <row r="44" spans="9:29">
      <c r="V44" s="2158" t="s">
        <v>1771</v>
      </c>
      <c r="W44" s="2159">
        <v>-802293.54</v>
      </c>
      <c r="X44" s="2159"/>
      <c r="Y44" s="2159"/>
      <c r="Z44" s="2159">
        <v>-1203440.31</v>
      </c>
      <c r="AA44" s="2159"/>
      <c r="AB44" s="2159">
        <f t="shared" si="18"/>
        <v>-2005733.85</v>
      </c>
    </row>
    <row r="45" spans="9:29">
      <c r="V45" s="2158" t="s">
        <v>1772</v>
      </c>
      <c r="W45" s="2159">
        <v>52329.3</v>
      </c>
      <c r="X45" s="2159"/>
      <c r="Y45" s="2159"/>
      <c r="Z45" s="2159">
        <v>78493.960000000006</v>
      </c>
      <c r="AA45" s="2159"/>
      <c r="AB45" s="2159">
        <f t="shared" si="18"/>
        <v>130823.26000000001</v>
      </c>
      <c r="AC45" s="2136"/>
    </row>
    <row r="46" spans="9:29">
      <c r="V46" s="2158" t="s">
        <v>1773</v>
      </c>
      <c r="W46" s="2159"/>
      <c r="X46" s="2159"/>
      <c r="Y46" s="2159">
        <v>3154714.57</v>
      </c>
      <c r="Z46" s="2193"/>
      <c r="AA46" s="2159"/>
      <c r="AB46" s="2159">
        <f t="shared" si="18"/>
        <v>3154714.57</v>
      </c>
      <c r="AC46" s="2136"/>
    </row>
    <row r="47" spans="9:29">
      <c r="V47" s="2158" t="s">
        <v>1774</v>
      </c>
      <c r="W47" s="2159">
        <v>409500.33</v>
      </c>
      <c r="X47" s="2159"/>
      <c r="Y47" s="2159"/>
      <c r="Z47" s="2159">
        <v>614250.5</v>
      </c>
      <c r="AA47" s="2159"/>
      <c r="AB47" s="2159">
        <f t="shared" si="18"/>
        <v>1023750.8300000001</v>
      </c>
      <c r="AC47" s="2136"/>
    </row>
    <row r="48" spans="9:29">
      <c r="V48" s="2158" t="s">
        <v>1775</v>
      </c>
      <c r="W48" s="2159">
        <v>-412037.06</v>
      </c>
      <c r="X48" s="2159"/>
      <c r="Y48" s="2159"/>
      <c r="Z48" s="2159">
        <v>-618055.59</v>
      </c>
      <c r="AA48" s="2159"/>
      <c r="AB48" s="2159">
        <f t="shared" si="18"/>
        <v>-1030092.6499999999</v>
      </c>
      <c r="AC48" s="2136"/>
    </row>
    <row r="49" spans="22:29" ht="15.75" thickBot="1">
      <c r="V49" s="2158"/>
      <c r="W49" s="2159"/>
      <c r="X49" s="2159"/>
      <c r="Y49" s="2159"/>
      <c r="Z49" s="2159"/>
      <c r="AA49" s="2159"/>
      <c r="AB49" s="2159"/>
    </row>
    <row r="50" spans="22:29" ht="16.5" thickTop="1" thickBot="1">
      <c r="V50" s="2151" t="s">
        <v>978</v>
      </c>
      <c r="W50" s="2152">
        <f t="shared" ref="W50:AB50" si="19">+W5+W8+W11+W14+W17+W20+W23+W26+W29+W32+W35+W38+W43+W44+W45+W46+W47+W48</f>
        <v>1282277.4099999999</v>
      </c>
      <c r="X50" s="2152">
        <f t="shared" si="19"/>
        <v>15211.880000000001</v>
      </c>
      <c r="Y50" s="2152">
        <f t="shared" si="19"/>
        <v>3218450.4099999997</v>
      </c>
      <c r="Z50" s="2152">
        <f t="shared" si="19"/>
        <v>3915750.5500000007</v>
      </c>
      <c r="AA50" s="2152">
        <f t="shared" si="19"/>
        <v>974322.59999999986</v>
      </c>
      <c r="AB50" s="2152">
        <f t="shared" si="19"/>
        <v>9406012.8499999996</v>
      </c>
      <c r="AC50" s="2194" t="s">
        <v>1765</v>
      </c>
    </row>
    <row r="51" spans="22:29" ht="15.75" thickTop="1">
      <c r="V51" s="2140"/>
      <c r="W51" s="2195">
        <f t="shared" ref="W51:AB51" si="20">W50/$AB$50</f>
        <v>0.13632528792473422</v>
      </c>
      <c r="X51" s="2195">
        <f t="shared" si="20"/>
        <v>1.6172506079448958E-3</v>
      </c>
      <c r="Y51" s="2195">
        <f t="shared" si="20"/>
        <v>0.34216946769321072</v>
      </c>
      <c r="Z51" s="2195">
        <f t="shared" si="20"/>
        <v>0.41630291308819561</v>
      </c>
      <c r="AA51" s="2195">
        <f t="shared" si="20"/>
        <v>0.10358508068591464</v>
      </c>
      <c r="AB51" s="2195">
        <f t="shared" si="20"/>
        <v>1</v>
      </c>
    </row>
    <row r="52" spans="22:29">
      <c r="V52" s="2140"/>
      <c r="W52" s="2195"/>
      <c r="X52" s="2195"/>
      <c r="Y52" s="2195"/>
      <c r="Z52" s="2195"/>
      <c r="AA52" s="2195"/>
      <c r="AB52" s="2195"/>
    </row>
    <row r="53" spans="22:29">
      <c r="V53" s="2140"/>
      <c r="W53" s="2140"/>
      <c r="X53" s="2140"/>
      <c r="Y53" s="2140"/>
      <c r="AA53" s="2196" t="s">
        <v>1776</v>
      </c>
      <c r="AB53" s="2197">
        <f>'G-2.13 Incentives'!R24</f>
        <v>3484657.09</v>
      </c>
    </row>
    <row r="54" spans="22:29">
      <c r="V54" s="2140"/>
      <c r="W54" s="2198"/>
      <c r="X54" s="2198"/>
      <c r="Y54" s="2140"/>
      <c r="AA54" s="2196"/>
      <c r="AB54" s="2197"/>
    </row>
    <row r="55" spans="22:29">
      <c r="V55" s="2140"/>
      <c r="W55" s="2140"/>
      <c r="X55" s="2140"/>
      <c r="Y55" s="2140"/>
      <c r="AA55" s="2196" t="s">
        <v>1777</v>
      </c>
      <c r="AB55" s="2197">
        <f>12260559.43-SUM(AB5,AB8,AB11,AB14,AB17,AB20,AB43,AB44,AB45,AB46,SUM('G-2.13 Incentives'!P10:Q15))</f>
        <v>5286148.09</v>
      </c>
    </row>
    <row r="56" spans="22:29">
      <c r="V56" s="2140"/>
      <c r="W56" s="2140"/>
      <c r="X56" s="2140"/>
      <c r="Y56" s="2140"/>
      <c r="AA56" s="2196" t="s">
        <v>1778</v>
      </c>
      <c r="AB56" s="2197">
        <v>-12227436.220000001</v>
      </c>
    </row>
    <row r="57" spans="22:29">
      <c r="V57" s="2140"/>
      <c r="W57" s="2140"/>
      <c r="X57" s="2140"/>
      <c r="Y57" s="2140"/>
      <c r="AA57" s="2196" t="s">
        <v>1779</v>
      </c>
      <c r="AB57" s="2197">
        <f>15000*6</f>
        <v>90000</v>
      </c>
    </row>
    <row r="58" spans="22:29">
      <c r="V58" s="2140"/>
      <c r="W58" s="2140"/>
      <c r="X58" s="2140"/>
      <c r="Y58" s="2140"/>
      <c r="AA58" s="2196"/>
      <c r="AB58" s="2197"/>
    </row>
    <row r="59" spans="22:29">
      <c r="V59" s="2140"/>
      <c r="W59" s="2140"/>
      <c r="X59" s="2140"/>
      <c r="Y59" s="2140"/>
      <c r="Z59" s="2140"/>
      <c r="AA59" s="2196"/>
      <c r="AB59" s="2197">
        <f>AB50+AB53+AB55+AB56+AB57</f>
        <v>6039381.8100000005</v>
      </c>
    </row>
    <row r="60" spans="22:29">
      <c r="V60" s="2140"/>
      <c r="W60" s="2140"/>
      <c r="X60" s="2140"/>
      <c r="Y60" s="2140"/>
      <c r="Z60" s="2140"/>
      <c r="AA60" s="2196"/>
      <c r="AB60" s="2197"/>
    </row>
    <row r="61" spans="22:29">
      <c r="AA61" s="2199" t="s">
        <v>1780</v>
      </c>
      <c r="AB61" s="2197">
        <v>6039381.8099999996</v>
      </c>
    </row>
    <row r="62" spans="22:29">
      <c r="AA62" s="2200" t="s">
        <v>82</v>
      </c>
      <c r="AB62" s="2197">
        <f>AB59-AB61</f>
        <v>0</v>
      </c>
    </row>
  </sheetData>
  <mergeCells count="3">
    <mergeCell ref="O1:R1"/>
    <mergeCell ref="O2:R2"/>
    <mergeCell ref="I21:J2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K68"/>
  <sheetViews>
    <sheetView zoomScaleNormal="100" workbookViewId="0">
      <selection sqref="A1:H1"/>
    </sheetView>
  </sheetViews>
  <sheetFormatPr defaultColWidth="10.5703125" defaultRowHeight="12.75" outlineLevelRow="1"/>
  <cols>
    <col min="1" max="1" width="8.42578125" style="147" customWidth="1"/>
    <col min="2" max="2" width="18.5703125" style="148" customWidth="1"/>
    <col min="3" max="4" width="10.5703125" style="141" customWidth="1"/>
    <col min="5" max="5" width="10.28515625" style="141" customWidth="1"/>
    <col min="6" max="6" width="14.5703125" style="149" customWidth="1"/>
    <col min="7" max="7" width="11.28515625" style="141" bestFit="1" customWidth="1"/>
    <col min="8" max="8" width="2.28515625" style="141" customWidth="1"/>
    <col min="9" max="9" width="14.28515625" style="141" customWidth="1"/>
    <col min="10" max="10" width="19.28515625" style="141" customWidth="1"/>
    <col min="11" max="16384" width="10.5703125" style="141"/>
  </cols>
  <sheetData>
    <row r="1" spans="1:9">
      <c r="A1" s="3846" t="s">
        <v>111</v>
      </c>
      <c r="B1" s="3846"/>
      <c r="C1" s="3846"/>
      <c r="D1" s="3846"/>
      <c r="E1" s="3846"/>
      <c r="F1" s="3846"/>
      <c r="G1" s="3846"/>
      <c r="H1" s="3846"/>
    </row>
    <row r="2" spans="1:9">
      <c r="A2" s="3846" t="s">
        <v>122</v>
      </c>
      <c r="B2" s="3846"/>
      <c r="C2" s="3846"/>
      <c r="D2" s="3846"/>
      <c r="E2" s="3846"/>
      <c r="F2" s="3846"/>
      <c r="G2" s="3846"/>
      <c r="H2" s="3846"/>
    </row>
    <row r="3" spans="1:9">
      <c r="A3" s="3846" t="s">
        <v>200</v>
      </c>
      <c r="B3" s="3846"/>
      <c r="C3" s="3846"/>
      <c r="D3" s="3846"/>
      <c r="E3" s="3846"/>
      <c r="F3" s="3846"/>
      <c r="G3" s="3846"/>
      <c r="H3" s="3846"/>
    </row>
    <row r="4" spans="1:9">
      <c r="A4" s="3847" t="str">
        <f>'ROO INPUT 1.00'!A5:C5</f>
        <v>TWELVE MONTHS ENDED JUNE 30, 2023</v>
      </c>
      <c r="B4" s="3847"/>
      <c r="C4" s="3847"/>
      <c r="D4" s="3847"/>
      <c r="E4" s="3847"/>
      <c r="F4" s="3847"/>
      <c r="G4" s="3847"/>
      <c r="H4" s="3847"/>
    </row>
    <row r="5" spans="1:9">
      <c r="A5" s="3848" t="s">
        <v>114</v>
      </c>
      <c r="B5" s="3848"/>
      <c r="C5" s="3848"/>
      <c r="D5" s="3848"/>
      <c r="E5" s="3848"/>
      <c r="F5" s="3848"/>
      <c r="G5" s="3848"/>
      <c r="H5" s="3848"/>
    </row>
    <row r="6" spans="1:9" ht="13.5" thickBot="1">
      <c r="A6" s="142"/>
      <c r="B6" s="143"/>
      <c r="C6" s="144"/>
      <c r="D6" s="145"/>
      <c r="E6" s="145"/>
      <c r="F6" s="145"/>
      <c r="I6" s="146" t="s">
        <v>194</v>
      </c>
    </row>
    <row r="7" spans="1:9" ht="13.5" thickBot="1">
      <c r="C7" s="149"/>
      <c r="D7" s="149"/>
      <c r="E7" s="3843" t="s">
        <v>122</v>
      </c>
      <c r="F7" s="3844"/>
      <c r="G7" s="3845"/>
      <c r="I7" s="146" t="s">
        <v>195</v>
      </c>
    </row>
    <row r="8" spans="1:9">
      <c r="C8" s="149"/>
      <c r="D8" s="149"/>
      <c r="E8" s="147">
        <f>'ADJ DETAIL INPUT'!V10</f>
        <v>2.139999999999997</v>
      </c>
      <c r="F8" s="207"/>
      <c r="G8" s="207"/>
      <c r="I8" s="146"/>
    </row>
    <row r="9" spans="1:9">
      <c r="C9" s="149"/>
      <c r="D9" s="149"/>
      <c r="E9" s="150" t="s">
        <v>19</v>
      </c>
      <c r="F9" s="146" t="s">
        <v>380</v>
      </c>
      <c r="G9" s="146" t="s">
        <v>381</v>
      </c>
      <c r="I9" s="146" t="s">
        <v>196</v>
      </c>
    </row>
    <row r="10" spans="1:9">
      <c r="B10" s="151" t="s">
        <v>115</v>
      </c>
      <c r="C10" s="149"/>
      <c r="D10" s="149"/>
      <c r="E10" s="152" t="s">
        <v>197</v>
      </c>
      <c r="F10" s="153" t="s">
        <v>116</v>
      </c>
      <c r="G10" s="153" t="s">
        <v>198</v>
      </c>
      <c r="I10" s="153" t="str">
        <f>F10</f>
        <v>Adjustments</v>
      </c>
    </row>
    <row r="11" spans="1:9">
      <c r="A11" s="147">
        <f>'ADJ SUMMARY'!A8</f>
        <v>1</v>
      </c>
      <c r="B11" s="148" t="str">
        <f>'ADJ SUMMARY'!C8</f>
        <v>Results of Operations</v>
      </c>
      <c r="C11" s="149"/>
      <c r="D11" s="149"/>
      <c r="E11" s="154">
        <f>'ADJ SUMMARY'!E8</f>
        <v>533429.39999999991</v>
      </c>
      <c r="F11" s="154"/>
      <c r="G11" s="160">
        <f>SUM(E11:F11)</f>
        <v>533429.39999999991</v>
      </c>
      <c r="H11" s="160"/>
      <c r="I11" s="160">
        <f>ROUND(E11*$E$57*-$E$64,0)-(E61*-E64)</f>
        <v>57.009999999999764</v>
      </c>
    </row>
    <row r="12" spans="1:9">
      <c r="A12" s="147">
        <f>'ADJ SUMMARY'!A9</f>
        <v>1.01</v>
      </c>
      <c r="B12" s="148" t="str">
        <f>'ADJ SUMMARY'!C9</f>
        <v>Deferred FIT Rate Base</v>
      </c>
      <c r="C12" s="149"/>
      <c r="D12" s="149"/>
      <c r="F12" s="154">
        <f>'ADJ SUMMARY'!E9</f>
        <v>-224</v>
      </c>
      <c r="G12" s="160">
        <f t="shared" ref="G12:G31" si="0">SUM(F12:F12)</f>
        <v>-224</v>
      </c>
      <c r="H12" s="160"/>
      <c r="I12" s="154">
        <f t="shared" ref="I12:I45" si="1">ROUND(F12*$E$57*-$F$64,0)</f>
        <v>1</v>
      </c>
    </row>
    <row r="13" spans="1:9">
      <c r="A13" s="147">
        <f>'ADJ SUMMARY'!A10</f>
        <v>1.02</v>
      </c>
      <c r="B13" s="148" t="str">
        <f>'ADJ SUMMARY'!C10</f>
        <v>Deferred Debits and Credits</v>
      </c>
      <c r="C13" s="149"/>
      <c r="D13" s="149"/>
      <c r="F13" s="154">
        <f>'ADJ SUMMARY'!E10</f>
        <v>0</v>
      </c>
      <c r="G13" s="160">
        <f t="shared" si="0"/>
        <v>0</v>
      </c>
      <c r="H13" s="160"/>
      <c r="I13" s="154">
        <f t="shared" si="1"/>
        <v>0</v>
      </c>
    </row>
    <row r="14" spans="1:9">
      <c r="A14" s="147">
        <f>'ADJ SUMMARY'!A11</f>
        <v>1.03</v>
      </c>
      <c r="B14" s="148" t="str">
        <f>'ADJ SUMMARY'!C11</f>
        <v>Working Capital</v>
      </c>
      <c r="C14" s="149"/>
      <c r="D14" s="149"/>
      <c r="F14" s="154">
        <f>'ADJ SUMMARY'!E11</f>
        <v>-648</v>
      </c>
      <c r="G14" s="160">
        <f t="shared" si="0"/>
        <v>-648</v>
      </c>
      <c r="H14" s="160"/>
      <c r="I14" s="154">
        <f t="shared" si="1"/>
        <v>3</v>
      </c>
    </row>
    <row r="15" spans="1:9">
      <c r="A15" s="147">
        <f>'ADJ SUMMARY'!A12</f>
        <v>2.0099999999999998</v>
      </c>
      <c r="B15" s="148" t="str">
        <f>'ADJ SUMMARY'!C12</f>
        <v>Eliminate B &amp; O Taxes</v>
      </c>
      <c r="C15" s="149"/>
      <c r="D15" s="149"/>
      <c r="F15" s="154">
        <f>'ADJ SUMMARY'!E12</f>
        <v>0</v>
      </c>
      <c r="G15" s="160">
        <f t="shared" si="0"/>
        <v>0</v>
      </c>
      <c r="H15" s="160"/>
      <c r="I15" s="154">
        <f t="shared" si="1"/>
        <v>0</v>
      </c>
    </row>
    <row r="16" spans="1:9">
      <c r="A16" s="147">
        <f>'ADJ SUMMARY'!A13</f>
        <v>2.0199999999999996</v>
      </c>
      <c r="B16" s="148" t="str">
        <f>'ADJ SUMMARY'!C13</f>
        <v>Restate Property Tax</v>
      </c>
      <c r="C16" s="149"/>
      <c r="D16" s="149"/>
      <c r="F16" s="154">
        <f>'ADJ SUMMARY'!E13</f>
        <v>0</v>
      </c>
      <c r="G16" s="160">
        <f t="shared" si="0"/>
        <v>0</v>
      </c>
      <c r="H16" s="160"/>
      <c r="I16" s="154">
        <f t="shared" si="1"/>
        <v>0</v>
      </c>
    </row>
    <row r="17" spans="1:9">
      <c r="A17" s="147">
        <f>'ADJ SUMMARY'!A14</f>
        <v>2.0299999999999994</v>
      </c>
      <c r="B17" s="148" t="str">
        <f>'ADJ SUMMARY'!C14</f>
        <v>Uncollectible Expense</v>
      </c>
      <c r="C17" s="149"/>
      <c r="D17" s="149"/>
      <c r="F17" s="154">
        <f>'ADJ SUMMARY'!E14</f>
        <v>0</v>
      </c>
      <c r="G17" s="160">
        <f t="shared" si="0"/>
        <v>0</v>
      </c>
      <c r="H17" s="160"/>
      <c r="I17" s="154">
        <f t="shared" si="1"/>
        <v>0</v>
      </c>
    </row>
    <row r="18" spans="1:9">
      <c r="A18" s="147">
        <f>'ADJ SUMMARY'!A15</f>
        <v>2.0399999999999991</v>
      </c>
      <c r="B18" s="148" t="str">
        <f>'ADJ SUMMARY'!C15</f>
        <v>Regulatory Expense</v>
      </c>
      <c r="C18" s="149"/>
      <c r="D18" s="149"/>
      <c r="F18" s="154">
        <f>'ADJ SUMMARY'!E15</f>
        <v>0</v>
      </c>
      <c r="G18" s="160">
        <f t="shared" si="0"/>
        <v>0</v>
      </c>
      <c r="H18" s="160"/>
      <c r="I18" s="154">
        <f t="shared" si="1"/>
        <v>0</v>
      </c>
    </row>
    <row r="19" spans="1:9">
      <c r="A19" s="147">
        <f>'ADJ SUMMARY'!A16</f>
        <v>2.0499999999999989</v>
      </c>
      <c r="B19" s="148" t="str">
        <f>'ADJ SUMMARY'!C16</f>
        <v>Injuries &amp; Damages</v>
      </c>
      <c r="C19" s="149"/>
      <c r="D19" s="149"/>
      <c r="F19" s="154">
        <f>'ADJ SUMMARY'!E16</f>
        <v>0</v>
      </c>
      <c r="G19" s="160">
        <f t="shared" si="0"/>
        <v>0</v>
      </c>
      <c r="H19" s="160"/>
      <c r="I19" s="154">
        <f t="shared" si="1"/>
        <v>0</v>
      </c>
    </row>
    <row r="20" spans="1:9">
      <c r="A20" s="147">
        <f>'ADJ SUMMARY'!A17</f>
        <v>2.0599999999999987</v>
      </c>
      <c r="B20" s="148" t="str">
        <f>'ADJ SUMMARY'!C17</f>
        <v>FIT / DFIT Expense</v>
      </c>
      <c r="C20" s="149"/>
      <c r="D20" s="149"/>
      <c r="F20" s="154">
        <f>'ADJ SUMMARY'!E17</f>
        <v>0</v>
      </c>
      <c r="G20" s="160">
        <f t="shared" si="0"/>
        <v>0</v>
      </c>
      <c r="H20" s="160"/>
      <c r="I20" s="154">
        <f t="shared" si="1"/>
        <v>0</v>
      </c>
    </row>
    <row r="21" spans="1:9">
      <c r="A21" s="147">
        <f>'ADJ SUMMARY'!A18</f>
        <v>2.0699999999999985</v>
      </c>
      <c r="B21" s="148" t="str">
        <f>'ADJ SUMMARY'!C18</f>
        <v>Office Space Charges to Non-Utility</v>
      </c>
      <c r="C21" s="149"/>
      <c r="D21" s="149"/>
      <c r="F21" s="154">
        <f>'ADJ SUMMARY'!E18</f>
        <v>0</v>
      </c>
      <c r="G21" s="160">
        <f t="shared" si="0"/>
        <v>0</v>
      </c>
      <c r="H21" s="160"/>
      <c r="I21" s="154">
        <f t="shared" si="1"/>
        <v>0</v>
      </c>
    </row>
    <row r="22" spans="1:9">
      <c r="A22" s="147">
        <f>'ADJ SUMMARY'!A19</f>
        <v>2.0799999999999983</v>
      </c>
      <c r="B22" s="148" t="str">
        <f>'ADJ SUMMARY'!C19</f>
        <v>Restate Excise Taxes</v>
      </c>
      <c r="C22" s="149"/>
      <c r="D22" s="149"/>
      <c r="F22" s="154">
        <f>'ADJ SUMMARY'!E19</f>
        <v>0</v>
      </c>
      <c r="G22" s="160">
        <f t="shared" si="0"/>
        <v>0</v>
      </c>
      <c r="H22" s="160"/>
      <c r="I22" s="154">
        <f t="shared" si="1"/>
        <v>0</v>
      </c>
    </row>
    <row r="23" spans="1:9">
      <c r="A23" s="147">
        <f>'ADJ SUMMARY'!A20</f>
        <v>2.0899999999999981</v>
      </c>
      <c r="B23" s="148" t="str">
        <f>'ADJ SUMMARY'!C20</f>
        <v>Net Gains &amp; Losses</v>
      </c>
      <c r="C23" s="149"/>
      <c r="D23" s="149"/>
      <c r="F23" s="154">
        <f>'ADJ SUMMARY'!E20</f>
        <v>0</v>
      </c>
      <c r="G23" s="160">
        <f t="shared" si="0"/>
        <v>0</v>
      </c>
      <c r="H23" s="160"/>
      <c r="I23" s="154">
        <f t="shared" si="1"/>
        <v>0</v>
      </c>
    </row>
    <row r="24" spans="1:9">
      <c r="A24" s="147">
        <f>'ADJ SUMMARY'!A21</f>
        <v>2.0999999999999979</v>
      </c>
      <c r="B24" s="148" t="str">
        <f>'ADJ SUMMARY'!C21</f>
        <v>Weather Normalization / Gas Cost Adjust</v>
      </c>
      <c r="C24" s="149"/>
      <c r="D24" s="149"/>
      <c r="F24" s="154">
        <f>'ADJ SUMMARY'!E21</f>
        <v>0</v>
      </c>
      <c r="G24" s="160">
        <f t="shared" si="0"/>
        <v>0</v>
      </c>
      <c r="H24" s="160"/>
      <c r="I24" s="154">
        <f t="shared" si="1"/>
        <v>0</v>
      </c>
    </row>
    <row r="25" spans="1:9">
      <c r="A25" s="147">
        <f>'ADJ SUMMARY'!A22</f>
        <v>2.1099999999999977</v>
      </c>
      <c r="B25" s="148" t="str">
        <f>'ADJ SUMMARY'!C22</f>
        <v>Eliminate Adder Schedules</v>
      </c>
      <c r="C25" s="149"/>
      <c r="D25" s="149"/>
      <c r="F25" s="154">
        <f>'ADJ SUMMARY'!E22</f>
        <v>0</v>
      </c>
      <c r="G25" s="160">
        <f t="shared" si="0"/>
        <v>0</v>
      </c>
      <c r="H25" s="160"/>
      <c r="I25" s="154">
        <f t="shared" si="1"/>
        <v>0</v>
      </c>
    </row>
    <row r="26" spans="1:9">
      <c r="A26" s="147">
        <f>'ADJ SUMMARY'!A23</f>
        <v>2.1199999999999974</v>
      </c>
      <c r="B26" s="148" t="str">
        <f>'ADJ SUMMARY'!C23</f>
        <v>Misc. Restating Non-Util / Non- Recurring Expense</v>
      </c>
      <c r="C26" s="149"/>
      <c r="D26" s="149"/>
      <c r="F26" s="154">
        <f>'ADJ SUMMARY'!E23</f>
        <v>0</v>
      </c>
      <c r="G26" s="160">
        <f t="shared" si="0"/>
        <v>0</v>
      </c>
      <c r="H26" s="160"/>
      <c r="I26" s="154">
        <f t="shared" si="1"/>
        <v>0</v>
      </c>
    </row>
    <row r="27" spans="1:9">
      <c r="A27" s="147">
        <f>'ADJ SUMMARY'!A24</f>
        <v>2.1299999999999972</v>
      </c>
      <c r="B27" s="148" t="str">
        <f>'ADJ SUMMARY'!C24</f>
        <v>Restating Incentives Expense</v>
      </c>
      <c r="C27" s="149"/>
      <c r="D27" s="149"/>
      <c r="F27" s="154">
        <f>'ADJ SUMMARY'!E24</f>
        <v>0</v>
      </c>
      <c r="G27" s="160">
        <f t="shared" si="0"/>
        <v>0</v>
      </c>
      <c r="H27" s="160"/>
      <c r="I27" s="154">
        <f t="shared" si="1"/>
        <v>0</v>
      </c>
    </row>
    <row r="28" spans="1:9">
      <c r="A28" s="147">
        <f>'ADJ SUMMARY'!A25</f>
        <v>2.139999999999997</v>
      </c>
      <c r="B28" s="148" t="str">
        <f>'ADJ SUMMARY'!C25</f>
        <v>Restate Debt Interest</v>
      </c>
      <c r="C28" s="149"/>
      <c r="D28" s="149"/>
      <c r="F28" s="154">
        <f>'ADJ SUMMARY'!E25</f>
        <v>0</v>
      </c>
      <c r="G28" s="160">
        <f t="shared" si="0"/>
        <v>0</v>
      </c>
      <c r="H28" s="160"/>
      <c r="I28" s="154">
        <f t="shared" si="1"/>
        <v>0</v>
      </c>
    </row>
    <row r="29" spans="1:9">
      <c r="A29" s="147">
        <f>'ADJ SUMMARY'!A26</f>
        <v>2.1499999999999968</v>
      </c>
      <c r="B29" s="148" t="str">
        <f>'ADJ SUMMARY'!C26</f>
        <v>Restate Capital 06.2023 EOP</v>
      </c>
      <c r="C29" s="149"/>
      <c r="D29" s="149"/>
      <c r="F29" s="154">
        <f>'ADJ SUMMARY'!E26</f>
        <v>12408</v>
      </c>
      <c r="G29" s="160">
        <f t="shared" si="0"/>
        <v>12408</v>
      </c>
      <c r="H29" s="160"/>
      <c r="I29" s="154">
        <f t="shared" si="1"/>
        <v>-67</v>
      </c>
    </row>
    <row r="30" spans="1:9" hidden="1" outlineLevel="1">
      <c r="A30" s="147">
        <f>'ADJ SUMMARY'!A27</f>
        <v>0</v>
      </c>
      <c r="B30" s="148" t="str">
        <f>'ADJ SUMMARY'!C27</f>
        <v/>
      </c>
      <c r="C30" s="149"/>
      <c r="D30" s="149"/>
      <c r="F30" s="154">
        <f>'ADJ SUMMARY'!E27</f>
        <v>0</v>
      </c>
      <c r="G30" s="160">
        <f t="shared" ref="G30" si="2">SUM(F30:F30)</f>
        <v>0</v>
      </c>
      <c r="H30" s="160"/>
      <c r="I30" s="154">
        <f t="shared" si="1"/>
        <v>0</v>
      </c>
    </row>
    <row r="31" spans="1:9" collapsed="1">
      <c r="A31" s="147">
        <f>'ADJ SUMMARY'!A30</f>
        <v>3.01</v>
      </c>
      <c r="B31" s="148" t="str">
        <f>'ADJ SUMMARY'!C30</f>
        <v>Pro Forma Revenue Normalization</v>
      </c>
      <c r="C31" s="149"/>
      <c r="D31" s="149"/>
      <c r="F31" s="154">
        <f>'ADJ SUMMARY'!E30</f>
        <v>0</v>
      </c>
      <c r="G31" s="160">
        <f t="shared" si="0"/>
        <v>0</v>
      </c>
      <c r="H31" s="160"/>
      <c r="I31" s="154">
        <f t="shared" si="1"/>
        <v>0</v>
      </c>
    </row>
    <row r="32" spans="1:9">
      <c r="A32" s="147">
        <f>'ADJ SUMMARY'!A31</f>
        <v>3.0199999999999996</v>
      </c>
      <c r="B32" s="148" t="str">
        <f>'ADJ SUMMARY'!C31</f>
        <v>Pro Forma Def. Debits, Credits &amp; Regulatory Amorts</v>
      </c>
      <c r="C32" s="149"/>
      <c r="D32" s="149"/>
      <c r="F32" s="154">
        <f>'ADJ SUMMARY'!E31</f>
        <v>0</v>
      </c>
      <c r="G32" s="160">
        <f t="shared" ref="G32:G49" si="3">SUM(F32:F32)</f>
        <v>0</v>
      </c>
      <c r="H32" s="160"/>
      <c r="I32" s="154">
        <f t="shared" si="1"/>
        <v>0</v>
      </c>
    </row>
    <row r="33" spans="1:9">
      <c r="A33" s="147">
        <f>'ADJ SUMMARY'!A32</f>
        <v>3.0299999999999994</v>
      </c>
      <c r="B33" s="148" t="str">
        <f>'ADJ SUMMARY'!C32</f>
        <v>Pro Forma EDIT (RSGM)</v>
      </c>
      <c r="C33" s="149"/>
      <c r="D33" s="149"/>
      <c r="F33" s="154">
        <f>'ADJ SUMMARY'!E32</f>
        <v>0</v>
      </c>
      <c r="G33" s="160">
        <f t="shared" si="3"/>
        <v>0</v>
      </c>
      <c r="H33" s="160"/>
      <c r="I33" s="154">
        <f t="shared" si="1"/>
        <v>0</v>
      </c>
    </row>
    <row r="34" spans="1:9">
      <c r="A34" s="147">
        <f>'ADJ SUMMARY'!A33</f>
        <v>3.0399999999999991</v>
      </c>
      <c r="B34" s="148" t="str">
        <f>'ADJ SUMMARY'!C33</f>
        <v>Pro Forma AMI Amortization</v>
      </c>
      <c r="C34" s="149"/>
      <c r="D34" s="149"/>
      <c r="F34" s="154">
        <f>'ADJ SUMMARY'!E33</f>
        <v>-2141</v>
      </c>
      <c r="G34" s="160">
        <f t="shared" si="3"/>
        <v>-2141</v>
      </c>
      <c r="H34" s="160"/>
      <c r="I34" s="154">
        <f t="shared" si="1"/>
        <v>12</v>
      </c>
    </row>
    <row r="35" spans="1:9">
      <c r="A35" s="147">
        <f>'ADJ SUMMARY'!A34</f>
        <v>3.0499999999999989</v>
      </c>
      <c r="B35" s="148" t="str">
        <f>'ADJ SUMMARY'!C34</f>
        <v>Pro Forma Labor Non-Exec</v>
      </c>
      <c r="C35" s="149"/>
      <c r="D35" s="149"/>
      <c r="F35" s="154">
        <f>'ADJ SUMMARY'!E34</f>
        <v>0</v>
      </c>
      <c r="G35" s="160">
        <f t="shared" si="3"/>
        <v>0</v>
      </c>
      <c r="H35" s="160"/>
      <c r="I35" s="154">
        <f t="shared" si="1"/>
        <v>0</v>
      </c>
    </row>
    <row r="36" spans="1:9">
      <c r="A36" s="147">
        <f>'ADJ SUMMARY'!A35</f>
        <v>3.0599999999999987</v>
      </c>
      <c r="B36" s="148" t="str">
        <f>'ADJ SUMMARY'!C35</f>
        <v>Pro Forma Labor Exec</v>
      </c>
      <c r="C36" s="149"/>
      <c r="D36" s="149"/>
      <c r="F36" s="154">
        <f>'ADJ SUMMARY'!E35</f>
        <v>0</v>
      </c>
      <c r="G36" s="160">
        <f t="shared" si="3"/>
        <v>0</v>
      </c>
      <c r="H36" s="160"/>
      <c r="I36" s="154">
        <f t="shared" si="1"/>
        <v>0</v>
      </c>
    </row>
    <row r="37" spans="1:9">
      <c r="A37" s="147">
        <f>'ADJ SUMMARY'!A36</f>
        <v>3.0699999999999985</v>
      </c>
      <c r="B37" s="148" t="str">
        <f>'ADJ SUMMARY'!C36</f>
        <v>Pro Forma Employee Benefits</v>
      </c>
      <c r="C37" s="149"/>
      <c r="D37" s="149"/>
      <c r="F37" s="154">
        <f>'ADJ SUMMARY'!E36</f>
        <v>0</v>
      </c>
      <c r="G37" s="160">
        <f t="shared" si="3"/>
        <v>0</v>
      </c>
      <c r="H37" s="160"/>
      <c r="I37" s="154">
        <f t="shared" si="1"/>
        <v>0</v>
      </c>
    </row>
    <row r="38" spans="1:9">
      <c r="A38" s="147">
        <f>'ADJ SUMMARY'!A37</f>
        <v>3.0799999999999983</v>
      </c>
      <c r="B38" s="148" t="str">
        <f>'ADJ SUMMARY'!C37</f>
        <v>Pro Forma Incentives</v>
      </c>
      <c r="C38" s="149"/>
      <c r="D38" s="149"/>
      <c r="F38" s="154">
        <f>'ADJ SUMMARY'!E37</f>
        <v>0</v>
      </c>
      <c r="G38" s="160">
        <f t="shared" ref="G38:G39" si="4">SUM(F38:F38)</f>
        <v>0</v>
      </c>
      <c r="H38" s="160"/>
      <c r="I38" s="154">
        <f t="shared" ref="I38:I39" si="5">ROUND(F38*$E$57*-$F$64,0)</f>
        <v>0</v>
      </c>
    </row>
    <row r="39" spans="1:9">
      <c r="A39" s="147">
        <f>'ADJ SUMMARY'!A38</f>
        <v>3.0899999999999981</v>
      </c>
      <c r="B39" s="148" t="str">
        <f>'ADJ SUMMARY'!C38</f>
        <v>Pro Forma LIRAP Labor</v>
      </c>
      <c r="C39" s="149"/>
      <c r="D39" s="149"/>
      <c r="F39" s="154">
        <f>'ADJ SUMMARY'!E38</f>
        <v>0</v>
      </c>
      <c r="G39" s="160">
        <f t="shared" si="4"/>
        <v>0</v>
      </c>
      <c r="H39" s="160"/>
      <c r="I39" s="154">
        <f t="shared" si="5"/>
        <v>0</v>
      </c>
    </row>
    <row r="40" spans="1:9">
      <c r="A40" s="147">
        <f>'ADJ SUMMARY'!A39</f>
        <v>3.0999999999999979</v>
      </c>
      <c r="B40" s="148" t="str">
        <f>'ADJ SUMMARY'!C39</f>
        <v>Pro Forma CCA Labor</v>
      </c>
      <c r="C40" s="149"/>
      <c r="D40" s="149"/>
      <c r="F40" s="154">
        <f>'ADJ SUMMARY'!E39</f>
        <v>0</v>
      </c>
      <c r="G40" s="160">
        <f t="shared" si="3"/>
        <v>0</v>
      </c>
      <c r="H40" s="160"/>
      <c r="I40" s="154">
        <f t="shared" si="1"/>
        <v>0</v>
      </c>
    </row>
    <row r="41" spans="1:9">
      <c r="A41" s="147">
        <f>'ADJ SUMMARY'!A40</f>
        <v>3.1099999999999977</v>
      </c>
      <c r="B41" s="148" t="str">
        <f>'ADJ SUMMARY'!C40</f>
        <v>Pro Forma Property Tax</v>
      </c>
      <c r="C41" s="149"/>
      <c r="D41" s="149"/>
      <c r="F41" s="154">
        <f>'ADJ SUMMARY'!E40</f>
        <v>0</v>
      </c>
      <c r="G41" s="160">
        <f t="shared" si="3"/>
        <v>0</v>
      </c>
      <c r="H41" s="160"/>
      <c r="I41" s="154">
        <f t="shared" si="1"/>
        <v>0</v>
      </c>
    </row>
    <row r="42" spans="1:9">
      <c r="A42" s="147">
        <f>'ADJ SUMMARY'!A41</f>
        <v>3.1199999999999974</v>
      </c>
      <c r="B42" s="148" t="str">
        <f>'ADJ SUMMARY'!C41</f>
        <v>Pro Forma Insurance Expense</v>
      </c>
      <c r="C42" s="149"/>
      <c r="D42" s="149"/>
      <c r="F42" s="154">
        <f>'ADJ SUMMARY'!E41</f>
        <v>0</v>
      </c>
      <c r="G42" s="160">
        <f t="shared" si="3"/>
        <v>0</v>
      </c>
      <c r="H42" s="160"/>
      <c r="I42" s="154">
        <f t="shared" si="1"/>
        <v>0</v>
      </c>
    </row>
    <row r="43" spans="1:9">
      <c r="A43" s="147">
        <f>'ADJ SUMMARY'!A42</f>
        <v>3.1299999999999972</v>
      </c>
      <c r="B43" s="148" t="str">
        <f>'ADJ SUMMARY'!C42</f>
        <v>Pro Forma IS/IT Expense</v>
      </c>
      <c r="C43" s="149"/>
      <c r="D43" s="149"/>
      <c r="F43" s="154">
        <f>'ADJ SUMMARY'!E42</f>
        <v>0</v>
      </c>
      <c r="G43" s="160">
        <f t="shared" si="3"/>
        <v>0</v>
      </c>
      <c r="H43" s="160"/>
      <c r="I43" s="154">
        <f t="shared" si="1"/>
        <v>0</v>
      </c>
    </row>
    <row r="44" spans="1:9">
      <c r="A44" s="147">
        <f>'ADJ SUMMARY'!A43</f>
        <v>3.139999999999997</v>
      </c>
      <c r="B44" s="148" t="str">
        <f>'ADJ SUMMARY'!C43</f>
        <v>Pro Forma Misc O&amp;M Exp</v>
      </c>
      <c r="C44" s="149"/>
      <c r="D44" s="149"/>
      <c r="F44" s="154">
        <f>'ADJ SUMMARY'!E43</f>
        <v>0</v>
      </c>
      <c r="G44" s="160">
        <f t="shared" si="3"/>
        <v>0</v>
      </c>
      <c r="H44" s="160"/>
      <c r="I44" s="154">
        <f t="shared" si="1"/>
        <v>0</v>
      </c>
    </row>
    <row r="45" spans="1:9">
      <c r="A45" s="147">
        <f>'ADJ SUMMARY'!A44</f>
        <v>3.1499999999999968</v>
      </c>
      <c r="B45" s="148" t="str">
        <f>'ADJ SUMMARY'!C44</f>
        <v>Pro Forma Capital Additions to 12.31.2023 EOP</v>
      </c>
      <c r="C45" s="149"/>
      <c r="D45" s="149"/>
      <c r="F45" s="154">
        <f>'ADJ SUMMARY'!E44</f>
        <v>19487.900000000001</v>
      </c>
      <c r="G45" s="160">
        <f t="shared" si="3"/>
        <v>19487.900000000001</v>
      </c>
      <c r="H45" s="160"/>
      <c r="I45" s="154">
        <f t="shared" si="1"/>
        <v>-105</v>
      </c>
    </row>
    <row r="46" spans="1:9">
      <c r="A46" s="147">
        <f>'ADJ SUMMARY'!A45</f>
        <v>3.1599999999999966</v>
      </c>
      <c r="B46" s="148" t="str">
        <f>'ADJ SUMMARY'!C45</f>
        <v>Pro Forma Depreciation Expense</v>
      </c>
      <c r="C46" s="149"/>
      <c r="D46" s="149"/>
      <c r="F46" s="154">
        <f>'ADJ SUMMARY'!E45</f>
        <v>0</v>
      </c>
      <c r="G46" s="160">
        <f t="shared" ref="G46:G48" si="6">SUM(F46:F46)</f>
        <v>0</v>
      </c>
      <c r="H46" s="160"/>
      <c r="I46" s="154">
        <f t="shared" ref="I46:I48" si="7">ROUND(F46*$E$57*-$F$64,0)</f>
        <v>0</v>
      </c>
    </row>
    <row r="47" spans="1:9">
      <c r="A47" s="147">
        <f>'ADJ SUMMARY'!A46</f>
        <v>3.1699999999999964</v>
      </c>
      <c r="B47" s="148" t="str">
        <f>'ADJ SUMMARY'!C46</f>
        <v>Pro Forma Capital Additions to 12.31.2024 EOP</v>
      </c>
      <c r="C47" s="149"/>
      <c r="D47" s="149"/>
      <c r="F47" s="154">
        <f>'ADJ SUMMARY'!E46</f>
        <v>20568</v>
      </c>
      <c r="G47" s="160">
        <f t="shared" si="6"/>
        <v>20568</v>
      </c>
      <c r="H47" s="160"/>
      <c r="I47" s="154">
        <f t="shared" si="7"/>
        <v>-111</v>
      </c>
    </row>
    <row r="48" spans="1:9">
      <c r="A48" s="147">
        <f>'ADJ SUMMARY'!A47</f>
        <v>3.1799999999999962</v>
      </c>
      <c r="B48" s="148" t="str">
        <f>'ADJ SUMMARY'!C47</f>
        <v>Pro Forma New Regulatory Amortizations</v>
      </c>
      <c r="C48" s="149"/>
      <c r="D48" s="149"/>
      <c r="F48" s="154">
        <f>'ADJ SUMMARY'!E47</f>
        <v>0</v>
      </c>
      <c r="G48" s="160">
        <f t="shared" si="6"/>
        <v>0</v>
      </c>
      <c r="H48" s="160"/>
      <c r="I48" s="154">
        <f t="shared" si="7"/>
        <v>0</v>
      </c>
    </row>
    <row r="49" spans="1:11">
      <c r="A49" s="147">
        <f>'ADJ SUMMARY'!A48</f>
        <v>3.1899999999999959</v>
      </c>
      <c r="B49" s="148" t="str">
        <f>'ADJ SUMMARY'!C48</f>
        <v>Pro Forma Nucleus/ETRM Expense</v>
      </c>
      <c r="C49" s="149"/>
      <c r="D49" s="149"/>
      <c r="F49" s="154">
        <f>'ADJ SUMMARY'!E48</f>
        <v>0</v>
      </c>
      <c r="G49" s="160">
        <f t="shared" si="3"/>
        <v>0</v>
      </c>
      <c r="H49" s="160"/>
      <c r="I49" s="154">
        <f>ROUND(F49*$E$57*-$F$64,0)</f>
        <v>0</v>
      </c>
    </row>
    <row r="50" spans="1:11">
      <c r="A50" s="147">
        <f>'ADJ SUMMARY'!A49</f>
        <v>3.1999999999999957</v>
      </c>
      <c r="B50" s="148" t="str">
        <f>'ADJ SUMMARY'!C49</f>
        <v>Pro Forma BOD Fees Expense</v>
      </c>
      <c r="C50" s="149"/>
      <c r="D50" s="149"/>
      <c r="F50" s="154">
        <f>'ADJ SUMMARY'!E49</f>
        <v>0</v>
      </c>
      <c r="G50" s="160">
        <f t="shared" ref="G50:G52" si="8">SUM(F50:F50)</f>
        <v>0</v>
      </c>
      <c r="H50" s="160"/>
      <c r="I50" s="154">
        <f t="shared" ref="I50:I52" si="9">ROUND(F50*$E$57*-$F$64,0)</f>
        <v>0</v>
      </c>
    </row>
    <row r="51" spans="1:11">
      <c r="A51" s="147">
        <f>'ADJ SUMMARY'!A50</f>
        <v>4.01</v>
      </c>
      <c r="B51" s="148" t="str">
        <f>'ADJ SUMMARY'!C50</f>
        <v>Provisional Capital Additions to 12.31.2025 AMA</v>
      </c>
      <c r="C51" s="149"/>
      <c r="D51" s="149"/>
      <c r="F51" s="154">
        <f>'ADJ SUMMARY'!E50</f>
        <v>3203.9000000000015</v>
      </c>
      <c r="G51" s="160">
        <f t="shared" si="8"/>
        <v>3203.9000000000015</v>
      </c>
      <c r="H51" s="160"/>
      <c r="I51" s="154">
        <f t="shared" si="9"/>
        <v>-17</v>
      </c>
    </row>
    <row r="52" spans="1:11">
      <c r="A52" s="147">
        <f>'ADJ SUMMARY'!A51</f>
        <v>4.0199999999999996</v>
      </c>
      <c r="B52" s="148" t="str">
        <f>'ADJ SUMMARY'!C51</f>
        <v>2024-2025 Capital Adds O&amp;M &amp; Revenue Offsets</v>
      </c>
      <c r="C52" s="149"/>
      <c r="D52" s="149"/>
      <c r="F52" s="154">
        <f>'ADJ SUMMARY'!E51</f>
        <v>0</v>
      </c>
      <c r="G52" s="160">
        <f t="shared" si="8"/>
        <v>0</v>
      </c>
      <c r="H52" s="160"/>
      <c r="I52" s="154">
        <f t="shared" si="9"/>
        <v>0</v>
      </c>
    </row>
    <row r="53" spans="1:11">
      <c r="B53" s="155"/>
      <c r="C53" s="149"/>
      <c r="D53" s="149"/>
      <c r="E53" s="336">
        <f>SUM(E11:E52)</f>
        <v>533429.39999999991</v>
      </c>
      <c r="F53" s="336">
        <f>SUM(F11:F52)</f>
        <v>52654.8</v>
      </c>
      <c r="G53" s="336">
        <f>SUM(G11:G52)</f>
        <v>586084.19999999995</v>
      </c>
      <c r="H53" s="161"/>
      <c r="I53" s="336">
        <f>SUM(I11:I52)</f>
        <v>-226.99000000000024</v>
      </c>
      <c r="J53" s="544">
        <f>G53-'ADJ SUMMARY'!E53</f>
        <v>0</v>
      </c>
      <c r="K53" s="543" t="s">
        <v>635</v>
      </c>
    </row>
    <row r="54" spans="1:11">
      <c r="B54" s="155"/>
      <c r="C54" s="149"/>
      <c r="D54" s="149"/>
      <c r="E54" s="161"/>
      <c r="F54" s="162"/>
      <c r="G54" s="163"/>
      <c r="H54" s="160"/>
      <c r="I54" s="160"/>
    </row>
    <row r="55" spans="1:11">
      <c r="B55" s="155"/>
      <c r="C55" s="149"/>
      <c r="D55" s="149"/>
      <c r="E55" s="161"/>
      <c r="F55" s="162"/>
      <c r="G55" s="163"/>
      <c r="H55" s="160"/>
      <c r="I55" s="160"/>
    </row>
    <row r="56" spans="1:11">
      <c r="C56" s="149"/>
      <c r="D56" s="149"/>
      <c r="E56" s="161"/>
      <c r="F56" s="161"/>
      <c r="G56" s="161"/>
      <c r="H56" s="160"/>
      <c r="I56" s="160"/>
    </row>
    <row r="57" spans="1:11">
      <c r="B57" s="148" t="s">
        <v>121</v>
      </c>
      <c r="C57" s="149"/>
      <c r="D57" s="149"/>
      <c r="E57" s="169">
        <f>'RR SUMMARY'!Q14</f>
        <v>2.5700000000000001E-2</v>
      </c>
      <c r="F57" s="169">
        <f>E57-I57</f>
        <v>2.5700000000000001E-2</v>
      </c>
      <c r="G57" s="169"/>
      <c r="H57" s="168"/>
      <c r="I57" s="169"/>
    </row>
    <row r="58" spans="1:11">
      <c r="C58" s="149"/>
      <c r="D58" s="149"/>
      <c r="E58" s="161"/>
      <c r="F58" s="161"/>
      <c r="G58" s="161"/>
      <c r="H58" s="160"/>
      <c r="I58" s="160"/>
    </row>
    <row r="59" spans="1:11">
      <c r="B59" s="148" t="s">
        <v>117</v>
      </c>
      <c r="C59" s="149"/>
      <c r="D59" s="149"/>
      <c r="E59" s="161">
        <f>E53*E57</f>
        <v>13709.135579999998</v>
      </c>
      <c r="F59" s="161">
        <f>F53*F57</f>
        <v>1353.2283600000001</v>
      </c>
      <c r="G59" s="161">
        <f>SUM(E59:F59)</f>
        <v>15062.363939999999</v>
      </c>
      <c r="H59" s="160"/>
      <c r="I59" s="161">
        <f>SUM(I11:I52)</f>
        <v>-226.99000000000024</v>
      </c>
    </row>
    <row r="60" spans="1:11">
      <c r="C60" s="149"/>
      <c r="D60" s="149"/>
      <c r="E60" s="161"/>
      <c r="F60" s="161"/>
      <c r="G60" s="161"/>
      <c r="H60" s="160"/>
      <c r="I60" s="161"/>
    </row>
    <row r="61" spans="1:11">
      <c r="B61" s="148" t="s">
        <v>201</v>
      </c>
      <c r="C61" s="149"/>
      <c r="D61" s="412" t="s">
        <v>524</v>
      </c>
      <c r="E61" s="542">
        <v>13981</v>
      </c>
      <c r="F61" s="165"/>
      <c r="G61" s="164">
        <f>SUM(E61:F61)</f>
        <v>13981</v>
      </c>
      <c r="H61" s="160"/>
      <c r="I61" s="205"/>
    </row>
    <row r="62" spans="1:11">
      <c r="C62" s="149"/>
      <c r="D62" s="149"/>
      <c r="E62" s="161"/>
      <c r="F62" s="161"/>
      <c r="G62" s="161"/>
      <c r="H62" s="160"/>
      <c r="I62" s="206"/>
    </row>
    <row r="63" spans="1:11">
      <c r="B63" s="148" t="s">
        <v>118</v>
      </c>
      <c r="C63" s="149"/>
      <c r="D63" s="149"/>
      <c r="E63" s="161">
        <f>E59-E61</f>
        <v>-271.8644200000017</v>
      </c>
      <c r="F63" s="161">
        <f>F59-F61</f>
        <v>1353.2283600000001</v>
      </c>
      <c r="G63" s="161">
        <f>SUM(E63:F63)</f>
        <v>1081.3639399999984</v>
      </c>
      <c r="H63" s="160"/>
      <c r="I63" s="206"/>
    </row>
    <row r="64" spans="1:11">
      <c r="B64" s="148" t="s">
        <v>119</v>
      </c>
      <c r="D64" s="149"/>
      <c r="E64" s="167">
        <v>0.21</v>
      </c>
      <c r="F64" s="167">
        <v>0.21</v>
      </c>
      <c r="G64" s="167"/>
      <c r="H64" s="168"/>
      <c r="I64" s="167"/>
    </row>
    <row r="65" spans="2:10" ht="13.5" thickBot="1">
      <c r="D65" s="149"/>
      <c r="E65" s="161"/>
      <c r="F65" s="161"/>
      <c r="G65" s="161"/>
      <c r="H65" s="160"/>
      <c r="I65" s="161"/>
    </row>
    <row r="66" spans="2:10" ht="13.5" thickBot="1">
      <c r="B66" s="148" t="s">
        <v>120</v>
      </c>
      <c r="D66" s="149"/>
      <c r="E66" s="211">
        <f>ROUND(E63*-E64,0)</f>
        <v>57</v>
      </c>
      <c r="F66" s="166">
        <f>ROUND(F63*-F64,0)</f>
        <v>-284</v>
      </c>
      <c r="G66" s="166">
        <f>SUM(E66:F66)</f>
        <v>-227</v>
      </c>
      <c r="H66" s="160"/>
      <c r="I66" s="166">
        <f>I59</f>
        <v>-226.99000000000024</v>
      </c>
      <c r="J66" s="332" t="s">
        <v>379</v>
      </c>
    </row>
    <row r="67" spans="2:10">
      <c r="E67" s="413">
        <f>'ADJ DETAIL INPUT'!V10</f>
        <v>2.139999999999997</v>
      </c>
      <c r="F67" s="156"/>
      <c r="J67" s="540">
        <f>I66-'ADJ DETAIL INPUT'!V53-'ADJ DETAIL INPUT'!AW54</f>
        <v>0.18795559999978195</v>
      </c>
    </row>
    <row r="68" spans="2:10" ht="13.5" thickBot="1">
      <c r="E68" s="414" t="s">
        <v>19</v>
      </c>
    </row>
  </sheetData>
  <mergeCells count="6">
    <mergeCell ref="E7:G7"/>
    <mergeCell ref="A1:H1"/>
    <mergeCell ref="A2:H2"/>
    <mergeCell ref="A3:H3"/>
    <mergeCell ref="A4:H4"/>
    <mergeCell ref="A5:H5"/>
  </mergeCells>
  <printOptions horizontalCentered="1"/>
  <pageMargins left="0.75" right="0.75" top="0.5" bottom="0.5" header="0.5" footer="0.25"/>
  <pageSetup scale="86" orientation="portrait" r:id="rId1"/>
  <headerFooter alignWithMargins="0">
    <oddFooter>&amp;RPage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780B-0966-460E-8304-D3B68DBB8D0B}">
  <dimension ref="A1:AV46"/>
  <sheetViews>
    <sheetView workbookViewId="0"/>
  </sheetViews>
  <sheetFormatPr defaultRowHeight="12.75" outlineLevelCol="1"/>
  <cols>
    <col min="1" max="1" width="38.140625" style="2201" customWidth="1"/>
    <col min="2" max="2" width="15.85546875" style="2201" customWidth="1" outlineLevel="1"/>
    <col min="3" max="3" width="14.42578125" style="2201" customWidth="1"/>
    <col min="4" max="4" width="1" style="2201" customWidth="1"/>
    <col min="5" max="5" width="17.42578125" style="2201" customWidth="1" outlineLevel="1"/>
    <col min="6" max="6" width="1.140625" style="2201" customWidth="1"/>
    <col min="7" max="7" width="14.42578125" style="2201" customWidth="1" outlineLevel="1"/>
    <col min="8" max="8" width="17.7109375" style="2201" customWidth="1" outlineLevel="1"/>
    <col min="9" max="9" width="14.42578125" style="2201" customWidth="1" outlineLevel="1"/>
    <col min="10" max="10" width="14.42578125" style="2201" customWidth="1"/>
    <col min="11" max="11" width="1" style="2201" customWidth="1" outlineLevel="1"/>
    <col min="12" max="12" width="17.42578125" style="2201" customWidth="1" outlineLevel="1"/>
    <col min="13" max="13" width="1.140625" style="2201" customWidth="1"/>
    <col min="14" max="16" width="15.140625" style="2201" customWidth="1" outlineLevel="1"/>
    <col min="17" max="17" width="19.140625" style="2201" customWidth="1"/>
    <col min="18" max="18" width="1" style="2201" customWidth="1"/>
    <col min="19" max="19" width="14.42578125" style="2201" customWidth="1" outlineLevel="1"/>
    <col min="20" max="20" width="17.7109375" style="2201" customWidth="1" outlineLevel="1"/>
    <col min="21" max="21" width="14.42578125" style="2201" customWidth="1" outlineLevel="1"/>
    <col min="22" max="22" width="14.42578125" style="2201" customWidth="1"/>
    <col min="23" max="23" width="1.140625" style="2201" customWidth="1" outlineLevel="1"/>
    <col min="24" max="24" width="17.42578125" style="2201" customWidth="1" outlineLevel="1"/>
    <col min="25" max="25" width="1.140625" style="2201" customWidth="1"/>
    <col min="26" max="26" width="14.42578125" style="2201" customWidth="1" outlineLevel="1"/>
    <col min="27" max="27" width="17.7109375" style="2201" customWidth="1" outlineLevel="1"/>
    <col min="28" max="28" width="14.42578125" style="2201" customWidth="1" outlineLevel="1"/>
    <col min="29" max="29" width="17.42578125" style="2201" customWidth="1"/>
    <col min="30" max="30" width="2.28515625" style="2201" customWidth="1"/>
    <col min="31" max="31" width="17.42578125" style="2201" customWidth="1" outlineLevel="1"/>
    <col min="32" max="32" width="2.28515625" style="2201" customWidth="1"/>
    <col min="33" max="33" width="14.42578125" style="2201" customWidth="1" outlineLevel="1"/>
    <col min="34" max="34" width="17.7109375" style="2201" customWidth="1" outlineLevel="1"/>
    <col min="35" max="35" width="14.42578125" style="2201" customWidth="1" outlineLevel="1"/>
    <col min="36" max="36" width="17.42578125" style="2201" customWidth="1"/>
    <col min="37" max="37" width="2.28515625" style="2201" customWidth="1"/>
    <col min="38" max="38" width="17.42578125" style="2201" customWidth="1" outlineLevel="1"/>
    <col min="39" max="39" width="2.28515625" style="2201" customWidth="1"/>
    <col min="40" max="40" width="10" style="2201" customWidth="1"/>
    <col min="41" max="41" width="8.5703125" style="2201" customWidth="1"/>
    <col min="42" max="48" width="8.85546875" style="2201"/>
  </cols>
  <sheetData>
    <row r="1" spans="1:48">
      <c r="A1" s="2265" t="s">
        <v>1834</v>
      </c>
      <c r="B1" s="2201" t="s">
        <v>1833</v>
      </c>
      <c r="E1" s="2254" t="s">
        <v>1835</v>
      </c>
      <c r="G1" s="2262"/>
      <c r="H1" s="2262"/>
      <c r="I1" s="2262"/>
      <c r="J1" s="2262"/>
      <c r="L1" s="2262"/>
      <c r="Q1" s="2262"/>
      <c r="S1" s="2262"/>
      <c r="T1" s="2262"/>
      <c r="U1" s="2262"/>
      <c r="V1" s="2262"/>
      <c r="X1" s="2262"/>
      <c r="Z1" s="2262"/>
      <c r="AA1" s="2262"/>
      <c r="AB1" s="2262"/>
      <c r="AC1" s="2262"/>
      <c r="AE1" s="2262"/>
      <c r="AG1" s="2262"/>
      <c r="AH1" s="2262"/>
      <c r="AI1" s="2262"/>
      <c r="AJ1" s="2262"/>
      <c r="AL1" s="2262"/>
    </row>
    <row r="2" spans="1:48">
      <c r="A2" s="2254" t="s">
        <v>1832</v>
      </c>
      <c r="B2" s="2264">
        <v>0.21</v>
      </c>
      <c r="G2" s="2262"/>
      <c r="H2" s="2262"/>
      <c r="I2" s="2262"/>
      <c r="J2" s="2262"/>
      <c r="L2" s="2262"/>
      <c r="Q2" s="2262"/>
      <c r="S2" s="2262"/>
      <c r="T2" s="2262"/>
      <c r="U2" s="2262"/>
      <c r="V2" s="2262"/>
      <c r="X2" s="2262"/>
      <c r="Z2" s="2262"/>
      <c r="AA2" s="2262"/>
      <c r="AB2" s="2262"/>
      <c r="AC2" s="2262"/>
      <c r="AE2" s="2262"/>
      <c r="AG2" s="2262"/>
      <c r="AH2" s="2262"/>
      <c r="AI2" s="2262"/>
      <c r="AJ2" s="2262"/>
      <c r="AL2" s="2262"/>
    </row>
    <row r="3" spans="1:48" ht="13.5" thickBot="1">
      <c r="A3" s="2263" t="s">
        <v>1831</v>
      </c>
      <c r="G3" s="2262"/>
      <c r="H3" s="2262"/>
      <c r="I3" s="2262"/>
      <c r="J3" s="2262"/>
      <c r="L3" s="2262"/>
      <c r="Q3" s="2262"/>
      <c r="S3" s="2262"/>
      <c r="T3" s="2262"/>
      <c r="U3" s="2262"/>
      <c r="V3" s="2262"/>
      <c r="X3" s="2262"/>
      <c r="Z3" s="2262"/>
      <c r="AA3" s="2262"/>
      <c r="AB3" s="2262"/>
      <c r="AC3" s="2262"/>
      <c r="AE3" s="2262"/>
      <c r="AG3" s="2262"/>
      <c r="AH3" s="2262"/>
      <c r="AI3" s="2262"/>
      <c r="AJ3" s="2262"/>
      <c r="AL3" s="2262"/>
    </row>
    <row r="4" spans="1:48" ht="13.5" thickBot="1">
      <c r="B4" s="3853" t="s">
        <v>1830</v>
      </c>
      <c r="C4" s="3854"/>
      <c r="E4" s="2261" t="s">
        <v>1824</v>
      </c>
      <c r="G4" s="3850" t="s">
        <v>1829</v>
      </c>
      <c r="H4" s="3851"/>
      <c r="I4" s="3851"/>
      <c r="J4" s="3852"/>
      <c r="L4" s="2260" t="s">
        <v>1824</v>
      </c>
      <c r="N4" s="3850" t="s">
        <v>1828</v>
      </c>
      <c r="O4" s="3851"/>
      <c r="P4" s="3851"/>
      <c r="Q4" s="3852"/>
      <c r="S4" s="3850" t="s">
        <v>1827</v>
      </c>
      <c r="T4" s="3851"/>
      <c r="U4" s="3851"/>
      <c r="V4" s="3852"/>
      <c r="X4" s="2260" t="s">
        <v>1824</v>
      </c>
      <c r="Z4" s="3850" t="s">
        <v>1826</v>
      </c>
      <c r="AA4" s="3851"/>
      <c r="AB4" s="3851"/>
      <c r="AC4" s="3852"/>
      <c r="AE4" s="2260" t="s">
        <v>1824</v>
      </c>
      <c r="AG4" s="3850" t="s">
        <v>1825</v>
      </c>
      <c r="AH4" s="3851"/>
      <c r="AI4" s="3851"/>
      <c r="AJ4" s="3852"/>
      <c r="AL4" s="2260" t="s">
        <v>1824</v>
      </c>
    </row>
    <row r="5" spans="1:48">
      <c r="A5" s="2254"/>
      <c r="B5" s="2253"/>
      <c r="C5" s="2253"/>
      <c r="E5" s="2253"/>
      <c r="G5" s="2251"/>
      <c r="H5" s="2251"/>
      <c r="I5" s="2251"/>
      <c r="J5" s="2253"/>
      <c r="L5" s="2251"/>
      <c r="Q5" s="2253"/>
      <c r="S5" s="2251"/>
      <c r="T5" s="2251"/>
      <c r="U5" s="2251"/>
      <c r="V5" s="2253"/>
      <c r="X5" s="2251"/>
      <c r="Z5" s="2251"/>
      <c r="AA5" s="2251"/>
      <c r="AB5" s="2251"/>
      <c r="AC5" s="2253"/>
      <c r="AE5" s="2251"/>
      <c r="AG5" s="2251"/>
      <c r="AH5" s="2251"/>
      <c r="AI5" s="2251"/>
      <c r="AJ5" s="2253"/>
      <c r="AL5" s="2251"/>
    </row>
    <row r="6" spans="1:48">
      <c r="A6" s="2258" t="s">
        <v>1823</v>
      </c>
      <c r="B6" s="2229"/>
      <c r="C6" s="2257">
        <v>2.15</v>
      </c>
      <c r="D6" s="2249"/>
      <c r="E6" s="2229"/>
      <c r="F6" s="2249"/>
      <c r="G6" s="2216"/>
      <c r="H6" s="2216"/>
      <c r="I6" s="2216"/>
      <c r="J6" s="2257">
        <v>3.15</v>
      </c>
      <c r="K6" s="2249"/>
      <c r="L6" s="2216"/>
      <c r="M6" s="2249"/>
      <c r="N6" s="2249"/>
      <c r="O6" s="2249"/>
      <c r="P6" s="2249"/>
      <c r="Q6" s="2257">
        <v>3.16</v>
      </c>
      <c r="R6" s="2249"/>
      <c r="S6" s="2216"/>
      <c r="T6" s="2216"/>
      <c r="U6" s="2216"/>
      <c r="V6" s="2259">
        <v>3.17</v>
      </c>
      <c r="W6" s="2249"/>
      <c r="X6" s="2216"/>
      <c r="Y6" s="2249"/>
      <c r="Z6" s="2216"/>
      <c r="AA6" s="2216"/>
      <c r="AB6" s="2216"/>
      <c r="AC6" s="2255">
        <v>4.01</v>
      </c>
      <c r="AD6" s="2249"/>
      <c r="AE6" s="2216"/>
      <c r="AF6" s="2249"/>
      <c r="AG6" s="2216"/>
      <c r="AH6" s="2216"/>
      <c r="AI6" s="2216"/>
      <c r="AJ6" s="2255">
        <v>5.07</v>
      </c>
      <c r="AK6" s="2249"/>
      <c r="AL6" s="2216"/>
      <c r="AM6" s="2249"/>
      <c r="AN6" s="2249"/>
      <c r="AO6" s="2249"/>
      <c r="AP6" s="2249"/>
      <c r="AQ6" s="2249"/>
      <c r="AR6" s="2249"/>
      <c r="AS6" s="2249"/>
      <c r="AT6" s="2249"/>
      <c r="AU6" s="2249"/>
      <c r="AV6" s="2249"/>
    </row>
    <row r="7" spans="1:48">
      <c r="A7" s="2258" t="s">
        <v>1822</v>
      </c>
      <c r="B7" s="2249"/>
      <c r="C7" s="2257" t="s">
        <v>628</v>
      </c>
      <c r="D7" s="2249"/>
      <c r="E7" s="2229"/>
      <c r="F7" s="2249"/>
      <c r="G7" s="2256"/>
      <c r="H7" s="2251" t="s">
        <v>14</v>
      </c>
      <c r="I7" s="2251" t="s">
        <v>14</v>
      </c>
      <c r="J7" s="2257" t="s">
        <v>630</v>
      </c>
      <c r="K7" s="2249"/>
      <c r="L7" s="2216"/>
      <c r="M7" s="2249"/>
      <c r="N7" s="2249"/>
      <c r="O7" s="2249"/>
      <c r="P7" s="2249"/>
      <c r="Q7" s="2257" t="s">
        <v>607</v>
      </c>
      <c r="R7" s="2249"/>
      <c r="S7" s="2256"/>
      <c r="T7" s="2251" t="s">
        <v>14</v>
      </c>
      <c r="U7" s="2251" t="s">
        <v>14</v>
      </c>
      <c r="V7" s="2255" t="s">
        <v>632</v>
      </c>
      <c r="W7" s="2249"/>
      <c r="X7" s="2216"/>
      <c r="Y7" s="2249"/>
      <c r="Z7" s="2256"/>
      <c r="AA7" s="2251" t="s">
        <v>609</v>
      </c>
      <c r="AB7" s="2251" t="s">
        <v>609</v>
      </c>
      <c r="AC7" s="2255" t="s">
        <v>611</v>
      </c>
      <c r="AD7" s="2249"/>
      <c r="AE7" s="2216"/>
      <c r="AF7" s="2249"/>
      <c r="AG7" s="2256"/>
      <c r="AH7" s="2251" t="s">
        <v>609</v>
      </c>
      <c r="AI7" s="2251" t="s">
        <v>609</v>
      </c>
      <c r="AJ7" s="2255" t="s">
        <v>616</v>
      </c>
      <c r="AK7" s="2249"/>
      <c r="AL7" s="2216"/>
      <c r="AM7" s="2249"/>
      <c r="AN7" s="2249"/>
      <c r="AO7" s="2249"/>
      <c r="AP7" s="2249"/>
      <c r="AQ7" s="2249"/>
      <c r="AR7" s="2249"/>
      <c r="AS7" s="2249"/>
      <c r="AT7" s="2249"/>
      <c r="AU7" s="2249"/>
      <c r="AV7" s="2249"/>
    </row>
    <row r="8" spans="1:48">
      <c r="A8" s="2254"/>
      <c r="B8" s="2253" t="s">
        <v>663</v>
      </c>
      <c r="C8" s="2250" t="s">
        <v>1813</v>
      </c>
      <c r="D8" s="2249"/>
      <c r="E8" s="2253" t="s">
        <v>1821</v>
      </c>
      <c r="F8" s="2249"/>
      <c r="G8" s="2252" t="s">
        <v>1816</v>
      </c>
      <c r="H8" s="2251">
        <v>2023</v>
      </c>
      <c r="I8" s="2251">
        <v>2023</v>
      </c>
      <c r="J8" s="2250" t="s">
        <v>1820</v>
      </c>
      <c r="K8" s="2249"/>
      <c r="L8" s="2241" t="s">
        <v>1818</v>
      </c>
      <c r="M8" s="2249"/>
      <c r="N8" s="2252" t="s">
        <v>1816</v>
      </c>
      <c r="O8" s="2251"/>
      <c r="P8" s="2251"/>
      <c r="Q8" s="2250">
        <v>12.202299999999999</v>
      </c>
      <c r="R8" s="2249"/>
      <c r="S8" s="2252" t="s">
        <v>1816</v>
      </c>
      <c r="T8" s="2251">
        <v>2024</v>
      </c>
      <c r="U8" s="2251">
        <v>2024</v>
      </c>
      <c r="V8" s="2250" t="s">
        <v>1819</v>
      </c>
      <c r="W8" s="2249"/>
      <c r="X8" s="2241" t="s">
        <v>1818</v>
      </c>
      <c r="Y8" s="2249"/>
      <c r="Z8" s="2252" t="s">
        <v>1816</v>
      </c>
      <c r="AA8" s="2251">
        <v>2025</v>
      </c>
      <c r="AB8" s="2251">
        <v>2025</v>
      </c>
      <c r="AC8" s="2250" t="s">
        <v>1817</v>
      </c>
      <c r="AD8" s="2249"/>
      <c r="AE8" s="2241" t="s">
        <v>1814</v>
      </c>
      <c r="AF8" s="2249"/>
      <c r="AG8" s="2252" t="s">
        <v>1816</v>
      </c>
      <c r="AH8" s="2251">
        <v>2026</v>
      </c>
      <c r="AI8" s="2251">
        <v>2026</v>
      </c>
      <c r="AJ8" s="2250" t="s">
        <v>1815</v>
      </c>
      <c r="AK8" s="2249"/>
      <c r="AL8" s="2241" t="s">
        <v>1814</v>
      </c>
      <c r="AM8" s="2249"/>
      <c r="AN8" s="2241" t="s">
        <v>24</v>
      </c>
      <c r="AO8" s="2241" t="s">
        <v>24</v>
      </c>
      <c r="AP8" s="2249"/>
      <c r="AQ8" s="2249"/>
      <c r="AR8" s="2249"/>
      <c r="AS8" s="2249"/>
      <c r="AT8" s="2249"/>
      <c r="AU8" s="2249"/>
      <c r="AV8" s="2249"/>
    </row>
    <row r="9" spans="1:48" ht="39" thickBot="1">
      <c r="A9" s="2248"/>
      <c r="B9" s="2247" t="s">
        <v>1813</v>
      </c>
      <c r="C9" s="2245" t="s">
        <v>19</v>
      </c>
      <c r="D9" s="2236"/>
      <c r="E9" s="2247" t="s">
        <v>1813</v>
      </c>
      <c r="F9" s="2236"/>
      <c r="G9" s="2244" t="s">
        <v>1812</v>
      </c>
      <c r="H9" s="2244" t="s">
        <v>1804</v>
      </c>
      <c r="I9" s="2244" t="s">
        <v>1803</v>
      </c>
      <c r="J9" s="2245" t="s">
        <v>19</v>
      </c>
      <c r="K9" s="2236"/>
      <c r="L9" s="2242" t="s">
        <v>1811</v>
      </c>
      <c r="M9" s="2236"/>
      <c r="N9" s="2244" t="s">
        <v>1806</v>
      </c>
      <c r="O9" s="2246" t="s">
        <v>1803</v>
      </c>
      <c r="P9" s="2244" t="s">
        <v>1810</v>
      </c>
      <c r="Q9" s="2245" t="s">
        <v>1809</v>
      </c>
      <c r="R9" s="2236"/>
      <c r="S9" s="2244" t="s">
        <v>1806</v>
      </c>
      <c r="T9" s="2244" t="s">
        <v>1804</v>
      </c>
      <c r="U9" s="2244" t="s">
        <v>1803</v>
      </c>
      <c r="V9" s="2243" t="s">
        <v>19</v>
      </c>
      <c r="W9" s="2236"/>
      <c r="X9" s="2242" t="s">
        <v>1808</v>
      </c>
      <c r="Y9" s="2236"/>
      <c r="Z9" s="2244" t="s">
        <v>1806</v>
      </c>
      <c r="AA9" s="2244" t="s">
        <v>1804</v>
      </c>
      <c r="AB9" s="2244" t="s">
        <v>1803</v>
      </c>
      <c r="AC9" s="2243" t="s">
        <v>19</v>
      </c>
      <c r="AD9" s="2236"/>
      <c r="AE9" s="2242" t="s">
        <v>1807</v>
      </c>
      <c r="AF9" s="2236"/>
      <c r="AG9" s="2244" t="s">
        <v>1806</v>
      </c>
      <c r="AH9" s="2244" t="s">
        <v>1804</v>
      </c>
      <c r="AI9" s="2244" t="s">
        <v>1803</v>
      </c>
      <c r="AJ9" s="2243" t="s">
        <v>19</v>
      </c>
      <c r="AK9" s="2236"/>
      <c r="AL9" s="2242" t="s">
        <v>1805</v>
      </c>
      <c r="AM9" s="2236"/>
      <c r="AN9" s="2241" t="s">
        <v>1804</v>
      </c>
      <c r="AO9" s="2241" t="s">
        <v>1803</v>
      </c>
      <c r="AP9" s="2236"/>
      <c r="AQ9" s="2236"/>
      <c r="AR9" s="2236"/>
      <c r="AS9" s="2236"/>
      <c r="AT9" s="2236"/>
      <c r="AU9" s="2236"/>
      <c r="AV9" s="2236"/>
    </row>
    <row r="10" spans="1:48">
      <c r="A10" s="2240" t="s">
        <v>1802</v>
      </c>
      <c r="B10" s="2239"/>
      <c r="C10" s="2237"/>
      <c r="D10" s="2236"/>
      <c r="E10" s="2238"/>
      <c r="F10" s="2236"/>
      <c r="G10" s="2236"/>
      <c r="H10" s="2236"/>
      <c r="I10" s="2236"/>
      <c r="J10" s="2237"/>
      <c r="K10" s="2236"/>
      <c r="L10" s="2236"/>
      <c r="M10" s="2236"/>
      <c r="N10" s="2236"/>
      <c r="O10" s="2236"/>
      <c r="P10" s="2236"/>
      <c r="Q10" s="2237"/>
      <c r="R10" s="2236"/>
      <c r="S10" s="2236"/>
      <c r="T10" s="2236"/>
      <c r="U10" s="2236"/>
      <c r="V10" s="2237"/>
      <c r="W10" s="2236"/>
      <c r="X10" s="2236"/>
      <c r="Y10" s="2236"/>
      <c r="Z10" s="2236"/>
      <c r="AA10" s="2236"/>
      <c r="AB10" s="2236"/>
      <c r="AC10" s="2237"/>
      <c r="AD10" s="2236"/>
      <c r="AE10" s="2236"/>
      <c r="AF10" s="2236"/>
      <c r="AG10" s="2236"/>
      <c r="AH10" s="2236"/>
      <c r="AI10" s="2236"/>
      <c r="AJ10" s="2237"/>
      <c r="AK10" s="2236"/>
      <c r="AL10" s="2236"/>
      <c r="AM10" s="2236"/>
      <c r="AN10" s="2236"/>
      <c r="AO10" s="2236"/>
      <c r="AP10" s="2236"/>
      <c r="AQ10" s="2236"/>
      <c r="AR10" s="2236"/>
      <c r="AS10" s="2236"/>
      <c r="AT10" s="2236"/>
      <c r="AU10" s="2236"/>
      <c r="AV10" s="2236"/>
    </row>
    <row r="11" spans="1:48">
      <c r="A11" s="2208" t="s">
        <v>672</v>
      </c>
      <c r="B11" s="2205">
        <v>7658.6916500000007</v>
      </c>
      <c r="C11" s="2223">
        <f>+E11-B11</f>
        <v>0</v>
      </c>
      <c r="E11" s="2225">
        <v>7658.6916500000007</v>
      </c>
      <c r="G11" s="2205">
        <v>430.78370095954278</v>
      </c>
      <c r="H11" s="2205">
        <v>-180</v>
      </c>
      <c r="I11" s="2205">
        <v>229</v>
      </c>
      <c r="J11" s="2223">
        <f>SUM(G11:I11)</f>
        <v>479.78370095954278</v>
      </c>
      <c r="L11" s="2222">
        <f>SUM(E11,J11)</f>
        <v>8138.475350959543</v>
      </c>
      <c r="N11" s="2205">
        <v>0</v>
      </c>
      <c r="O11" s="2205">
        <v>0</v>
      </c>
      <c r="P11" s="2205">
        <v>0</v>
      </c>
      <c r="Q11" s="2223">
        <f>SUM(N11:P11)</f>
        <v>0</v>
      </c>
      <c r="S11" s="2205">
        <v>169.37348957390705</v>
      </c>
      <c r="T11" s="2205">
        <v>-780</v>
      </c>
      <c r="U11" s="2205">
        <v>1351</v>
      </c>
      <c r="V11" s="2223">
        <f>SUM(S11:U11)</f>
        <v>740.37348957390702</v>
      </c>
      <c r="X11" s="2222">
        <f>SUM(L11,Q11,V11)</f>
        <v>8878.8488405334501</v>
      </c>
      <c r="Z11" s="2226">
        <v>0</v>
      </c>
      <c r="AA11" s="2205">
        <v>-817</v>
      </c>
      <c r="AB11" s="2205">
        <v>1587</v>
      </c>
      <c r="AC11" s="2223">
        <f>SUM(Z11:AB11)</f>
        <v>770</v>
      </c>
      <c r="AE11" s="2222">
        <f>SUM(X11,AC11)</f>
        <v>9648.8488405334501</v>
      </c>
      <c r="AG11" s="2226">
        <v>0</v>
      </c>
      <c r="AH11" s="2205">
        <v>-624</v>
      </c>
      <c r="AI11" s="2205">
        <v>1172</v>
      </c>
      <c r="AJ11" s="2223">
        <f>SUM(AG11:AI11)</f>
        <v>548</v>
      </c>
      <c r="AL11" s="2222">
        <f>SUM(AE11,AJ11)</f>
        <v>10196.84884053345</v>
      </c>
      <c r="AN11" s="2225">
        <f>+AH11+AA11+T11+H11</f>
        <v>-2401</v>
      </c>
      <c r="AO11" s="2225">
        <f>AI11+AB11+U11+I11</f>
        <v>4339</v>
      </c>
    </row>
    <row r="12" spans="1:48">
      <c r="A12" s="2208" t="s">
        <v>1788</v>
      </c>
      <c r="B12" s="2205">
        <v>511.82413000000003</v>
      </c>
      <c r="C12" s="2223">
        <f>+E12-B12</f>
        <v>0</v>
      </c>
      <c r="E12" s="2225">
        <v>511.82413000000003</v>
      </c>
      <c r="G12" s="2205">
        <v>8.3258642598565089</v>
      </c>
      <c r="H12" s="2205">
        <v>0</v>
      </c>
      <c r="I12" s="2205">
        <v>4</v>
      </c>
      <c r="J12" s="2223">
        <f>SUM(G12:I12)</f>
        <v>12.325864259856509</v>
      </c>
      <c r="L12" s="2222">
        <f>SUM(E12,J12)</f>
        <v>524.1499942598565</v>
      </c>
      <c r="N12" s="2205">
        <v>-6.8036179775199708</v>
      </c>
      <c r="O12" s="2205">
        <v>0</v>
      </c>
      <c r="P12" s="2205">
        <v>0</v>
      </c>
      <c r="Q12" s="2223">
        <f>SUM(N12:P12)</f>
        <v>-6.8036179775199708</v>
      </c>
      <c r="S12" s="2205">
        <v>2.8846984648565068</v>
      </c>
      <c r="T12" s="2205">
        <v>0</v>
      </c>
      <c r="U12" s="2205">
        <v>24</v>
      </c>
      <c r="V12" s="2223">
        <f>SUM(S12:U12)</f>
        <v>26.884698464856505</v>
      </c>
      <c r="X12" s="2222">
        <f>SUM(L12,Q12,V12)</f>
        <v>544.23107474719302</v>
      </c>
      <c r="Z12" s="2226">
        <v>0</v>
      </c>
      <c r="AA12" s="2205">
        <v>0</v>
      </c>
      <c r="AB12" s="2205">
        <v>22</v>
      </c>
      <c r="AC12" s="2223">
        <f>SUM(Z12:AB12)</f>
        <v>22</v>
      </c>
      <c r="AE12" s="2222">
        <f>SUM(X12,AC12)</f>
        <v>566.23107474719302</v>
      </c>
      <c r="AG12" s="2226">
        <v>0</v>
      </c>
      <c r="AH12" s="2205">
        <v>0</v>
      </c>
      <c r="AI12" s="2205">
        <v>22</v>
      </c>
      <c r="AJ12" s="2223">
        <f>SUM(AG12:AI12)</f>
        <v>22</v>
      </c>
      <c r="AL12" s="2222">
        <f>SUM(AE12,AJ12)</f>
        <v>588.23107474719302</v>
      </c>
      <c r="AN12" s="2225">
        <f>+AH12+AA12+T12+H12</f>
        <v>0</v>
      </c>
      <c r="AO12" s="2225">
        <f>AI12+AB12+U12+I12</f>
        <v>72</v>
      </c>
    </row>
    <row r="13" spans="1:48">
      <c r="A13" s="2208" t="s">
        <v>45</v>
      </c>
      <c r="B13" s="2205">
        <v>16440.377049999999</v>
      </c>
      <c r="C13" s="2223">
        <f>+E13-B13</f>
        <v>0</v>
      </c>
      <c r="E13" s="2225">
        <v>16440.377049999999</v>
      </c>
      <c r="G13" s="2205">
        <v>481.25396456205794</v>
      </c>
      <c r="H13" s="2205">
        <v>-6</v>
      </c>
      <c r="I13" s="2205">
        <v>158</v>
      </c>
      <c r="J13" s="2223">
        <f>SUM(G13:I13)</f>
        <v>633.25396456205794</v>
      </c>
      <c r="L13" s="2222">
        <f>SUM(E13,J13)</f>
        <v>17073.631014562055</v>
      </c>
      <c r="N13" s="2205">
        <v>-429.74413633927622</v>
      </c>
      <c r="O13" s="2205">
        <v>-4</v>
      </c>
      <c r="P13" s="2205">
        <v>0</v>
      </c>
      <c r="Q13" s="2223">
        <f>SUM(N13:P13)</f>
        <v>-433.74413633927622</v>
      </c>
      <c r="S13" s="2205">
        <v>157.64138456205629</v>
      </c>
      <c r="T13" s="2205">
        <v>-28</v>
      </c>
      <c r="U13" s="2205">
        <v>833</v>
      </c>
      <c r="V13" s="2223">
        <f>SUM(S13:U13)</f>
        <v>962.64138456205626</v>
      </c>
      <c r="X13" s="2222">
        <f>SUM(L13,Q13,V13)</f>
        <v>17602.528262784836</v>
      </c>
      <c r="Z13" s="2226">
        <v>0</v>
      </c>
      <c r="AA13" s="2205">
        <v>-31</v>
      </c>
      <c r="AB13" s="2205">
        <v>934</v>
      </c>
      <c r="AC13" s="2223">
        <f>SUM(Z13:AB13)</f>
        <v>903</v>
      </c>
      <c r="AE13" s="2222">
        <f>SUM(X13,AC13)</f>
        <v>18505.528262784836</v>
      </c>
      <c r="AG13" s="2226">
        <v>0</v>
      </c>
      <c r="AH13" s="2205">
        <v>-28</v>
      </c>
      <c r="AI13" s="2205">
        <v>851</v>
      </c>
      <c r="AJ13" s="2223">
        <f>SUM(AG13:AI13)</f>
        <v>823</v>
      </c>
      <c r="AL13" s="2222">
        <f>SUM(AE13,AJ13)</f>
        <v>19328.528262784836</v>
      </c>
      <c r="AN13" s="2225">
        <f>+AH13+AA13+T13+H13</f>
        <v>-93</v>
      </c>
      <c r="AO13" s="2225">
        <f>AI13+AB13+U13+I13</f>
        <v>2776</v>
      </c>
    </row>
    <row r="14" spans="1:48">
      <c r="A14" s="2208" t="s">
        <v>654</v>
      </c>
      <c r="B14" s="2205">
        <v>5143.2857899999999</v>
      </c>
      <c r="C14" s="2223">
        <f>+E14-B14</f>
        <v>0</v>
      </c>
      <c r="E14" s="2225">
        <v>5143.2857899999999</v>
      </c>
      <c r="G14" s="2205">
        <v>97.671243184776841</v>
      </c>
      <c r="H14" s="2205">
        <v>-71</v>
      </c>
      <c r="I14" s="2205">
        <v>118</v>
      </c>
      <c r="J14" s="2223">
        <f>SUM(G14:I14)</f>
        <v>144.67124318477684</v>
      </c>
      <c r="L14" s="2222">
        <f>SUM(E14,J14)</f>
        <v>5287.9570331847772</v>
      </c>
      <c r="N14" s="2205">
        <v>-222.7470185019906</v>
      </c>
      <c r="O14" s="2205">
        <v>0</v>
      </c>
      <c r="P14" s="2205">
        <v>-241</v>
      </c>
      <c r="Q14" s="2223">
        <f>SUM(N14:P14)</f>
        <v>-463.74701850199062</v>
      </c>
      <c r="S14" s="2205">
        <v>81.863251455766616</v>
      </c>
      <c r="T14" s="2205">
        <v>-438</v>
      </c>
      <c r="U14" s="2205">
        <v>583</v>
      </c>
      <c r="V14" s="2223">
        <f>SUM(S14:U14)</f>
        <v>226.8632514557666</v>
      </c>
      <c r="X14" s="2222">
        <f>SUM(L14,Q14,V14)</f>
        <v>5051.0732661385537</v>
      </c>
      <c r="Z14" s="2226">
        <v>0</v>
      </c>
      <c r="AA14" s="2205">
        <v>-105</v>
      </c>
      <c r="AB14" s="2205">
        <v>580</v>
      </c>
      <c r="AC14" s="2223">
        <f>SUM(Z14:AB14)</f>
        <v>475</v>
      </c>
      <c r="AE14" s="2222">
        <f>SUM(X14,AC14)</f>
        <v>5526.0732661385537</v>
      </c>
      <c r="AG14" s="2226">
        <v>0</v>
      </c>
      <c r="AH14" s="2205">
        <v>-179</v>
      </c>
      <c r="AI14" s="2205">
        <v>526</v>
      </c>
      <c r="AJ14" s="2223">
        <f>SUM(AG14:AI14)</f>
        <v>347</v>
      </c>
      <c r="AL14" s="2222">
        <f>SUM(AE14,AJ14)</f>
        <v>5873.0732661385537</v>
      </c>
      <c r="AN14" s="2235">
        <f>+AH14+AA14+T14+H14</f>
        <v>-793</v>
      </c>
      <c r="AO14" s="2235">
        <f>AI14+AB14+U14+I14</f>
        <v>1807</v>
      </c>
    </row>
    <row r="15" spans="1:48">
      <c r="A15" s="2208" t="s">
        <v>1801</v>
      </c>
      <c r="B15" s="2220">
        <f>SUM(B11:B14)</f>
        <v>29754.178619999999</v>
      </c>
      <c r="C15" s="2221">
        <f>SUM(C11:C14)</f>
        <v>0</v>
      </c>
      <c r="D15" s="2209">
        <f>SUM(D11:D14)</f>
        <v>0</v>
      </c>
      <c r="E15" s="2220">
        <f>SUM(E11:E14)</f>
        <v>29754.178619999999</v>
      </c>
      <c r="F15" s="2209"/>
      <c r="G15" s="2220">
        <f>SUM(G11:G14)</f>
        <v>1018.0347729662341</v>
      </c>
      <c r="H15" s="2220">
        <f>SUM(H11:H14)</f>
        <v>-257</v>
      </c>
      <c r="I15" s="2220">
        <f>SUM(I11:I14)</f>
        <v>509</v>
      </c>
      <c r="J15" s="2221">
        <f>SUM(J11:J14)</f>
        <v>1270.034772966234</v>
      </c>
      <c r="K15" s="2209"/>
      <c r="L15" s="2220">
        <f>SUM(L10:L14)</f>
        <v>31024.21339296623</v>
      </c>
      <c r="M15" s="2209"/>
      <c r="N15" s="2220">
        <f>SUM(N10:N14)</f>
        <v>-659.29477281878678</v>
      </c>
      <c r="O15" s="2220">
        <f>SUM(O10:O14)</f>
        <v>-4</v>
      </c>
      <c r="P15" s="2220">
        <f>SUM(P10:P14)</f>
        <v>-241</v>
      </c>
      <c r="Q15" s="2221">
        <f>SUM(Q11:Q14)</f>
        <v>-904.2947728187869</v>
      </c>
      <c r="R15" s="2209"/>
      <c r="S15" s="2220">
        <f>SUM(S11:S14)</f>
        <v>411.76282405658645</v>
      </c>
      <c r="T15" s="2220">
        <f>SUM(T11:T14)</f>
        <v>-1246</v>
      </c>
      <c r="U15" s="2220">
        <f>SUM(U11:U14)</f>
        <v>2791</v>
      </c>
      <c r="V15" s="2221">
        <f>SUM(V11:V14)</f>
        <v>1956.7628240565864</v>
      </c>
      <c r="W15" s="2209"/>
      <c r="X15" s="2220">
        <f>SUM(X10:X14)</f>
        <v>32076.681444204034</v>
      </c>
      <c r="Y15" s="2209"/>
      <c r="Z15" s="2220">
        <f>SUM(Z10:Z14)</f>
        <v>0</v>
      </c>
      <c r="AA15" s="2220">
        <f>SUM(AA11:AA14)</f>
        <v>-953</v>
      </c>
      <c r="AB15" s="2220">
        <f>SUM(AB11:AB14)</f>
        <v>3123</v>
      </c>
      <c r="AC15" s="2221">
        <f>SUM(AC11:AC14)</f>
        <v>2170</v>
      </c>
      <c r="AD15" s="2209"/>
      <c r="AE15" s="2220">
        <f>SUM(AE10:AE14)</f>
        <v>34246.681444204034</v>
      </c>
      <c r="AF15" s="2209"/>
      <c r="AG15" s="2220">
        <f>SUM(AG11:AG14)</f>
        <v>0</v>
      </c>
      <c r="AH15" s="2220">
        <f>SUM(AH11:AH14)</f>
        <v>-831</v>
      </c>
      <c r="AI15" s="2220">
        <f>SUM(AI11:AI14)</f>
        <v>2571</v>
      </c>
      <c r="AJ15" s="2221">
        <f>SUM(AJ11:AJ14)</f>
        <v>1740</v>
      </c>
      <c r="AK15" s="2209"/>
      <c r="AL15" s="2220">
        <f>SUM(AL11:AL14)</f>
        <v>35986.681444204034</v>
      </c>
      <c r="AM15" s="2209"/>
      <c r="AN15" s="2225">
        <f>SUM(AN11:AN14)</f>
        <v>-3287</v>
      </c>
      <c r="AO15" s="2225">
        <f>SUM(AO11:AO14)</f>
        <v>8994</v>
      </c>
    </row>
    <row r="16" spans="1:48">
      <c r="A16" s="2212"/>
      <c r="B16" s="2229" t="s">
        <v>197</v>
      </c>
      <c r="C16" s="2215"/>
      <c r="D16" s="2214"/>
      <c r="E16" s="2229" t="s">
        <v>197</v>
      </c>
      <c r="F16" s="2212"/>
      <c r="G16" s="2234" t="s">
        <v>1791</v>
      </c>
      <c r="H16" s="2216" t="s">
        <v>1790</v>
      </c>
      <c r="I16" s="2216" t="s">
        <v>1782</v>
      </c>
      <c r="J16" s="2215"/>
      <c r="K16" s="2214"/>
      <c r="L16" s="2219"/>
      <c r="M16" s="2212"/>
      <c r="N16" s="2234" t="s">
        <v>1791</v>
      </c>
      <c r="O16" s="2216" t="s">
        <v>1782</v>
      </c>
      <c r="P16" s="2217" t="s">
        <v>1800</v>
      </c>
      <c r="Q16" s="2215"/>
      <c r="R16" s="2212"/>
      <c r="S16" s="2234" t="s">
        <v>1791</v>
      </c>
      <c r="T16" s="2216" t="s">
        <v>1790</v>
      </c>
      <c r="U16" s="2216" t="s">
        <v>1782</v>
      </c>
      <c r="V16" s="2215"/>
      <c r="W16" s="2214"/>
      <c r="X16" s="2213"/>
      <c r="Y16" s="2212"/>
      <c r="Z16" s="2234"/>
      <c r="AA16" s="2216" t="s">
        <v>1790</v>
      </c>
      <c r="AB16" s="2216" t="s">
        <v>1782</v>
      </c>
      <c r="AC16" s="2215"/>
      <c r="AD16" s="2214"/>
      <c r="AE16" s="2219"/>
      <c r="AF16" s="2212"/>
      <c r="AG16" s="2234"/>
      <c r="AH16" s="2216"/>
      <c r="AI16" s="2216"/>
      <c r="AJ16" s="2215"/>
      <c r="AK16" s="2214"/>
      <c r="AL16" s="2213"/>
      <c r="AM16" s="2212"/>
      <c r="AN16" s="2212" t="s">
        <v>1799</v>
      </c>
      <c r="AO16" s="2233">
        <f>+AN15/AO15</f>
        <v>-0.36546586613297755</v>
      </c>
      <c r="AP16" s="2212"/>
      <c r="AQ16" s="2212"/>
      <c r="AR16" s="2212"/>
      <c r="AS16" s="2212"/>
      <c r="AT16" s="2212"/>
      <c r="AU16" s="2212"/>
      <c r="AV16" s="2212"/>
    </row>
    <row r="17" spans="1:48">
      <c r="A17" s="2201" t="s">
        <v>151</v>
      </c>
      <c r="B17" s="2231">
        <f>-B15</f>
        <v>-29754.178619999999</v>
      </c>
      <c r="C17" s="2223">
        <f>+E17-B17</f>
        <v>0</v>
      </c>
      <c r="D17" s="2205"/>
      <c r="E17" s="2231">
        <f>-E15</f>
        <v>-29754.178619999999</v>
      </c>
      <c r="G17" s="2205">
        <f>-G15</f>
        <v>-1018.0347729662341</v>
      </c>
      <c r="H17" s="2205">
        <f>-H15</f>
        <v>257</v>
      </c>
      <c r="I17" s="2205">
        <f>-I15</f>
        <v>-509</v>
      </c>
      <c r="J17" s="2232">
        <f>SUM(G17:I17)</f>
        <v>-1270.034772966234</v>
      </c>
      <c r="K17" s="2205"/>
      <c r="L17" s="2231">
        <f>-L15</f>
        <v>-31024.21339296623</v>
      </c>
      <c r="N17" s="2205">
        <f>-N15</f>
        <v>659.29477281878678</v>
      </c>
      <c r="O17" s="2205">
        <f>-O15</f>
        <v>4</v>
      </c>
      <c r="P17" s="2205">
        <f>-P15</f>
        <v>241</v>
      </c>
      <c r="Q17" s="2232">
        <f>-Q15</f>
        <v>904.2947728187869</v>
      </c>
      <c r="S17" s="2205">
        <f>-S15</f>
        <v>-411.76282405658645</v>
      </c>
      <c r="T17" s="2205">
        <f>-T15</f>
        <v>1246</v>
      </c>
      <c r="U17" s="2205">
        <f>-U15</f>
        <v>-2791</v>
      </c>
      <c r="V17" s="2232">
        <f>SUM(S17:U17)</f>
        <v>-1956.7628240565864</v>
      </c>
      <c r="W17" s="2205"/>
      <c r="X17" s="2205">
        <f>-X15</f>
        <v>-32076.681444204034</v>
      </c>
      <c r="Z17" s="2205">
        <f>-Z15</f>
        <v>0</v>
      </c>
      <c r="AA17" s="2205">
        <f>-AA15</f>
        <v>953</v>
      </c>
      <c r="AB17" s="2205">
        <f>-AB15</f>
        <v>-3123</v>
      </c>
      <c r="AC17" s="2223">
        <f>SUM(Z17:AB17)</f>
        <v>-2170</v>
      </c>
      <c r="AD17" s="2205"/>
      <c r="AE17" s="2231">
        <f>SUM(X17,Q17,AC17)</f>
        <v>-33342.386671385248</v>
      </c>
      <c r="AG17" s="2205">
        <f>-AG15</f>
        <v>0</v>
      </c>
      <c r="AH17" s="2205">
        <f>-AH15</f>
        <v>831</v>
      </c>
      <c r="AI17" s="2205">
        <f>-AI15</f>
        <v>-2571</v>
      </c>
      <c r="AJ17" s="2223">
        <f>SUM(AG17:AI17)</f>
        <v>-1740</v>
      </c>
      <c r="AK17" s="2205"/>
      <c r="AL17" s="2205">
        <f>-AL15</f>
        <v>-35986.681444204034</v>
      </c>
    </row>
    <row r="18" spans="1:48">
      <c r="A18" s="2201" t="s">
        <v>1798</v>
      </c>
      <c r="B18" s="2205">
        <f>(B15)*$B$2</f>
        <v>6248.3775102</v>
      </c>
      <c r="C18" s="2223">
        <f>+E18-B18</f>
        <v>0</v>
      </c>
      <c r="D18" s="2205"/>
      <c r="E18" s="2205">
        <f>(E15)*$B$2</f>
        <v>6248.3775102</v>
      </c>
      <c r="G18" s="2205">
        <f>(G15)*$B$2</f>
        <v>213.78730232290914</v>
      </c>
      <c r="H18" s="2205">
        <f>(H15)*$B$2</f>
        <v>-53.97</v>
      </c>
      <c r="I18" s="2205">
        <f>(I15)*$B$2</f>
        <v>106.89</v>
      </c>
      <c r="J18" s="2223">
        <f>SUM(G18:I18)</f>
        <v>266.70730232290913</v>
      </c>
      <c r="K18" s="2205"/>
      <c r="L18" s="2205">
        <f>(L15)*$B$2</f>
        <v>6515.0848125229086</v>
      </c>
      <c r="N18" s="2205">
        <f>(N15)*$B$2</f>
        <v>-138.45190229194523</v>
      </c>
      <c r="O18" s="2205">
        <f>(O15)*$B$2</f>
        <v>-0.84</v>
      </c>
      <c r="P18" s="2205">
        <f>(P15)*$B$2</f>
        <v>-50.61</v>
      </c>
      <c r="Q18" s="2223">
        <f>(Q15)*$B$2</f>
        <v>-189.90190229194525</v>
      </c>
      <c r="S18" s="2205">
        <f>(S15)*$B$2</f>
        <v>86.470193051883157</v>
      </c>
      <c r="T18" s="2205">
        <f>(T15)*$B$2</f>
        <v>-261.65999999999997</v>
      </c>
      <c r="U18" s="2205">
        <f>(U15)*$B$2</f>
        <v>586.11</v>
      </c>
      <c r="V18" s="2223">
        <f>SUM(S18:U18)</f>
        <v>410.92019305188319</v>
      </c>
      <c r="W18" s="2205"/>
      <c r="X18" s="2205">
        <f>(X15)*$B$2</f>
        <v>6736.1031032828469</v>
      </c>
      <c r="Z18" s="2205">
        <f>(Z15)*$B$2</f>
        <v>0</v>
      </c>
      <c r="AA18" s="2205">
        <f>(AA15)*$B$2</f>
        <v>-200.13</v>
      </c>
      <c r="AB18" s="2205">
        <f>(AB15)*$B$2</f>
        <v>655.82999999999993</v>
      </c>
      <c r="AC18" s="2223">
        <f>SUM(Z18:AB18)</f>
        <v>455.69999999999993</v>
      </c>
      <c r="AD18" s="2205"/>
      <c r="AE18" s="2205">
        <f>SUM(X18,Q18,AC18)</f>
        <v>7001.9012009909011</v>
      </c>
      <c r="AG18" s="2205">
        <f>(AG15)*$B$2</f>
        <v>0</v>
      </c>
      <c r="AH18" s="2205">
        <f>(AH15)*$B$2</f>
        <v>-174.51</v>
      </c>
      <c r="AI18" s="2205">
        <f>(AI15)*$B$2</f>
        <v>539.91</v>
      </c>
      <c r="AJ18" s="2223">
        <f>SUM(AG18:AI18)</f>
        <v>365.4</v>
      </c>
      <c r="AK18" s="2205"/>
      <c r="AL18" s="2205">
        <f>(AL15)*$B$2</f>
        <v>7557.2031032828472</v>
      </c>
    </row>
    <row r="19" spans="1:48" ht="13.5" thickBot="1">
      <c r="A19" s="2201" t="s">
        <v>1797</v>
      </c>
      <c r="B19" s="2210">
        <f>SUM(B17:B18)</f>
        <v>-23505.801109799999</v>
      </c>
      <c r="C19" s="2211">
        <f>SUM(C17:C18)</f>
        <v>0</v>
      </c>
      <c r="D19" s="2209"/>
      <c r="E19" s="2210">
        <f>SUM(E17:E18)</f>
        <v>-23505.801109799999</v>
      </c>
      <c r="F19" s="2209"/>
      <c r="G19" s="2210">
        <f>SUM(G17:G18)</f>
        <v>-804.24747064332496</v>
      </c>
      <c r="H19" s="2210">
        <f>SUM(H17:H18)</f>
        <v>203.03</v>
      </c>
      <c r="I19" s="2210">
        <f>SUM(I17:I18)</f>
        <v>-402.11</v>
      </c>
      <c r="J19" s="2221">
        <f>SUM(J17:J18)</f>
        <v>-1003.3274706433249</v>
      </c>
      <c r="K19" s="2209"/>
      <c r="L19" s="2210">
        <f>SUM(L17:L18)</f>
        <v>-24509.128580443321</v>
      </c>
      <c r="M19" s="2209"/>
      <c r="N19" s="2210">
        <f>SUM(N17:N18)</f>
        <v>520.84287052684158</v>
      </c>
      <c r="O19" s="2210">
        <f>SUM(O17:O18)</f>
        <v>3.16</v>
      </c>
      <c r="P19" s="2210">
        <f>SUM(P17:P18)</f>
        <v>190.39</v>
      </c>
      <c r="Q19" s="2211">
        <f>SUM(Q17:Q18)</f>
        <v>714.39287052684165</v>
      </c>
      <c r="R19" s="2209"/>
      <c r="S19" s="2210">
        <f>SUM(S17:S18)</f>
        <v>-325.29263100470331</v>
      </c>
      <c r="T19" s="2210">
        <f>SUM(T17:T18)</f>
        <v>984.34</v>
      </c>
      <c r="U19" s="2210">
        <f>SUM(U17:U18)</f>
        <v>-2204.89</v>
      </c>
      <c r="V19" s="2221">
        <f>SUM(V17:V18)</f>
        <v>-1545.8426310047032</v>
      </c>
      <c r="W19" s="2209"/>
      <c r="X19" s="2210">
        <f>SUM(X17:X18)</f>
        <v>-25340.578340921187</v>
      </c>
      <c r="Y19" s="2209"/>
      <c r="Z19" s="2210">
        <f>SUM(Z17:Z18)</f>
        <v>0</v>
      </c>
      <c r="AA19" s="2210">
        <f>SUM(AA17:AA18)</f>
        <v>752.87</v>
      </c>
      <c r="AB19" s="2210">
        <f>SUM(AB17:AB18)</f>
        <v>-2467.17</v>
      </c>
      <c r="AC19" s="2221">
        <f>SUM(AC17:AC18)</f>
        <v>-1714.3000000000002</v>
      </c>
      <c r="AD19" s="2209"/>
      <c r="AE19" s="2210">
        <f>SUM(AE17:AE18)</f>
        <v>-26340.485470394346</v>
      </c>
      <c r="AF19" s="2209"/>
      <c r="AG19" s="2210">
        <f>SUM(AG17:AG18)</f>
        <v>0</v>
      </c>
      <c r="AH19" s="2210">
        <f>SUM(AH17:AH18)</f>
        <v>656.49</v>
      </c>
      <c r="AI19" s="2210">
        <f>SUM(AI17:AI18)</f>
        <v>-2031.0900000000001</v>
      </c>
      <c r="AJ19" s="2221">
        <f>SUM(AJ17:AJ18)</f>
        <v>-1374.6</v>
      </c>
      <c r="AK19" s="2209"/>
      <c r="AL19" s="2210">
        <f>SUM(AL17:AL18)</f>
        <v>-28429.478340921189</v>
      </c>
      <c r="AM19" s="2209"/>
    </row>
    <row r="20" spans="1:48">
      <c r="C20" s="2223"/>
      <c r="E20" s="2225"/>
      <c r="H20" s="2205"/>
      <c r="I20" s="2205"/>
      <c r="J20" s="2223"/>
      <c r="L20" s="2225"/>
      <c r="Q20" s="2223"/>
      <c r="T20" s="2205"/>
      <c r="U20" s="2205"/>
      <c r="V20" s="2223"/>
      <c r="X20" s="2225"/>
      <c r="AA20" s="2205"/>
      <c r="AB20" s="2205"/>
      <c r="AC20" s="2223"/>
      <c r="AE20" s="2225"/>
      <c r="AH20" s="2205"/>
      <c r="AI20" s="2205"/>
      <c r="AJ20" s="2223"/>
      <c r="AL20" s="2225"/>
    </row>
    <row r="21" spans="1:48">
      <c r="B21" s="2205"/>
      <c r="C21" s="2223"/>
      <c r="E21" s="2225"/>
      <c r="G21" s="2205"/>
      <c r="H21" s="2205"/>
      <c r="I21" s="2205"/>
      <c r="J21" s="2223"/>
      <c r="L21" s="2225"/>
      <c r="N21" s="2205"/>
      <c r="O21" s="2205"/>
      <c r="P21" s="2205"/>
      <c r="Q21" s="2223"/>
      <c r="S21" s="2205"/>
      <c r="T21" s="2205"/>
      <c r="U21" s="2205"/>
      <c r="V21" s="2223"/>
      <c r="X21" s="2225"/>
      <c r="Z21" s="2205"/>
      <c r="AA21" s="2205"/>
      <c r="AB21" s="2205"/>
      <c r="AC21" s="2223"/>
      <c r="AE21" s="2225"/>
      <c r="AG21" s="2205"/>
      <c r="AH21" s="2205"/>
      <c r="AI21" s="2205"/>
      <c r="AJ21" s="2223"/>
      <c r="AL21" s="2225"/>
    </row>
    <row r="22" spans="1:48">
      <c r="A22" s="2201" t="s">
        <v>1796</v>
      </c>
      <c r="C22" s="2223"/>
      <c r="E22" s="2225"/>
      <c r="G22" s="2205"/>
      <c r="H22" s="2205"/>
      <c r="I22" s="2205"/>
      <c r="J22" s="2223"/>
      <c r="L22" s="2225"/>
      <c r="N22" s="2205"/>
      <c r="O22" s="2205"/>
      <c r="P22" s="2205"/>
      <c r="Q22" s="2223"/>
      <c r="S22" s="2205"/>
      <c r="T22" s="2205"/>
      <c r="U22" s="2205"/>
      <c r="V22" s="2223"/>
      <c r="X22" s="2225"/>
      <c r="Z22" s="2205"/>
      <c r="AA22" s="2205"/>
      <c r="AB22" s="2205"/>
      <c r="AC22" s="2223"/>
      <c r="AE22" s="2225"/>
      <c r="AG22" s="2205"/>
      <c r="AH22" s="2205"/>
      <c r="AI22" s="2205"/>
      <c r="AJ22" s="2223"/>
      <c r="AL22" s="2225"/>
    </row>
    <row r="23" spans="1:48">
      <c r="A23" s="2208" t="s">
        <v>672</v>
      </c>
      <c r="B23" s="2205">
        <v>49301.635190000001</v>
      </c>
      <c r="C23" s="2223">
        <f>+E23-B23</f>
        <v>1183.5549399999945</v>
      </c>
      <c r="E23" s="2225">
        <v>50485.190129999995</v>
      </c>
      <c r="G23" s="2226">
        <v>0</v>
      </c>
      <c r="H23" s="2205">
        <v>-5897</v>
      </c>
      <c r="I23" s="2205">
        <v>4202</v>
      </c>
      <c r="J23" s="2223">
        <f>SUM(G23:I23)</f>
        <v>-1695</v>
      </c>
      <c r="L23" s="2225">
        <f>SUM(E23,J23)</f>
        <v>48790.190129999995</v>
      </c>
      <c r="N23" s="2226">
        <v>0</v>
      </c>
      <c r="O23" s="2226">
        <v>0</v>
      </c>
      <c r="P23" s="2226">
        <v>0</v>
      </c>
      <c r="Q23" s="2223">
        <v>0</v>
      </c>
      <c r="S23" s="2226">
        <v>0</v>
      </c>
      <c r="T23" s="2205">
        <v>-6718</v>
      </c>
      <c r="U23" s="2205">
        <v>5937</v>
      </c>
      <c r="V23" s="2223">
        <f>SUM(S23:U23)</f>
        <v>-781</v>
      </c>
      <c r="X23" s="2222">
        <f>SUM(L23,Q23,V23)</f>
        <v>48009.190129999995</v>
      </c>
      <c r="Z23" s="2226">
        <v>0</v>
      </c>
      <c r="AA23" s="2205">
        <v>-3033</v>
      </c>
      <c r="AB23" s="2205">
        <v>1938</v>
      </c>
      <c r="AC23" s="2223">
        <f>SUM(Z23:AB23)</f>
        <v>-1095</v>
      </c>
      <c r="AE23" s="2222">
        <f>SUM(X23,AC23)</f>
        <v>46914.190129999995</v>
      </c>
      <c r="AG23" s="2226">
        <v>0</v>
      </c>
      <c r="AH23" s="2205">
        <v>-6178</v>
      </c>
      <c r="AI23" s="2205">
        <v>4963</v>
      </c>
      <c r="AJ23" s="2223">
        <f>SUM(AG23:AI23)</f>
        <v>-1215</v>
      </c>
      <c r="AL23" s="2225">
        <f>SUM(AE23,AJ23)</f>
        <v>45699.190129999995</v>
      </c>
    </row>
    <row r="24" spans="1:48">
      <c r="A24" s="2208" t="s">
        <v>1788</v>
      </c>
      <c r="B24" s="2205">
        <v>34499.717659999995</v>
      </c>
      <c r="C24" s="2223">
        <f>+E24-B24</f>
        <v>550.07410000000527</v>
      </c>
      <c r="E24" s="2225">
        <v>35049.79176</v>
      </c>
      <c r="G24" s="2226">
        <v>0</v>
      </c>
      <c r="H24" s="2205">
        <v>-2</v>
      </c>
      <c r="I24" s="2205">
        <v>1131</v>
      </c>
      <c r="J24" s="2223">
        <f>SUM(G24:I24)</f>
        <v>1129</v>
      </c>
      <c r="L24" s="2225">
        <f>SUM(E24,J24)</f>
        <v>36178.79176</v>
      </c>
      <c r="N24" s="2226">
        <v>0</v>
      </c>
      <c r="O24" s="2226">
        <v>0</v>
      </c>
      <c r="P24" s="2226">
        <v>0</v>
      </c>
      <c r="Q24" s="2223">
        <v>0</v>
      </c>
      <c r="S24" s="2226">
        <v>0</v>
      </c>
      <c r="T24" s="2205">
        <v>-2</v>
      </c>
      <c r="U24" s="2205">
        <v>1509</v>
      </c>
      <c r="V24" s="2223">
        <f>SUM(S24:U24)</f>
        <v>1507</v>
      </c>
      <c r="X24" s="2222">
        <f>SUM(L24,Q24,V24)</f>
        <v>37685.79176</v>
      </c>
      <c r="Z24" s="2226">
        <v>0</v>
      </c>
      <c r="AA24" s="2205">
        <v>-1</v>
      </c>
      <c r="AB24" s="2205">
        <v>754</v>
      </c>
      <c r="AC24" s="2223">
        <f>SUM(Z24:AB24)</f>
        <v>753</v>
      </c>
      <c r="AE24" s="2222">
        <f>SUM(X24,AC24)</f>
        <v>38438.79176</v>
      </c>
      <c r="AG24" s="2226">
        <v>0</v>
      </c>
      <c r="AH24" s="2205">
        <v>-3</v>
      </c>
      <c r="AI24" s="2205">
        <v>1509</v>
      </c>
      <c r="AJ24" s="2223">
        <f>SUM(AG24:AI24)</f>
        <v>1506</v>
      </c>
      <c r="AL24" s="2225">
        <f>SUM(AE24,AJ24)</f>
        <v>39944.79176</v>
      </c>
    </row>
    <row r="25" spans="1:48">
      <c r="A25" s="2208" t="s">
        <v>45</v>
      </c>
      <c r="B25" s="2205">
        <v>650522.55955999997</v>
      </c>
      <c r="C25" s="2223">
        <f>+E25-B25</f>
        <v>21260.071480000042</v>
      </c>
      <c r="E25" s="2225">
        <v>671782.63104000001</v>
      </c>
      <c r="G25" s="2226">
        <v>0</v>
      </c>
      <c r="H25" s="2205">
        <v>-1537</v>
      </c>
      <c r="I25" s="2205">
        <v>23217</v>
      </c>
      <c r="J25" s="2223">
        <f>SUM(G25:I25)</f>
        <v>21680</v>
      </c>
      <c r="L25" s="2225">
        <f>SUM(E25,J25)</f>
        <v>693462.63104000001</v>
      </c>
      <c r="N25" s="2226">
        <v>0</v>
      </c>
      <c r="O25" s="2226">
        <v>0</v>
      </c>
      <c r="P25" s="2226">
        <v>0</v>
      </c>
      <c r="Q25" s="2223">
        <v>0</v>
      </c>
      <c r="S25" s="2226">
        <v>0</v>
      </c>
      <c r="T25" s="2205">
        <v>-2560</v>
      </c>
      <c r="U25" s="2205">
        <v>38666</v>
      </c>
      <c r="V25" s="2223">
        <f>SUM(S25:U25)</f>
        <v>36106</v>
      </c>
      <c r="X25" s="2222">
        <f>SUM(L25,Q25,V25)</f>
        <v>729568.63104000001</v>
      </c>
      <c r="Z25" s="2226">
        <v>0</v>
      </c>
      <c r="AA25" s="2205">
        <v>-1045</v>
      </c>
      <c r="AB25" s="2205">
        <v>15792</v>
      </c>
      <c r="AC25" s="2223">
        <f>SUM(Z25:AB25)</f>
        <v>14747</v>
      </c>
      <c r="AE25" s="2222">
        <f>SUM(X25,AC25)</f>
        <v>744315.63104000001</v>
      </c>
      <c r="AG25" s="2226">
        <v>0</v>
      </c>
      <c r="AH25" s="2205">
        <v>-2272</v>
      </c>
      <c r="AI25" s="2205">
        <v>34315</v>
      </c>
      <c r="AJ25" s="2223">
        <f>SUM(AG25:AI25)</f>
        <v>32043</v>
      </c>
      <c r="AL25" s="2225">
        <f>SUM(AE25,AJ25)</f>
        <v>776358.63104000001</v>
      </c>
    </row>
    <row r="26" spans="1:48">
      <c r="A26" s="2208" t="s">
        <v>654</v>
      </c>
      <c r="B26" s="2205">
        <v>112171.43784</v>
      </c>
      <c r="C26" s="2223">
        <f>+E26-B26</f>
        <v>1613.3506699999853</v>
      </c>
      <c r="E26" s="2225">
        <v>113784.78850999998</v>
      </c>
      <c r="G26" s="2226">
        <v>0</v>
      </c>
      <c r="H26" s="2205">
        <v>-3511</v>
      </c>
      <c r="I26" s="2205">
        <v>7065</v>
      </c>
      <c r="J26" s="2223">
        <f>SUM(G26:I26)</f>
        <v>3554</v>
      </c>
      <c r="L26" s="2222">
        <f>SUM(E26,J26)</f>
        <v>117338.78850999998</v>
      </c>
      <c r="N26" s="2226">
        <v>0</v>
      </c>
      <c r="O26" s="2226">
        <v>0</v>
      </c>
      <c r="P26" s="2226">
        <v>0</v>
      </c>
      <c r="Q26" s="2223">
        <v>0</v>
      </c>
      <c r="S26" s="2226">
        <v>0</v>
      </c>
      <c r="T26" s="2205">
        <v>-4146</v>
      </c>
      <c r="U26" s="2205">
        <v>7077</v>
      </c>
      <c r="V26" s="2223">
        <f>SUM(S26:U26)</f>
        <v>2931</v>
      </c>
      <c r="X26" s="2222">
        <f>SUM(L26,Q26,V26)</f>
        <v>120269.78850999998</v>
      </c>
      <c r="Z26" s="2226">
        <v>0</v>
      </c>
      <c r="AA26" s="2205">
        <v>-509</v>
      </c>
      <c r="AB26" s="2205">
        <v>2745</v>
      </c>
      <c r="AC26" s="2223">
        <f>SUM(Z26:AB26)</f>
        <v>2236</v>
      </c>
      <c r="AE26" s="2222">
        <f>SUM(X26,AC26)</f>
        <v>122505.78850999998</v>
      </c>
      <c r="AG26" s="2226">
        <v>0</v>
      </c>
      <c r="AH26" s="2205">
        <v>-2725</v>
      </c>
      <c r="AI26" s="2230">
        <v>6722</v>
      </c>
      <c r="AJ26" s="2223">
        <f>SUM(AG26:AI26)</f>
        <v>3997</v>
      </c>
      <c r="AL26" s="2222">
        <f>SUM(AE26,AJ26)</f>
        <v>126502.78850999998</v>
      </c>
      <c r="AO26" s="2201">
        <v>6233</v>
      </c>
      <c r="AP26" s="3849" t="s">
        <v>1795</v>
      </c>
      <c r="AQ26" s="3849"/>
      <c r="AR26" s="3849"/>
      <c r="AS26" s="3849"/>
    </row>
    <row r="27" spans="1:48">
      <c r="A27" s="2201" t="s">
        <v>1794</v>
      </c>
      <c r="B27" s="2220">
        <f>SUM(B23:B26)</f>
        <v>846495.35025000002</v>
      </c>
      <c r="C27" s="2221">
        <f>SUM(C23:C26)</f>
        <v>24607.051190000027</v>
      </c>
      <c r="D27" s="2209">
        <f>SUM(D23:D26)</f>
        <v>0</v>
      </c>
      <c r="E27" s="2220">
        <f>SUM(E23:E26)</f>
        <v>871102.40144000005</v>
      </c>
      <c r="F27" s="2209"/>
      <c r="G27" s="2220">
        <f>SUM(G23:G26)</f>
        <v>0</v>
      </c>
      <c r="H27" s="2220">
        <f>SUM(H23:H26)</f>
        <v>-10947</v>
      </c>
      <c r="I27" s="2220">
        <f>SUM(I23:I26)</f>
        <v>35615</v>
      </c>
      <c r="J27" s="2221">
        <f>SUM(J23:J26)</f>
        <v>24668</v>
      </c>
      <c r="K27" s="2209"/>
      <c r="L27" s="2220">
        <f>SUM(L23:L26)</f>
        <v>895770.40144000005</v>
      </c>
      <c r="M27" s="2209"/>
      <c r="N27" s="2220">
        <f>SUM(N23:N26)</f>
        <v>0</v>
      </c>
      <c r="O27" s="2220">
        <f>SUM(O23:O26)</f>
        <v>0</v>
      </c>
      <c r="P27" s="2220">
        <f>SUM(P23:P26)</f>
        <v>0</v>
      </c>
      <c r="Q27" s="2221">
        <f>SUM(Q23:Q26)</f>
        <v>0</v>
      </c>
      <c r="R27" s="2209"/>
      <c r="S27" s="2220">
        <f>SUM(S23:S26)</f>
        <v>0</v>
      </c>
      <c r="T27" s="2220">
        <f>SUM(T23:T26)</f>
        <v>-13426</v>
      </c>
      <c r="U27" s="2220">
        <f>SUM(U23:U26)</f>
        <v>53189</v>
      </c>
      <c r="V27" s="2221">
        <f>SUM(V23:V26)</f>
        <v>39763</v>
      </c>
      <c r="W27" s="2209"/>
      <c r="X27" s="2220">
        <f>SUM(X23:X26)</f>
        <v>935533.40144000005</v>
      </c>
      <c r="Y27" s="2209"/>
      <c r="Z27" s="2220">
        <f>SUM(Z23:Z26)</f>
        <v>0</v>
      </c>
      <c r="AA27" s="2220">
        <f>SUM(AA23:AA26)</f>
        <v>-4588</v>
      </c>
      <c r="AB27" s="2220">
        <f>SUM(AB23:AB26)</f>
        <v>21229</v>
      </c>
      <c r="AC27" s="2221">
        <f>SUM(AC23:AC26)</f>
        <v>16641</v>
      </c>
      <c r="AD27" s="2209"/>
      <c r="AE27" s="2220">
        <f t="shared" ref="AE27:AJ27" si="0">SUM(AE23:AE26)</f>
        <v>952174.40144000005</v>
      </c>
      <c r="AF27" s="2220">
        <f t="shared" si="0"/>
        <v>0</v>
      </c>
      <c r="AG27" s="2220">
        <f t="shared" si="0"/>
        <v>0</v>
      </c>
      <c r="AH27" s="2220">
        <f t="shared" si="0"/>
        <v>-11178</v>
      </c>
      <c r="AI27" s="2220">
        <f t="shared" si="0"/>
        <v>47509</v>
      </c>
      <c r="AJ27" s="2221">
        <f t="shared" si="0"/>
        <v>36331</v>
      </c>
      <c r="AK27" s="2209"/>
      <c r="AL27" s="2220">
        <f>SUM(AL23:AL26)</f>
        <v>988505.40144000005</v>
      </c>
      <c r="AM27" s="2209"/>
      <c r="AP27" s="3849"/>
      <c r="AQ27" s="3849"/>
      <c r="AR27" s="3849"/>
      <c r="AS27" s="3849"/>
    </row>
    <row r="28" spans="1:48">
      <c r="A28" s="2212"/>
      <c r="B28" s="2229" t="s">
        <v>197</v>
      </c>
      <c r="C28" s="2227"/>
      <c r="D28" s="2214"/>
      <c r="E28" s="2229" t="s">
        <v>197</v>
      </c>
      <c r="F28" s="2212"/>
      <c r="G28" s="2229"/>
      <c r="H28" s="2216" t="s">
        <v>1790</v>
      </c>
      <c r="I28" s="2216" t="s">
        <v>1782</v>
      </c>
      <c r="J28" s="2227"/>
      <c r="K28" s="2214"/>
      <c r="L28" s="2214"/>
      <c r="M28" s="2212"/>
      <c r="N28" s="2229"/>
      <c r="O28" s="2229"/>
      <c r="P28" s="2229"/>
      <c r="Q28" s="2227"/>
      <c r="R28" s="2212"/>
      <c r="S28" s="2229"/>
      <c r="T28" s="2216" t="s">
        <v>1790</v>
      </c>
      <c r="U28" s="2216" t="s">
        <v>1782</v>
      </c>
      <c r="V28" s="2227"/>
      <c r="W28" s="2214"/>
      <c r="X28" s="2214"/>
      <c r="Y28" s="2212"/>
      <c r="Z28" s="2229"/>
      <c r="AA28" s="2216" t="s">
        <v>1790</v>
      </c>
      <c r="AB28" s="2216" t="s">
        <v>1782</v>
      </c>
      <c r="AC28" s="2227"/>
      <c r="AD28" s="2214"/>
      <c r="AE28" s="2214"/>
      <c r="AF28" s="2212"/>
      <c r="AG28" s="2229"/>
      <c r="AH28" s="2216" t="s">
        <v>1790</v>
      </c>
      <c r="AI28" s="2216" t="s">
        <v>1782</v>
      </c>
      <c r="AJ28" s="2227"/>
      <c r="AK28" s="2214"/>
      <c r="AL28" s="2214"/>
      <c r="AM28" s="2212"/>
      <c r="AN28" s="2212"/>
      <c r="AO28" s="2212"/>
      <c r="AP28" s="3849"/>
      <c r="AQ28" s="3849"/>
      <c r="AR28" s="3849"/>
      <c r="AS28" s="3849"/>
      <c r="AT28" s="2212"/>
      <c r="AU28" s="2212"/>
      <c r="AV28" s="2212"/>
    </row>
    <row r="29" spans="1:48">
      <c r="A29" s="2201" t="s">
        <v>1793</v>
      </c>
      <c r="B29" s="2205"/>
      <c r="C29" s="2223"/>
      <c r="E29" s="2225"/>
      <c r="G29" s="2205"/>
      <c r="H29" s="2205"/>
      <c r="I29" s="2205"/>
      <c r="J29" s="2223"/>
      <c r="L29" s="2225"/>
      <c r="N29" s="2205"/>
      <c r="O29" s="2205"/>
      <c r="P29" s="2205"/>
      <c r="Q29" s="2223"/>
      <c r="S29" s="2205"/>
      <c r="T29" s="2205"/>
      <c r="U29" s="2205"/>
      <c r="V29" s="2223"/>
      <c r="X29" s="2225"/>
      <c r="Z29" s="2205"/>
      <c r="AA29" s="2205"/>
      <c r="AB29" s="2205"/>
      <c r="AC29" s="2223"/>
      <c r="AE29" s="2225"/>
      <c r="AG29" s="2205"/>
      <c r="AH29" s="2205"/>
      <c r="AI29" s="2205"/>
      <c r="AJ29" s="2223"/>
      <c r="AL29" s="2225"/>
      <c r="AP29" s="3849"/>
      <c r="AQ29" s="3849"/>
      <c r="AR29" s="3849"/>
      <c r="AS29" s="3849"/>
    </row>
    <row r="30" spans="1:48">
      <c r="A30" s="2201" t="s">
        <v>672</v>
      </c>
      <c r="B30" s="2205">
        <v>-26516.686989999998</v>
      </c>
      <c r="C30" s="2223">
        <f>+E30-B30</f>
        <v>-2041.4598900000019</v>
      </c>
      <c r="E30" s="2225">
        <v>-28558.14688</v>
      </c>
      <c r="G30" s="2205">
        <v>-3987.7279132611188</v>
      </c>
      <c r="H30" s="2205">
        <v>5897</v>
      </c>
      <c r="I30" s="2205">
        <v>-229</v>
      </c>
      <c r="J30" s="2223">
        <f>SUM(G30:I30)</f>
        <v>1680.2720867388812</v>
      </c>
      <c r="L30" s="2225">
        <f>SUM(E30,J30)</f>
        <v>-26877.874793261119</v>
      </c>
      <c r="N30" s="2226">
        <v>0</v>
      </c>
      <c r="O30" s="2226">
        <v>0</v>
      </c>
      <c r="P30" s="2226">
        <v>0</v>
      </c>
      <c r="Q30" s="2223">
        <v>0</v>
      </c>
      <c r="S30" s="2205">
        <v>-7132.1864017597291</v>
      </c>
      <c r="T30" s="2205">
        <v>6718</v>
      </c>
      <c r="U30" s="2205">
        <v>-1580</v>
      </c>
      <c r="V30" s="2223">
        <f>SUM(S30:U30)</f>
        <v>-1994.1864017597291</v>
      </c>
      <c r="X30" s="2222">
        <f>SUM(L30,Q30,V30)</f>
        <v>-28872.061195020848</v>
      </c>
      <c r="Z30" s="2205">
        <v>-3233.5692786262889</v>
      </c>
      <c r="AA30" s="2205">
        <v>3033</v>
      </c>
      <c r="AB30" s="2205">
        <v>-1413</v>
      </c>
      <c r="AC30" s="2223">
        <f>SUM(Z30:AB30)</f>
        <v>-1613.5692786262889</v>
      </c>
      <c r="AE30" s="2222">
        <f>SUM(X30,AC30)</f>
        <v>-30485.630473647136</v>
      </c>
      <c r="AG30" s="2205">
        <v>-1921.5267888195119</v>
      </c>
      <c r="AH30" s="2205">
        <v>6178</v>
      </c>
      <c r="AI30" s="2205">
        <v>-3119</v>
      </c>
      <c r="AJ30" s="2223">
        <f>SUM(AG30:AI30)</f>
        <v>1137.4732111804879</v>
      </c>
      <c r="AL30" s="2225">
        <f>SUM(AE30,AJ30)</f>
        <v>-29348.157262466648</v>
      </c>
      <c r="AP30" s="3849"/>
      <c r="AQ30" s="3849"/>
      <c r="AR30" s="3849"/>
      <c r="AS30" s="3849"/>
    </row>
    <row r="31" spans="1:48">
      <c r="A31" s="2201" t="s">
        <v>1788</v>
      </c>
      <c r="B31" s="2205">
        <v>-13149.496949999999</v>
      </c>
      <c r="C31" s="2223">
        <f>+E31-B31</f>
        <v>-257.79590000000098</v>
      </c>
      <c r="E31" s="2225">
        <v>-13407.29285</v>
      </c>
      <c r="G31" s="2205">
        <v>-261.51734895985652</v>
      </c>
      <c r="H31" s="2205">
        <v>2</v>
      </c>
      <c r="I31" s="2205">
        <v>-4</v>
      </c>
      <c r="J31" s="2223">
        <f>SUM(G31:I31)</f>
        <v>-263.51734895985652</v>
      </c>
      <c r="L31" s="2225">
        <f>SUM(E31,J31)</f>
        <v>-13670.810198959856</v>
      </c>
      <c r="N31" s="2226">
        <v>0</v>
      </c>
      <c r="O31" s="2226">
        <v>0</v>
      </c>
      <c r="P31" s="2226">
        <v>0</v>
      </c>
      <c r="Q31" s="2223">
        <v>0</v>
      </c>
      <c r="S31" s="2205">
        <v>-516.23107994219311</v>
      </c>
      <c r="T31" s="2205">
        <v>2</v>
      </c>
      <c r="U31" s="2205">
        <v>-28</v>
      </c>
      <c r="V31" s="2223">
        <f>SUM(S31:U31)</f>
        <v>-542.23107994219311</v>
      </c>
      <c r="X31" s="2222">
        <f>SUM(L31,Q31,V31)</f>
        <v>-14213.04127890205</v>
      </c>
      <c r="Z31" s="2205">
        <v>-258.11553997109655</v>
      </c>
      <c r="AA31" s="2205">
        <v>1</v>
      </c>
      <c r="AB31" s="2205">
        <v>-23</v>
      </c>
      <c r="AC31" s="2223">
        <f>SUM(Z31:AB31)</f>
        <v>-280.11553997109655</v>
      </c>
      <c r="AE31" s="2222">
        <f>SUM(X31,AC31)</f>
        <v>-14493.156818873147</v>
      </c>
      <c r="AG31" s="2205">
        <v>-516.23107994219311</v>
      </c>
      <c r="AH31" s="2205">
        <v>3</v>
      </c>
      <c r="AI31" s="2205">
        <v>-61</v>
      </c>
      <c r="AJ31" s="2223">
        <f>SUM(AG31:AI31)</f>
        <v>-574.23107994219311</v>
      </c>
      <c r="AL31" s="2225">
        <f>SUM(AE31,AJ31)</f>
        <v>-15067.387898815341</v>
      </c>
    </row>
    <row r="32" spans="1:48">
      <c r="A32" s="2201" t="s">
        <v>45</v>
      </c>
      <c r="B32" s="2205">
        <v>-188333.96022000001</v>
      </c>
      <c r="C32" s="2223">
        <f>+E32-B32</f>
        <v>-7738.7844000000041</v>
      </c>
      <c r="E32" s="2225">
        <v>-196072.74462000001</v>
      </c>
      <c r="G32" s="2205">
        <v>-8539.636199149254</v>
      </c>
      <c r="H32" s="2205">
        <v>1537</v>
      </c>
      <c r="I32" s="2205">
        <v>-158</v>
      </c>
      <c r="J32" s="2223">
        <f>SUM(G32:I32)</f>
        <v>-7160.636199149254</v>
      </c>
      <c r="L32" s="2225">
        <f>SUM(E32,J32)</f>
        <v>-203233.38081914926</v>
      </c>
      <c r="N32" s="2226">
        <v>0</v>
      </c>
      <c r="O32" s="2226">
        <v>0</v>
      </c>
      <c r="P32" s="2226">
        <v>0</v>
      </c>
      <c r="Q32" s="2223">
        <v>0</v>
      </c>
      <c r="S32" s="2205">
        <v>-16649.528261959236</v>
      </c>
      <c r="T32" s="2205">
        <v>2560</v>
      </c>
      <c r="U32" s="2205">
        <v>-992</v>
      </c>
      <c r="V32" s="2223">
        <f>SUM(S32:U32)</f>
        <v>-15081.528261959236</v>
      </c>
      <c r="X32" s="2222">
        <f>SUM(L32,Q32,V32)</f>
        <v>-218314.90908110849</v>
      </c>
      <c r="Z32" s="2205">
        <v>-8324.7641309796181</v>
      </c>
      <c r="AA32" s="2205">
        <v>1045</v>
      </c>
      <c r="AB32" s="2205">
        <v>-878</v>
      </c>
      <c r="AC32" s="2223">
        <f>SUM(Z32:AB32)</f>
        <v>-8157.7641309796181</v>
      </c>
      <c r="AE32" s="2222">
        <f>SUM(X32,AC32)</f>
        <v>-226472.67321208812</v>
      </c>
      <c r="AG32" s="2205">
        <v>-16649.528261959236</v>
      </c>
      <c r="AH32" s="2205">
        <v>2272</v>
      </c>
      <c r="AI32" s="2205">
        <v>-2361</v>
      </c>
      <c r="AJ32" s="2223">
        <f>SUM(AG32:AI32)</f>
        <v>-16738.528261959236</v>
      </c>
      <c r="AL32" s="2225">
        <f>SUM(AE32,AJ32)</f>
        <v>-243211.20147404735</v>
      </c>
    </row>
    <row r="33" spans="1:48">
      <c r="A33" s="2201" t="s">
        <v>654</v>
      </c>
      <c r="B33" s="2205">
        <v>-35836.237639999999</v>
      </c>
      <c r="C33" s="2223">
        <f>+E33-B33</f>
        <v>-2277.7042900000015</v>
      </c>
      <c r="E33" s="2225">
        <v>-38113.941930000001</v>
      </c>
      <c r="G33" s="2205">
        <v>-3057.8541022931809</v>
      </c>
      <c r="H33" s="2205">
        <v>3511</v>
      </c>
      <c r="I33" s="2205">
        <v>-118</v>
      </c>
      <c r="J33" s="2223">
        <f>SUM(G33:I33)</f>
        <v>335.14589770681914</v>
      </c>
      <c r="L33" s="2222">
        <f>SUM(E33,J33)</f>
        <v>-37778.796032293183</v>
      </c>
      <c r="N33" s="2226">
        <v>0</v>
      </c>
      <c r="O33" s="2226">
        <v>0</v>
      </c>
      <c r="P33" s="2226">
        <v>0</v>
      </c>
      <c r="Q33" s="2223">
        <v>0</v>
      </c>
      <c r="S33" s="2205">
        <v>-5106.7790493731827</v>
      </c>
      <c r="T33" s="2205">
        <v>4146</v>
      </c>
      <c r="U33" s="2205">
        <v>-701</v>
      </c>
      <c r="V33" s="2223">
        <f>SUM(S33:U33)</f>
        <v>-1661.7790493731827</v>
      </c>
      <c r="X33" s="2222">
        <f>SUM(L33,Q33,V33)</f>
        <v>-39440.575081666364</v>
      </c>
      <c r="Z33" s="2205">
        <v>-1913.7026303192533</v>
      </c>
      <c r="AA33" s="2205">
        <v>509</v>
      </c>
      <c r="AB33" s="2205">
        <v>-585</v>
      </c>
      <c r="AC33" s="2223">
        <f>SUM(Z33:AB33)</f>
        <v>-1989.7026303192533</v>
      </c>
      <c r="AE33" s="2222">
        <f>SUM(X33,AC33)</f>
        <v>-41430.277711985618</v>
      </c>
      <c r="AG33" s="2205">
        <v>-3817.5577618037814</v>
      </c>
      <c r="AH33" s="2205">
        <v>2725</v>
      </c>
      <c r="AI33" s="2205">
        <v>-1558</v>
      </c>
      <c r="AJ33" s="2223">
        <f>SUM(AG33:AI33)</f>
        <v>-2650.5577618037814</v>
      </c>
      <c r="AL33" s="2222">
        <f>SUM(AE33,AJ33)</f>
        <v>-44080.835473789397</v>
      </c>
    </row>
    <row r="34" spans="1:48" ht="13.5" thickBot="1">
      <c r="A34" s="2201" t="s">
        <v>1792</v>
      </c>
      <c r="B34" s="2220">
        <f>SUM(B30:B33)</f>
        <v>-263836.38179999997</v>
      </c>
      <c r="C34" s="2221">
        <f>SUM(C30:C33)</f>
        <v>-12315.744480000008</v>
      </c>
      <c r="D34" s="2209">
        <f>SUM(D30:D33)</f>
        <v>0</v>
      </c>
      <c r="E34" s="2220">
        <f>SUM(E30:E33)</f>
        <v>-276152.12627999997</v>
      </c>
      <c r="F34" s="2209"/>
      <c r="G34" s="2220">
        <f>SUM(G30:G33)</f>
        <v>-15846.735563663411</v>
      </c>
      <c r="H34" s="2220">
        <f>SUM(H30:H33)</f>
        <v>10947</v>
      </c>
      <c r="I34" s="2220">
        <f>SUM(I30:I33)</f>
        <v>-509</v>
      </c>
      <c r="J34" s="2221">
        <f>SUM(J30:J33)</f>
        <v>-5408.7355636634093</v>
      </c>
      <c r="K34" s="2209"/>
      <c r="L34" s="2220">
        <f>SUM(L29:L33)</f>
        <v>-281560.86184366344</v>
      </c>
      <c r="M34" s="2209"/>
      <c r="N34" s="2220">
        <f>SUM(N30:N33)</f>
        <v>0</v>
      </c>
      <c r="O34" s="2220">
        <f>SUM(O30:O33)</f>
        <v>0</v>
      </c>
      <c r="P34" s="2220">
        <f>SUM(P30:P33)</f>
        <v>0</v>
      </c>
      <c r="Q34" s="2211">
        <f>SUM(Q30:Q33)</f>
        <v>0</v>
      </c>
      <c r="R34" s="2209"/>
      <c r="S34" s="2220">
        <f>SUM(S30:S33)</f>
        <v>-29404.724793034344</v>
      </c>
      <c r="T34" s="2220">
        <f>SUM(T30:T33)</f>
        <v>13426</v>
      </c>
      <c r="U34" s="2220">
        <f>SUM(U30:U33)</f>
        <v>-3301</v>
      </c>
      <c r="V34" s="2221">
        <f>SUM(V30:V33)</f>
        <v>-19279.724793034344</v>
      </c>
      <c r="W34" s="2209"/>
      <c r="X34" s="2220">
        <f>SUM(X30:X33)</f>
        <v>-300840.58663669776</v>
      </c>
      <c r="Y34" s="2209"/>
      <c r="Z34" s="2220">
        <f>SUM(Z30:Z33)</f>
        <v>-13730.151579896257</v>
      </c>
      <c r="AA34" s="2220">
        <f>SUM(AA30:AA33)</f>
        <v>4588</v>
      </c>
      <c r="AB34" s="2220">
        <f>SUM(AB30:AB33)</f>
        <v>-2899</v>
      </c>
      <c r="AC34" s="2221">
        <f>SUM(AC30:AC33)</f>
        <v>-12041.151579896257</v>
      </c>
      <c r="AD34" s="2209"/>
      <c r="AE34" s="2220">
        <f>SUM(AE29:AE33)</f>
        <v>-312881.73821659404</v>
      </c>
      <c r="AF34" s="2209"/>
      <c r="AG34" s="2220">
        <f>SUM(AG30:AG33)</f>
        <v>-22904.843892524725</v>
      </c>
      <c r="AH34" s="2220">
        <f>SUM(AH30:AH33)</f>
        <v>11178</v>
      </c>
      <c r="AI34" s="2220">
        <f>SUM(AI30:AI33)</f>
        <v>-7099</v>
      </c>
      <c r="AJ34" s="2221">
        <f>SUM(AJ30:AJ33)</f>
        <v>-18825.843892524725</v>
      </c>
      <c r="AK34" s="2209"/>
      <c r="AL34" s="2220">
        <f>SUM(AL29:AL33)</f>
        <v>-331707.5821091187</v>
      </c>
      <c r="AM34" s="2209"/>
    </row>
    <row r="35" spans="1:48">
      <c r="A35" s="2212"/>
      <c r="B35" s="2229" t="s">
        <v>197</v>
      </c>
      <c r="C35" s="2227"/>
      <c r="D35" s="2214"/>
      <c r="E35" s="2229" t="s">
        <v>197</v>
      </c>
      <c r="F35" s="2212"/>
      <c r="G35" s="2217" t="s">
        <v>1791</v>
      </c>
      <c r="H35" s="2216" t="s">
        <v>1790</v>
      </c>
      <c r="I35" s="2216" t="s">
        <v>1782</v>
      </c>
      <c r="J35" s="2227"/>
      <c r="K35" s="2214"/>
      <c r="L35" s="2214"/>
      <c r="M35" s="2212"/>
      <c r="N35" s="2217"/>
      <c r="O35" s="2217"/>
      <c r="P35" s="2217"/>
      <c r="Q35" s="2228"/>
      <c r="R35" s="2212"/>
      <c r="S35" s="2217" t="s">
        <v>1791</v>
      </c>
      <c r="T35" s="2216" t="s">
        <v>1790</v>
      </c>
      <c r="U35" s="2216" t="s">
        <v>1782</v>
      </c>
      <c r="V35" s="2227"/>
      <c r="W35" s="2214"/>
      <c r="X35" s="2214"/>
      <c r="Y35" s="2212"/>
      <c r="Z35" s="2217" t="s">
        <v>1791</v>
      </c>
      <c r="AA35" s="2216" t="s">
        <v>1790</v>
      </c>
      <c r="AB35" s="2216" t="s">
        <v>1782</v>
      </c>
      <c r="AC35" s="2227"/>
      <c r="AD35" s="2214"/>
      <c r="AE35" s="2214"/>
      <c r="AF35" s="2212"/>
      <c r="AG35" s="2217" t="s">
        <v>1791</v>
      </c>
      <c r="AH35" s="2216" t="s">
        <v>1790</v>
      </c>
      <c r="AI35" s="2216" t="s">
        <v>1782</v>
      </c>
      <c r="AJ35" s="2227"/>
      <c r="AK35" s="2214"/>
      <c r="AL35" s="2214"/>
      <c r="AM35" s="2212"/>
      <c r="AN35" s="2212"/>
      <c r="AO35" s="2212"/>
      <c r="AP35" s="2212"/>
      <c r="AQ35" s="2212"/>
      <c r="AR35" s="2212"/>
      <c r="AS35" s="2212"/>
      <c r="AT35" s="2212"/>
      <c r="AU35" s="2212"/>
      <c r="AV35" s="2212"/>
    </row>
    <row r="36" spans="1:48">
      <c r="A36" s="2201" t="s">
        <v>1789</v>
      </c>
      <c r="B36" s="2205"/>
      <c r="C36" s="2223"/>
      <c r="E36" s="2225"/>
      <c r="G36" s="2205"/>
      <c r="H36" s="2205"/>
      <c r="I36" s="2205"/>
      <c r="J36" s="2223"/>
      <c r="L36" s="2225"/>
      <c r="N36" s="2205"/>
      <c r="O36" s="2205"/>
      <c r="P36" s="2205"/>
      <c r="Q36" s="2223"/>
      <c r="S36" s="2205"/>
      <c r="T36" s="2205"/>
      <c r="U36" s="2205"/>
      <c r="V36" s="2223"/>
      <c r="X36" s="2225"/>
      <c r="Z36" s="2205"/>
      <c r="AA36" s="2205"/>
      <c r="AB36" s="2205"/>
      <c r="AC36" s="2223"/>
      <c r="AE36" s="2225"/>
      <c r="AG36" s="2205"/>
      <c r="AH36" s="2205"/>
      <c r="AI36" s="2205"/>
      <c r="AJ36" s="2223"/>
      <c r="AL36" s="2225"/>
    </row>
    <row r="37" spans="1:48">
      <c r="A37" s="2201" t="s">
        <v>672</v>
      </c>
      <c r="B37" s="2205">
        <v>-3571</v>
      </c>
      <c r="C37" s="2223">
        <f>+E37-B37</f>
        <v>83.5</v>
      </c>
      <c r="E37" s="2225">
        <v>-3487.5</v>
      </c>
      <c r="G37" s="2205">
        <v>0</v>
      </c>
      <c r="H37" s="2205">
        <v>0</v>
      </c>
      <c r="I37" s="2205">
        <v>105</v>
      </c>
      <c r="J37" s="2223">
        <f>SUM(G37:I37)</f>
        <v>105</v>
      </c>
      <c r="L37" s="2225">
        <f>SUM(E37,J37)</f>
        <v>-3382.5</v>
      </c>
      <c r="N37" s="2205">
        <v>0</v>
      </c>
      <c r="O37" s="2205">
        <v>0</v>
      </c>
      <c r="P37" s="2205">
        <v>0</v>
      </c>
      <c r="Q37" s="2223">
        <v>0</v>
      </c>
      <c r="S37" s="2205">
        <v>265</v>
      </c>
      <c r="T37" s="2224">
        <v>0</v>
      </c>
      <c r="U37" s="2205">
        <v>-90</v>
      </c>
      <c r="V37" s="2223">
        <f>SUM(S37:U37)</f>
        <v>175</v>
      </c>
      <c r="X37" s="2222">
        <f>SUM(L37,Q37,V37)</f>
        <v>-3207.5</v>
      </c>
      <c r="Z37" s="2205">
        <v>183</v>
      </c>
      <c r="AA37" s="2205">
        <v>0</v>
      </c>
      <c r="AB37" s="2205">
        <v>-232</v>
      </c>
      <c r="AC37" s="2223">
        <f>SUM(Z37:AB37)</f>
        <v>-49</v>
      </c>
      <c r="AE37" s="2222">
        <f>SUM(X37,AC37)</f>
        <v>-3256.5</v>
      </c>
      <c r="AG37" s="2205">
        <v>379</v>
      </c>
      <c r="AH37" s="2205">
        <v>0</v>
      </c>
      <c r="AI37" s="2205">
        <v>-148</v>
      </c>
      <c r="AJ37" s="2223">
        <f>SUM(AG37:AI37)</f>
        <v>231</v>
      </c>
      <c r="AL37" s="2225">
        <f>SUM(AE37,AJ37)</f>
        <v>-3025.5</v>
      </c>
    </row>
    <row r="38" spans="1:48">
      <c r="A38" s="2201" t="s">
        <v>1788</v>
      </c>
      <c r="B38" s="2205">
        <v>-3293.6</v>
      </c>
      <c r="C38" s="2223">
        <f>+E38-B38</f>
        <v>-3.7000000000002728</v>
      </c>
      <c r="E38" s="2225">
        <v>-3297.3</v>
      </c>
      <c r="G38" s="2205">
        <v>0</v>
      </c>
      <c r="H38" s="2205">
        <v>0</v>
      </c>
      <c r="I38" s="2205">
        <v>-6</v>
      </c>
      <c r="J38" s="2223">
        <f>SUM(G38:I38)</f>
        <v>-6</v>
      </c>
      <c r="L38" s="2225">
        <f>SUM(E38,J38)</f>
        <v>-3303.3</v>
      </c>
      <c r="N38" s="2205">
        <v>0</v>
      </c>
      <c r="O38" s="2205">
        <v>0</v>
      </c>
      <c r="P38" s="2205">
        <v>0</v>
      </c>
      <c r="Q38" s="2223">
        <v>0</v>
      </c>
      <c r="S38" s="2205">
        <v>23</v>
      </c>
      <c r="T38" s="2224">
        <v>0</v>
      </c>
      <c r="U38" s="2205">
        <v>-14</v>
      </c>
      <c r="V38" s="2223">
        <f>SUM(S38:U38)</f>
        <v>9</v>
      </c>
      <c r="X38" s="2222">
        <f>SUM(L38,Q38,V38)</f>
        <v>-3294.3</v>
      </c>
      <c r="Z38" s="2205">
        <v>18</v>
      </c>
      <c r="AA38" s="2205">
        <v>0</v>
      </c>
      <c r="AB38" s="2205">
        <v>-19</v>
      </c>
      <c r="AC38" s="2223">
        <f>SUM(Z38:AB38)</f>
        <v>-1</v>
      </c>
      <c r="AE38" s="2222">
        <f>SUM(X38,AC38)</f>
        <v>-3295.3</v>
      </c>
      <c r="AG38" s="2205">
        <v>37</v>
      </c>
      <c r="AH38" s="2205">
        <v>0</v>
      </c>
      <c r="AI38" s="2205">
        <v>-51</v>
      </c>
      <c r="AJ38" s="2223">
        <f>SUM(AG38:AI38)</f>
        <v>-14</v>
      </c>
      <c r="AL38" s="2225">
        <f>SUM(AE38,AJ38)</f>
        <v>-3309.3</v>
      </c>
    </row>
    <row r="39" spans="1:48">
      <c r="A39" s="2201" t="s">
        <v>45</v>
      </c>
      <c r="B39" s="2205">
        <v>-64609</v>
      </c>
      <c r="C39" s="2223">
        <f>+E39-B39</f>
        <v>-72.69999999999709</v>
      </c>
      <c r="E39" s="2225">
        <v>-64681.7</v>
      </c>
      <c r="G39" s="2205">
        <v>0</v>
      </c>
      <c r="H39" s="2226">
        <v>0</v>
      </c>
      <c r="I39" s="2205">
        <v>-131</v>
      </c>
      <c r="J39" s="2223">
        <f>SUM(G39:I39)</f>
        <v>-131</v>
      </c>
      <c r="L39" s="2225">
        <f>SUM(E39,J39)</f>
        <v>-64812.7</v>
      </c>
      <c r="N39" s="2205">
        <v>0</v>
      </c>
      <c r="O39" s="2205">
        <v>0</v>
      </c>
      <c r="P39" s="2205">
        <v>0</v>
      </c>
      <c r="Q39" s="2223">
        <v>0</v>
      </c>
      <c r="S39" s="2205">
        <v>460</v>
      </c>
      <c r="T39" s="2224">
        <v>0</v>
      </c>
      <c r="U39" s="2205">
        <v>-1077</v>
      </c>
      <c r="V39" s="2223">
        <f>SUM(S39:U39)</f>
        <v>-617</v>
      </c>
      <c r="X39" s="2222">
        <f>SUM(L39,Q39,V39)</f>
        <v>-65429.7</v>
      </c>
      <c r="Z39" s="2205">
        <v>347</v>
      </c>
      <c r="AA39" s="2205">
        <v>0</v>
      </c>
      <c r="AB39" s="2205">
        <v>-1759</v>
      </c>
      <c r="AC39" s="2223">
        <f>SUM(Z39:AB39)</f>
        <v>-1412</v>
      </c>
      <c r="AE39" s="2222">
        <f>SUM(X39,AC39)</f>
        <v>-66841.7</v>
      </c>
      <c r="AG39" s="2205">
        <v>737</v>
      </c>
      <c r="AH39" s="2205">
        <v>0</v>
      </c>
      <c r="AI39" s="2205">
        <v>-1394</v>
      </c>
      <c r="AJ39" s="2223">
        <f>SUM(AG39:AI39)</f>
        <v>-657</v>
      </c>
      <c r="AL39" s="2225">
        <f>SUM(AE39,AJ39)</f>
        <v>-67498.7</v>
      </c>
    </row>
    <row r="40" spans="1:48">
      <c r="A40" s="2201" t="s">
        <v>654</v>
      </c>
      <c r="B40" s="2205">
        <v>-13521.6</v>
      </c>
      <c r="C40" s="2223">
        <f>+E40-B40</f>
        <v>109.89999999999964</v>
      </c>
      <c r="E40" s="2225">
        <v>-13411.7</v>
      </c>
      <c r="G40" s="2205">
        <v>0</v>
      </c>
      <c r="H40" s="2205">
        <v>0</v>
      </c>
      <c r="I40" s="2205">
        <v>261</v>
      </c>
      <c r="J40" s="2223">
        <f>SUM(G40:I40)</f>
        <v>261</v>
      </c>
      <c r="L40" s="2222">
        <f>SUM(E40,J40)</f>
        <v>-13150.7</v>
      </c>
      <c r="N40" s="2205">
        <v>0</v>
      </c>
      <c r="O40" s="2205">
        <v>0</v>
      </c>
      <c r="P40" s="2205">
        <v>0</v>
      </c>
      <c r="Q40" s="2223">
        <v>0</v>
      </c>
      <c r="S40" s="2205">
        <v>704</v>
      </c>
      <c r="T40" s="2224">
        <v>0</v>
      </c>
      <c r="U40" s="2205">
        <v>-186</v>
      </c>
      <c r="V40" s="2223">
        <f>SUM(S40:U40)</f>
        <v>518</v>
      </c>
      <c r="X40" s="2222">
        <f>SUM(L40,Q40,V40)</f>
        <v>-12632.7</v>
      </c>
      <c r="Z40" s="2205">
        <v>487</v>
      </c>
      <c r="AA40" s="2205">
        <v>0</v>
      </c>
      <c r="AB40" s="2205">
        <v>-421</v>
      </c>
      <c r="AC40" s="2223">
        <f>SUM(Z40:AB40)</f>
        <v>66</v>
      </c>
      <c r="AE40" s="2222">
        <f>SUM(X40,AC40)</f>
        <v>-12566.7</v>
      </c>
      <c r="AG40" s="2205">
        <v>1012</v>
      </c>
      <c r="AH40" s="2205">
        <v>0</v>
      </c>
      <c r="AI40" s="2205">
        <v>-499</v>
      </c>
      <c r="AJ40" s="2223">
        <f>SUM(AG40:AI40)</f>
        <v>513</v>
      </c>
      <c r="AL40" s="2222">
        <f>SUM(AE40,AJ40)</f>
        <v>-12053.7</v>
      </c>
    </row>
    <row r="41" spans="1:48" ht="13.5" thickBot="1">
      <c r="A41" s="2201" t="s">
        <v>1787</v>
      </c>
      <c r="B41" s="2220">
        <f>SUM(B37:B40)</f>
        <v>-84995.200000000012</v>
      </c>
      <c r="C41" s="2221">
        <f>SUM(C37:C40)</f>
        <v>117.00000000000227</v>
      </c>
      <c r="D41" s="2209">
        <f>SUM(D37:D40)</f>
        <v>0</v>
      </c>
      <c r="E41" s="2220">
        <f>SUM(E37:E40)</f>
        <v>-84878.2</v>
      </c>
      <c r="F41" s="2209"/>
      <c r="G41" s="2220">
        <f>SUM(G37:G40)</f>
        <v>0</v>
      </c>
      <c r="H41" s="2220">
        <f>SUM(H37:H40)</f>
        <v>0</v>
      </c>
      <c r="I41" s="2220">
        <f>SUM(I37:I40)</f>
        <v>229</v>
      </c>
      <c r="J41" s="2221">
        <f>SUM(J37:J40)</f>
        <v>229</v>
      </c>
      <c r="K41" s="2209"/>
      <c r="L41" s="2220">
        <f>SUM(L36:L40)</f>
        <v>-84649.2</v>
      </c>
      <c r="M41" s="2209"/>
      <c r="N41" s="2220">
        <f>SUM(N37:N40)</f>
        <v>0</v>
      </c>
      <c r="O41" s="2220">
        <f>SUM(O37:O40)</f>
        <v>0</v>
      </c>
      <c r="P41" s="2220">
        <f>SUM(P37:P40)</f>
        <v>0</v>
      </c>
      <c r="Q41" s="2221">
        <f>SUM(Q37:Q40)</f>
        <v>0</v>
      </c>
      <c r="R41" s="2209"/>
      <c r="S41" s="2220">
        <f>SUM(S37:S40)</f>
        <v>1452</v>
      </c>
      <c r="T41" s="2220">
        <f>SUM(T37:T40)</f>
        <v>0</v>
      </c>
      <c r="U41" s="2220">
        <f>SUM(U37:U40)</f>
        <v>-1367</v>
      </c>
      <c r="V41" s="2221">
        <f>SUM(V37:V40)</f>
        <v>85</v>
      </c>
      <c r="W41" s="2209"/>
      <c r="X41" s="2210">
        <f>SUM(X37:X40)</f>
        <v>-84564.2</v>
      </c>
      <c r="Y41" s="2209"/>
      <c r="Z41" s="2220">
        <f>SUM(Z37:Z40)</f>
        <v>1035</v>
      </c>
      <c r="AA41" s="2220">
        <f>SUM(AA37:AA40)</f>
        <v>0</v>
      </c>
      <c r="AB41" s="2220">
        <f>SUM(AB37:AB40)</f>
        <v>-2431</v>
      </c>
      <c r="AC41" s="2221">
        <f>SUM(AC37:AC40)</f>
        <v>-1396</v>
      </c>
      <c r="AD41" s="2209"/>
      <c r="AE41" s="2210">
        <f>SUM(AE36:AE40)</f>
        <v>-85960.2</v>
      </c>
      <c r="AF41" s="2209"/>
      <c r="AG41" s="2220">
        <f>SUM(AG37:AG40)</f>
        <v>2165</v>
      </c>
      <c r="AH41" s="2220">
        <f>SUM(AH37:AH40)</f>
        <v>0</v>
      </c>
      <c r="AI41" s="2220">
        <f>SUM(AI37:AI40)</f>
        <v>-2092</v>
      </c>
      <c r="AJ41" s="2221">
        <f>SUM(AJ37:AJ40)</f>
        <v>73</v>
      </c>
      <c r="AK41" s="2209"/>
      <c r="AL41" s="2220">
        <f>SUM(AL36:AL40)</f>
        <v>-85887.2</v>
      </c>
      <c r="AM41" s="2209"/>
    </row>
    <row r="42" spans="1:48">
      <c r="A42" s="2212"/>
      <c r="B42" s="2218" t="s">
        <v>1786</v>
      </c>
      <c r="C42" s="2215"/>
      <c r="D42" s="2214"/>
      <c r="E42" s="2218" t="s">
        <v>1785</v>
      </c>
      <c r="F42" s="2212"/>
      <c r="G42" s="2218"/>
      <c r="H42" s="2216"/>
      <c r="I42" s="2216" t="s">
        <v>1784</v>
      </c>
      <c r="J42" s="2215"/>
      <c r="K42" s="2214"/>
      <c r="L42" s="2213"/>
      <c r="M42" s="2212"/>
      <c r="N42" s="2218"/>
      <c r="O42" s="2218"/>
      <c r="P42" s="2218"/>
      <c r="Q42" s="2215"/>
      <c r="R42" s="2212"/>
      <c r="S42" s="2218" t="s">
        <v>1783</v>
      </c>
      <c r="T42" s="2216"/>
      <c r="U42" s="2216" t="s">
        <v>1782</v>
      </c>
      <c r="V42" s="2215"/>
      <c r="W42" s="2214"/>
      <c r="X42" s="2213"/>
      <c r="Y42" s="2212"/>
      <c r="Z42" s="2218" t="s">
        <v>1783</v>
      </c>
      <c r="AA42" s="2216"/>
      <c r="AB42" s="2216" t="s">
        <v>1782</v>
      </c>
      <c r="AC42" s="2215"/>
      <c r="AD42" s="2214"/>
      <c r="AE42" s="2219"/>
      <c r="AF42" s="2212"/>
      <c r="AG42" s="2218" t="s">
        <v>1783</v>
      </c>
      <c r="AH42" s="2217"/>
      <c r="AI42" s="2216" t="s">
        <v>1782</v>
      </c>
      <c r="AJ42" s="2215"/>
      <c r="AK42" s="2214"/>
      <c r="AL42" s="2213"/>
      <c r="AM42" s="2212"/>
      <c r="AN42" s="2212"/>
      <c r="AO42" s="2212"/>
      <c r="AP42" s="2212"/>
      <c r="AQ42" s="2212"/>
      <c r="AR42" s="2212"/>
      <c r="AS42" s="2212"/>
      <c r="AT42" s="2212"/>
      <c r="AU42" s="2212"/>
      <c r="AV42" s="2212"/>
    </row>
    <row r="43" spans="1:48" ht="13.5" thickBot="1">
      <c r="A43" s="2201" t="s">
        <v>1781</v>
      </c>
      <c r="B43" s="2210">
        <f>B27+B34+B41</f>
        <v>497663.76845000003</v>
      </c>
      <c r="C43" s="2211">
        <f>C27+C34+C41</f>
        <v>12408.306710000021</v>
      </c>
      <c r="D43" s="2209">
        <f>D27+D34+D41</f>
        <v>0</v>
      </c>
      <c r="E43" s="2210">
        <f>E27+E34+E41</f>
        <v>510072.07516000007</v>
      </c>
      <c r="F43" s="2209"/>
      <c r="G43" s="2210">
        <f>G27+G34+G41</f>
        <v>-15846.735563663411</v>
      </c>
      <c r="H43" s="2210">
        <f>H27+H34+H41</f>
        <v>0</v>
      </c>
      <c r="I43" s="2210">
        <f>I27+I34+I41</f>
        <v>35335</v>
      </c>
      <c r="J43" s="2211">
        <f>J27+J34+J41</f>
        <v>19488.264436336591</v>
      </c>
      <c r="K43" s="2209"/>
      <c r="L43" s="2210">
        <f>L27+L34+L41</f>
        <v>529560.33959633671</v>
      </c>
      <c r="M43" s="2209"/>
      <c r="N43" s="2210">
        <f>N27+N34+N41</f>
        <v>0</v>
      </c>
      <c r="O43" s="2210">
        <f>O27+O34+O41</f>
        <v>0</v>
      </c>
      <c r="P43" s="2210">
        <f>P27+P34+P41</f>
        <v>0</v>
      </c>
      <c r="Q43" s="2211">
        <f>Q27+Q34+Q41</f>
        <v>0</v>
      </c>
      <c r="R43" s="2209"/>
      <c r="S43" s="2210">
        <f>S27+S34+S41</f>
        <v>-27952.724793034344</v>
      </c>
      <c r="T43" s="2210">
        <f>T27+T34+T41</f>
        <v>0</v>
      </c>
      <c r="U43" s="2210">
        <f>U27+U34+U41</f>
        <v>48521</v>
      </c>
      <c r="V43" s="2211">
        <f>V27+V34+V41</f>
        <v>20568.275206965656</v>
      </c>
      <c r="W43" s="2209"/>
      <c r="X43" s="2210">
        <f>X27+X34+X41</f>
        <v>550128.61480330233</v>
      </c>
      <c r="Y43" s="2209"/>
      <c r="Z43" s="2210">
        <f>Z27+Z34+Z41</f>
        <v>-12695.151579896257</v>
      </c>
      <c r="AA43" s="2210">
        <f>AA27+AA34+AA41</f>
        <v>0</v>
      </c>
      <c r="AB43" s="2210">
        <f>AB27+AB34+AB41</f>
        <v>15899</v>
      </c>
      <c r="AC43" s="2211">
        <f>AC27+AC34+AC41</f>
        <v>3203.8484201037427</v>
      </c>
      <c r="AD43" s="2209"/>
      <c r="AE43" s="2210">
        <f>AE27+AE34+AE41</f>
        <v>553332.46322340611</v>
      </c>
      <c r="AF43" s="2209"/>
      <c r="AG43" s="2210">
        <f>AG27+AG34+AG41</f>
        <v>-20739.843892524725</v>
      </c>
      <c r="AH43" s="2210">
        <f>AH27+AH34+AH41</f>
        <v>0</v>
      </c>
      <c r="AI43" s="2210">
        <f>AI27+AI34+AI41</f>
        <v>38318</v>
      </c>
      <c r="AJ43" s="2211">
        <f>AJ27+AJ34+AJ41</f>
        <v>17578.156107475275</v>
      </c>
      <c r="AK43" s="2209"/>
      <c r="AL43" s="2210">
        <f>AL27+AL34+AL41</f>
        <v>570910.6193308814</v>
      </c>
      <c r="AM43" s="2209"/>
    </row>
    <row r="44" spans="1:48">
      <c r="A44" s="2208"/>
      <c r="B44" s="2207"/>
      <c r="C44" s="2204"/>
      <c r="D44" s="2205"/>
      <c r="E44" s="2204"/>
      <c r="G44" s="2207"/>
      <c r="H44" s="2204"/>
      <c r="I44" s="2206"/>
      <c r="J44" s="2204"/>
      <c r="K44" s="2205"/>
      <c r="L44" s="2204"/>
      <c r="Q44" s="2204"/>
      <c r="S44" s="2207"/>
      <c r="T44" s="2204"/>
      <c r="U44" s="2206"/>
      <c r="V44" s="2204"/>
      <c r="W44" s="2205"/>
      <c r="X44" s="2204"/>
      <c r="Z44" s="2207"/>
      <c r="AA44" s="2204"/>
      <c r="AB44" s="2206"/>
      <c r="AC44" s="2204"/>
      <c r="AD44" s="2205"/>
      <c r="AE44" s="2204"/>
      <c r="AG44" s="2207"/>
      <c r="AH44" s="2204"/>
      <c r="AI44" s="2206"/>
      <c r="AJ44" s="2204"/>
      <c r="AK44" s="2205"/>
      <c r="AL44" s="2204"/>
    </row>
    <row r="45" spans="1:48">
      <c r="B45" s="2203"/>
      <c r="C45" s="2203"/>
      <c r="D45" s="2203"/>
      <c r="E45" s="2203"/>
    </row>
    <row r="46" spans="1:48">
      <c r="A46" s="2202"/>
    </row>
  </sheetData>
  <mergeCells count="7">
    <mergeCell ref="AP26:AS30"/>
    <mergeCell ref="Z4:AC4"/>
    <mergeCell ref="AG4:AJ4"/>
    <mergeCell ref="B4:C4"/>
    <mergeCell ref="G4:J4"/>
    <mergeCell ref="S4:V4"/>
    <mergeCell ref="N4:Q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61014-4CCD-44E5-9C57-9F0736037CC3}">
  <dimension ref="A1:AU248"/>
  <sheetViews>
    <sheetView workbookViewId="0">
      <selection activeCell="F6" sqref="F6"/>
    </sheetView>
  </sheetViews>
  <sheetFormatPr defaultRowHeight="12.75"/>
  <cols>
    <col min="1" max="1" width="2.28515625" style="477" customWidth="1"/>
    <col min="2" max="2" width="35.28515625" style="477" customWidth="1"/>
    <col min="3" max="3" width="10.140625" style="477" customWidth="1"/>
    <col min="4" max="5" width="11.7109375" style="477" customWidth="1"/>
    <col min="6" max="6" width="10.140625" style="477" customWidth="1"/>
    <col min="7" max="7" width="11.7109375" style="477" customWidth="1"/>
    <col min="8" max="8" width="12.5703125" style="477" customWidth="1"/>
    <col min="9" max="9" width="9.28515625" style="477" customWidth="1"/>
    <col min="10" max="10" width="32.7109375" style="477" customWidth="1"/>
    <col min="11" max="11" width="2.28515625" style="477" customWidth="1"/>
    <col min="12" max="12" width="1.7109375" style="2142" customWidth="1"/>
    <col min="14" max="14" width="3.140625" style="477" customWidth="1"/>
    <col min="15" max="15" width="41" style="477" customWidth="1"/>
    <col min="16" max="16" width="11.140625" style="477" bestFit="1" customWidth="1"/>
    <col min="17" max="18" width="11.7109375" style="477" customWidth="1"/>
    <col min="19" max="19" width="13.85546875" style="477" customWidth="1"/>
    <col min="20" max="22" width="11.7109375" style="477" customWidth="1"/>
    <col min="23" max="23" width="17.140625" style="477" customWidth="1"/>
    <col min="24" max="24" width="10.28515625" style="477" customWidth="1"/>
    <col min="25" max="25" width="22.85546875" style="477" customWidth="1"/>
    <col min="26" max="26" width="1.28515625" style="477" customWidth="1"/>
    <col min="27" max="27" width="1.7109375" style="2142" customWidth="1"/>
    <col min="29" max="29" width="9.140625" style="2331" customWidth="1"/>
    <col min="30" max="30" width="26" style="2318" customWidth="1"/>
    <col min="31" max="31" width="11" style="2318" customWidth="1"/>
    <col min="32" max="32" width="11.85546875" style="2318" bestFit="1" customWidth="1"/>
    <col min="33" max="33" width="14.140625" style="2318" bestFit="1" customWidth="1"/>
    <col min="34" max="34" width="14.140625" style="2318" hidden="1" customWidth="1"/>
    <col min="35" max="36" width="11.42578125" style="2318" customWidth="1"/>
    <col min="37" max="37" width="12" style="2318" customWidth="1"/>
    <col min="38" max="38" width="12.5703125" style="2318" customWidth="1"/>
    <col min="39" max="39" width="10.7109375" style="2318" customWidth="1"/>
    <col min="40" max="40" width="3.7109375" style="2318" customWidth="1"/>
    <col min="41" max="41" width="13.28515625" style="2318" customWidth="1"/>
    <col min="42" max="42" width="3.7109375" style="2318" customWidth="1"/>
    <col min="43" max="44" width="10.7109375" style="2318" customWidth="1"/>
    <col min="45" max="45" width="35.7109375" style="2318" customWidth="1"/>
    <col min="46" max="47" width="10.7109375" style="2318"/>
  </cols>
  <sheetData>
    <row r="1" spans="1:47">
      <c r="A1" s="531" t="s">
        <v>1871</v>
      </c>
      <c r="N1" s="531" t="s">
        <v>1944</v>
      </c>
    </row>
    <row r="2" spans="1:47" ht="18">
      <c r="A2" s="3994" t="s">
        <v>3439</v>
      </c>
      <c r="O2" s="1105" t="s">
        <v>1943</v>
      </c>
      <c r="R2" s="2329" t="s">
        <v>405</v>
      </c>
      <c r="S2" s="2329" t="s">
        <v>1942</v>
      </c>
      <c r="T2" s="2329" t="s">
        <v>405</v>
      </c>
      <c r="U2" s="2329" t="s">
        <v>515</v>
      </c>
      <c r="V2" s="2306" t="s">
        <v>24</v>
      </c>
      <c r="W2" s="2330" t="s">
        <v>1941</v>
      </c>
      <c r="AC2" s="2407"/>
    </row>
    <row r="3" spans="1:47">
      <c r="A3" s="531"/>
      <c r="G3" s="2306" t="s">
        <v>24</v>
      </c>
      <c r="H3" s="2307" t="s">
        <v>1555</v>
      </c>
      <c r="N3" s="634"/>
      <c r="Q3" s="2306" t="s">
        <v>1940</v>
      </c>
      <c r="R3" s="2329" t="s">
        <v>1939</v>
      </c>
      <c r="S3" s="2329" t="s">
        <v>1938</v>
      </c>
      <c r="T3" s="2329" t="s">
        <v>1937</v>
      </c>
      <c r="U3" s="2329" t="s">
        <v>155</v>
      </c>
      <c r="V3" s="2306" t="s">
        <v>1867</v>
      </c>
      <c r="W3" s="2327" t="s">
        <v>1936</v>
      </c>
      <c r="AL3" s="2291" t="s">
        <v>2002</v>
      </c>
    </row>
    <row r="4" spans="1:47">
      <c r="A4" s="634" t="s">
        <v>1870</v>
      </c>
      <c r="D4" s="2306" t="s">
        <v>1869</v>
      </c>
      <c r="E4" s="2306"/>
      <c r="F4" s="2306" t="s">
        <v>1868</v>
      </c>
      <c r="G4" s="2306" t="s">
        <v>1867</v>
      </c>
      <c r="H4" s="2305" t="s">
        <v>1866</v>
      </c>
      <c r="Q4" s="2328">
        <v>1</v>
      </c>
      <c r="R4" s="1117">
        <v>2.0099999999999998</v>
      </c>
      <c r="S4" s="2328">
        <v>2.1</v>
      </c>
      <c r="T4" s="2328">
        <v>2.11</v>
      </c>
      <c r="U4" s="2328">
        <v>2.12</v>
      </c>
      <c r="V4" s="2306"/>
      <c r="W4" s="2327" t="s">
        <v>1935</v>
      </c>
      <c r="AC4" s="2345" t="s">
        <v>1966</v>
      </c>
      <c r="AD4" s="2291"/>
      <c r="AE4" s="2291" t="s">
        <v>110</v>
      </c>
      <c r="AF4" s="2291" t="s">
        <v>2006</v>
      </c>
      <c r="AG4" s="2291" t="s">
        <v>2005</v>
      </c>
      <c r="AH4" s="2291" t="s">
        <v>2004</v>
      </c>
      <c r="AI4" s="2291" t="s">
        <v>2003</v>
      </c>
      <c r="AJ4" s="2291" t="s">
        <v>2002</v>
      </c>
      <c r="AK4" s="2291" t="s">
        <v>2002</v>
      </c>
      <c r="AL4" s="2291" t="s">
        <v>2001</v>
      </c>
      <c r="AM4" s="2291"/>
      <c r="AN4" s="2291"/>
      <c r="AO4" s="2291"/>
      <c r="AP4" s="2291"/>
      <c r="AQ4" s="2291"/>
      <c r="AR4" s="2291"/>
      <c r="AS4" s="2291"/>
      <c r="AT4" s="2291"/>
      <c r="AU4" s="2291"/>
    </row>
    <row r="5" spans="1:47">
      <c r="B5" s="2289" t="s">
        <v>1555</v>
      </c>
      <c r="C5" s="2289" t="s">
        <v>1865</v>
      </c>
      <c r="E5" s="2289" t="s">
        <v>1865</v>
      </c>
      <c r="F5" s="199"/>
      <c r="G5" s="199"/>
      <c r="H5" s="2304"/>
      <c r="O5" s="2289" t="s">
        <v>1555</v>
      </c>
      <c r="P5" s="2289" t="s">
        <v>1865</v>
      </c>
      <c r="U5" s="2289"/>
      <c r="V5" s="199"/>
      <c r="W5" s="2326"/>
      <c r="AC5" s="2345" t="s">
        <v>1963</v>
      </c>
      <c r="AD5" s="2344"/>
      <c r="AE5" s="2344" t="s">
        <v>198</v>
      </c>
      <c r="AF5" s="2344" t="s">
        <v>2048</v>
      </c>
      <c r="AG5" s="2344" t="s">
        <v>2047</v>
      </c>
      <c r="AH5" s="2344" t="s">
        <v>2046</v>
      </c>
      <c r="AI5" s="2344" t="s">
        <v>2045</v>
      </c>
      <c r="AJ5" s="2344" t="s">
        <v>1998</v>
      </c>
      <c r="AK5" s="2344" t="s">
        <v>1997</v>
      </c>
      <c r="AL5" s="2344" t="s">
        <v>1996</v>
      </c>
      <c r="AM5" s="2291"/>
      <c r="AN5" s="2405"/>
      <c r="AO5" s="2405"/>
      <c r="AP5" s="2405"/>
      <c r="AQ5" s="2405"/>
      <c r="AR5" s="2405"/>
      <c r="AS5" s="2406" t="s">
        <v>2044</v>
      </c>
      <c r="AT5" s="2405"/>
      <c r="AU5" s="2405"/>
    </row>
    <row r="6" spans="1:47">
      <c r="B6" s="987" t="s">
        <v>1864</v>
      </c>
      <c r="C6" s="2287" t="s">
        <v>1847</v>
      </c>
      <c r="D6" s="2286">
        <f>'G-3.01 PF Rev Norm'!W6</f>
        <v>116529.42364116467</v>
      </c>
      <c r="E6" s="2287" t="s">
        <v>1859</v>
      </c>
      <c r="F6" s="2299">
        <f>ROUND(AE143/1000,)-F12</f>
        <v>121812</v>
      </c>
      <c r="G6" s="2286">
        <f>F6-D6</f>
        <v>5282.5763588353293</v>
      </c>
      <c r="H6" s="2282">
        <f>G6</f>
        <v>5282.5763588353293</v>
      </c>
      <c r="O6" s="2303" t="s">
        <v>1934</v>
      </c>
      <c r="P6" s="2323" t="s">
        <v>1855</v>
      </c>
      <c r="Q6" s="2286">
        <f>Q19-SUM(Q7:Q18)</f>
        <v>116529.42364116467</v>
      </c>
      <c r="R6" s="2286"/>
      <c r="S6" s="2286"/>
      <c r="T6" s="2275"/>
      <c r="U6" s="2275"/>
      <c r="V6" s="2286">
        <f t="shared" ref="V6:V18" si="0">SUM(R6:U6)</f>
        <v>0</v>
      </c>
      <c r="W6" s="2282">
        <f t="shared" ref="W6:W18" si="1">Q6+V6</f>
        <v>116529.42364116467</v>
      </c>
      <c r="AD6" s="2369" t="s">
        <v>2043</v>
      </c>
      <c r="AN6" s="2405"/>
      <c r="AO6" s="2332" t="s">
        <v>2042</v>
      </c>
      <c r="AP6" s="2405"/>
      <c r="AQ6" s="2405"/>
      <c r="AR6" s="2332"/>
      <c r="AS6" s="3859" t="str">
        <f>"AVISTA UTILITIES
WASHINGTON NATURAL GAS
PRO FORMA REVENUE UNDER PRESENT AND PROPOSED "&amp;AQ9&amp;" RATES
12 MONTHS ENDED JUNE 30, 2023"</f>
        <v>AVISTA UTILITIES
WASHINGTON NATURAL GAS
PRO FORMA REVENUE UNDER PRESENT AND PROPOSED BASE TARIFF RATES
12 MONTHS ENDED JUNE 30, 2023</v>
      </c>
      <c r="AT6" s="3859"/>
      <c r="AU6" s="3859"/>
    </row>
    <row r="7" spans="1:47">
      <c r="B7" s="2303" t="s">
        <v>1863</v>
      </c>
      <c r="C7" s="2287" t="s">
        <v>1847</v>
      </c>
      <c r="D7" s="2286">
        <f>'G-3.01 PF Rev Norm'!W7</f>
        <v>94853.747647803742</v>
      </c>
      <c r="E7" s="2287"/>
      <c r="F7" s="2299"/>
      <c r="G7" s="2286">
        <f>F7-D7</f>
        <v>-94853.747647803742</v>
      </c>
      <c r="H7" s="2282">
        <f>G7</f>
        <v>-94853.747647803742</v>
      </c>
      <c r="O7" s="987" t="s">
        <v>1933</v>
      </c>
      <c r="P7" s="2323" t="s">
        <v>1896</v>
      </c>
      <c r="Q7" s="2309">
        <f>(Q39+T39)*X53-1</f>
        <v>94913.576358835329</v>
      </c>
      <c r="R7" s="2286"/>
      <c r="S7" s="2286">
        <f>S39*X53</f>
        <v>-59.828711031590274</v>
      </c>
      <c r="T7" s="2275"/>
      <c r="U7" s="2275"/>
      <c r="V7" s="2286">
        <f t="shared" si="0"/>
        <v>-59.828711031590274</v>
      </c>
      <c r="W7" s="2282">
        <f t="shared" si="1"/>
        <v>94853.747647803742</v>
      </c>
      <c r="AD7" s="2357" t="s">
        <v>1960</v>
      </c>
      <c r="AN7" s="2403" t="s">
        <v>2041</v>
      </c>
      <c r="AO7" s="2332" t="s">
        <v>2040</v>
      </c>
      <c r="AP7" s="2405"/>
      <c r="AQ7" s="2405"/>
      <c r="AR7" s="2332"/>
      <c r="AS7" s="3859"/>
      <c r="AT7" s="3859"/>
      <c r="AU7" s="3859"/>
    </row>
    <row r="8" spans="1:47">
      <c r="B8" s="634" t="s">
        <v>1862</v>
      </c>
      <c r="C8" s="2287" t="s">
        <v>1847</v>
      </c>
      <c r="D8" s="2286">
        <f>'G-3.01 PF Rev Norm'!W8</f>
        <v>87.828711031590274</v>
      </c>
      <c r="E8" s="2287" t="s">
        <v>1859</v>
      </c>
      <c r="F8" s="2299">
        <f>ROUND(AE139/1000,)</f>
        <v>62</v>
      </c>
      <c r="G8" s="2286">
        <f>F8-D8</f>
        <v>-25.828711031590274</v>
      </c>
      <c r="H8" s="2282">
        <f>G8</f>
        <v>-25.828711031590274</v>
      </c>
      <c r="O8" s="477" t="s">
        <v>1862</v>
      </c>
      <c r="P8" s="2318" t="s">
        <v>1932</v>
      </c>
      <c r="Q8" s="2266"/>
      <c r="R8" s="2266"/>
      <c r="S8" s="2266">
        <f>28-S7</f>
        <v>87.828711031590274</v>
      </c>
      <c r="T8" s="2275"/>
      <c r="U8" s="2275"/>
      <c r="V8" s="2286">
        <f t="shared" si="0"/>
        <v>87.828711031590274</v>
      </c>
      <c r="W8" s="2282">
        <f t="shared" si="1"/>
        <v>87.828711031590274</v>
      </c>
      <c r="X8" s="3856" t="s">
        <v>1931</v>
      </c>
      <c r="Y8" s="3830"/>
      <c r="AD8" s="2318" t="s">
        <v>1992</v>
      </c>
      <c r="AE8" s="2366"/>
      <c r="AF8" s="2366">
        <v>80993659.046190009</v>
      </c>
      <c r="AG8" s="2366">
        <v>7004339.4199599996</v>
      </c>
      <c r="AH8" s="2366"/>
      <c r="AI8" s="2366">
        <v>480000</v>
      </c>
      <c r="AJ8" s="2366">
        <v>7217935</v>
      </c>
      <c r="AK8" s="2402">
        <v>23379996</v>
      </c>
      <c r="AL8" s="2366">
        <v>9627587</v>
      </c>
      <c r="AN8" s="2332"/>
      <c r="AO8" s="2405" t="s">
        <v>2039</v>
      </c>
      <c r="AP8" s="2332"/>
      <c r="AQ8" s="2404">
        <v>1</v>
      </c>
      <c r="AR8" s="2332"/>
      <c r="AS8" s="3859"/>
      <c r="AT8" s="3859"/>
      <c r="AU8" s="3859"/>
    </row>
    <row r="9" spans="1:47">
      <c r="B9" s="477" t="s">
        <v>213</v>
      </c>
      <c r="C9" s="2287" t="s">
        <v>1847</v>
      </c>
      <c r="D9" s="2286">
        <f>'G-3.01 PF Rev Norm'!W18</f>
        <v>-102</v>
      </c>
      <c r="E9" s="2287" t="s">
        <v>1859</v>
      </c>
      <c r="F9" s="2299">
        <f>ROUND(AE128/1000,)</f>
        <v>-291</v>
      </c>
      <c r="G9" s="2286">
        <f>F9-D9</f>
        <v>-189</v>
      </c>
      <c r="H9" s="2282">
        <f>G9</f>
        <v>-189</v>
      </c>
      <c r="O9" s="477" t="s">
        <v>1930</v>
      </c>
      <c r="P9" s="2318" t="s">
        <v>1855</v>
      </c>
      <c r="Q9" s="2286">
        <f>-V9</f>
        <v>18663</v>
      </c>
      <c r="R9" s="2286"/>
      <c r="S9" s="2286"/>
      <c r="T9" s="2286">
        <f>ROUND(T40*$X$53,0)</f>
        <v>-18663</v>
      </c>
      <c r="U9" s="2286"/>
      <c r="V9" s="2286">
        <f t="shared" si="0"/>
        <v>-18663</v>
      </c>
      <c r="W9" s="2282">
        <f t="shared" si="1"/>
        <v>0</v>
      </c>
      <c r="X9" s="3857"/>
      <c r="Y9" s="3830"/>
      <c r="AD9" s="2318" t="s">
        <v>1991</v>
      </c>
      <c r="AE9" s="2366"/>
      <c r="AF9" s="2366">
        <v>55549613.811489999</v>
      </c>
      <c r="AG9" s="2366">
        <v>18294954.25451</v>
      </c>
      <c r="AH9" s="2366"/>
      <c r="AI9" s="2366">
        <v>640871.58799999999</v>
      </c>
      <c r="AJ9" s="2366">
        <v>7083974</v>
      </c>
      <c r="AK9" s="2402">
        <v>5164136</v>
      </c>
      <c r="AL9" s="2366"/>
      <c r="AN9" s="2403" t="s">
        <v>2038</v>
      </c>
      <c r="AO9" s="2332" t="s">
        <v>2037</v>
      </c>
      <c r="AP9" s="2332"/>
      <c r="AQ9" s="2332" t="str">
        <f>CHOOSE(Base1_Billing2,AO7,AO9)</f>
        <v>BASE TARIFF</v>
      </c>
      <c r="AR9" s="2332"/>
      <c r="AS9" s="3859"/>
      <c r="AT9" s="3859"/>
      <c r="AU9" s="3859"/>
    </row>
    <row r="10" spans="1:47">
      <c r="B10" s="2302" t="s">
        <v>1861</v>
      </c>
      <c r="C10" s="2287"/>
      <c r="D10" s="2297">
        <f>SUM(D6:D9)</f>
        <v>211369</v>
      </c>
      <c r="E10" s="2294"/>
      <c r="F10" s="2297">
        <f>SUM(F6:F9)</f>
        <v>121583</v>
      </c>
      <c r="G10" s="2297">
        <f>F10-D10</f>
        <v>-89786</v>
      </c>
      <c r="H10" s="2283">
        <f>SUM(H6:H9)</f>
        <v>-89786</v>
      </c>
      <c r="O10" s="477" t="s">
        <v>1929</v>
      </c>
      <c r="P10" s="2275" t="s">
        <v>1911</v>
      </c>
      <c r="Q10" s="2286">
        <f>-V10</f>
        <v>8526</v>
      </c>
      <c r="R10" s="2266">
        <v>-8526</v>
      </c>
      <c r="S10" s="2266"/>
      <c r="T10" s="2325"/>
      <c r="U10" s="2325"/>
      <c r="V10" s="2286">
        <f t="shared" si="0"/>
        <v>-8526</v>
      </c>
      <c r="W10" s="2282">
        <f t="shared" si="1"/>
        <v>0</v>
      </c>
      <c r="X10" s="3857"/>
      <c r="Y10" s="3830"/>
      <c r="AD10" s="2318" t="s">
        <v>1990</v>
      </c>
      <c r="AE10" s="2366"/>
      <c r="AF10" s="2366"/>
      <c r="AG10" s="2366">
        <v>31380403.08151</v>
      </c>
      <c r="AH10" s="2366"/>
      <c r="AI10" s="2366">
        <v>684750.42000000016</v>
      </c>
      <c r="AJ10" s="2366">
        <v>13394294</v>
      </c>
      <c r="AK10" s="2402">
        <v>0</v>
      </c>
      <c r="AL10" s="2366"/>
      <c r="AN10" s="2332"/>
      <c r="AO10" s="2332"/>
      <c r="AP10" s="2332"/>
      <c r="AQ10" s="2332" t="str">
        <f>CHOOSE(Base1_Billing2,"Base","Billing")</f>
        <v>Base</v>
      </c>
      <c r="AR10" s="2332"/>
      <c r="AS10" s="3859"/>
      <c r="AT10" s="3859"/>
      <c r="AU10" s="3859"/>
    </row>
    <row r="11" spans="1:47">
      <c r="B11" s="1428"/>
      <c r="C11" s="2291"/>
      <c r="D11" s="2286"/>
      <c r="E11" s="2301"/>
      <c r="F11" s="2290"/>
      <c r="G11" s="2286"/>
      <c r="H11" s="2282"/>
      <c r="O11" s="477" t="s">
        <v>1928</v>
      </c>
      <c r="P11" s="2323" t="s">
        <v>1896</v>
      </c>
      <c r="Q11" s="2309">
        <v>-8881</v>
      </c>
      <c r="R11" s="2266"/>
      <c r="S11" s="2266"/>
      <c r="T11" s="2286">
        <f>-Q11</f>
        <v>8881</v>
      </c>
      <c r="U11" s="2325"/>
      <c r="V11" s="2286">
        <f t="shared" si="0"/>
        <v>8881</v>
      </c>
      <c r="W11" s="2282">
        <f t="shared" si="1"/>
        <v>0</v>
      </c>
      <c r="X11" s="3857"/>
      <c r="Y11" s="3830"/>
      <c r="AD11" s="2318" t="s">
        <v>1989</v>
      </c>
      <c r="AE11" s="2366"/>
      <c r="AF11" s="2366"/>
      <c r="AG11" s="2366">
        <v>5263380.6339700008</v>
      </c>
      <c r="AH11" s="2366"/>
      <c r="AI11" s="2366">
        <v>887244.47400021553</v>
      </c>
      <c r="AJ11" s="2366">
        <v>2724881</v>
      </c>
      <c r="AK11" s="2402">
        <v>5714117</v>
      </c>
      <c r="AL11" s="2366"/>
      <c r="AN11" s="2332"/>
      <c r="AO11" s="2332"/>
      <c r="AP11" s="2332"/>
      <c r="AQ11" s="2332"/>
      <c r="AR11" s="2332"/>
      <c r="AS11" s="3859"/>
      <c r="AT11" s="3859"/>
      <c r="AU11" s="3859"/>
    </row>
    <row r="12" spans="1:47">
      <c r="B12" s="2300" t="s">
        <v>1860</v>
      </c>
      <c r="C12" s="2287" t="s">
        <v>1847</v>
      </c>
      <c r="D12" s="2286">
        <f>'G-3.01 PF Rev Norm'!W21</f>
        <v>5060</v>
      </c>
      <c r="E12" s="2287" t="s">
        <v>1859</v>
      </c>
      <c r="F12" s="2299">
        <f>ROUND(SUM(AJ121:AL121)/1000,)</f>
        <v>5393</v>
      </c>
      <c r="G12" s="2286">
        <f>F12-D12</f>
        <v>333</v>
      </c>
      <c r="H12" s="2282">
        <f>G12</f>
        <v>333</v>
      </c>
      <c r="O12" s="477" t="s">
        <v>1905</v>
      </c>
      <c r="P12" s="2323" t="s">
        <v>1896</v>
      </c>
      <c r="Q12" s="2309">
        <v>-51</v>
      </c>
      <c r="R12" s="2266"/>
      <c r="S12" s="2266"/>
      <c r="T12" s="2286">
        <f>-Q12</f>
        <v>51</v>
      </c>
      <c r="U12" s="2325"/>
      <c r="V12" s="2286">
        <f t="shared" si="0"/>
        <v>51</v>
      </c>
      <c r="W12" s="2282">
        <f t="shared" si="1"/>
        <v>0</v>
      </c>
      <c r="X12" s="3857"/>
      <c r="Y12" s="3830"/>
      <c r="AD12" s="2318" t="s">
        <v>1988</v>
      </c>
      <c r="AE12" s="2366"/>
      <c r="AF12" s="2366"/>
      <c r="AG12" s="2366">
        <v>3945932.3859999999</v>
      </c>
      <c r="AH12" s="2366"/>
      <c r="AI12" s="2366"/>
      <c r="AJ12" s="2366">
        <v>1772268</v>
      </c>
      <c r="AK12" s="2402">
        <v>10047176</v>
      </c>
      <c r="AL12" s="2366"/>
      <c r="AN12" s="2332"/>
      <c r="AO12" s="2332"/>
      <c r="AP12" s="2332"/>
      <c r="AQ12" s="2332"/>
      <c r="AR12" s="2332"/>
      <c r="AS12" s="2332"/>
      <c r="AT12" s="2332"/>
      <c r="AU12" s="2332"/>
    </row>
    <row r="13" spans="1:47">
      <c r="C13" s="880"/>
      <c r="E13" s="880"/>
      <c r="H13" s="2282"/>
      <c r="O13" s="477" t="s">
        <v>1927</v>
      </c>
      <c r="P13" s="2323" t="s">
        <v>1896</v>
      </c>
      <c r="Q13" s="2309">
        <v>-3908</v>
      </c>
      <c r="R13" s="2266"/>
      <c r="S13" s="2266"/>
      <c r="T13" s="2286">
        <f>-Q13</f>
        <v>3908</v>
      </c>
      <c r="U13" s="2325"/>
      <c r="V13" s="2286">
        <f t="shared" si="0"/>
        <v>3908</v>
      </c>
      <c r="W13" s="2282">
        <f t="shared" si="1"/>
        <v>0</v>
      </c>
      <c r="X13" s="3857"/>
      <c r="Y13" s="3830"/>
      <c r="AE13" s="2400"/>
      <c r="AF13" s="2400"/>
      <c r="AG13" s="2400"/>
      <c r="AH13" s="2400"/>
      <c r="AI13" s="2400"/>
      <c r="AJ13" s="2400"/>
      <c r="AK13" s="2400"/>
      <c r="AL13" s="2400"/>
    </row>
    <row r="14" spans="1:47">
      <c r="B14" s="634" t="s">
        <v>1858</v>
      </c>
      <c r="C14" s="2295"/>
      <c r="D14" s="2286">
        <f>'G-3.01 PF Rev Norm'!W23</f>
        <v>0</v>
      </c>
      <c r="E14" s="2296"/>
      <c r="F14" s="2266">
        <v>0</v>
      </c>
      <c r="G14" s="2286">
        <f>F14-D14</f>
        <v>0</v>
      </c>
      <c r="H14" s="2282">
        <f>G14</f>
        <v>0</v>
      </c>
      <c r="O14" s="634" t="s">
        <v>1926</v>
      </c>
      <c r="P14" s="2318" t="s">
        <v>1855</v>
      </c>
      <c r="Q14" s="2286">
        <f>-V14</f>
        <v>0</v>
      </c>
      <c r="R14" s="2266"/>
      <c r="S14" s="2266"/>
      <c r="T14" s="2286">
        <f>ROUND(T48*$X$53,0)</f>
        <v>0</v>
      </c>
      <c r="U14" s="2325"/>
      <c r="V14" s="2286">
        <f t="shared" si="0"/>
        <v>0</v>
      </c>
      <c r="W14" s="2282">
        <f t="shared" si="1"/>
        <v>0</v>
      </c>
      <c r="X14" s="3857"/>
      <c r="Y14" s="3830"/>
      <c r="AD14" s="2318" t="s">
        <v>1985</v>
      </c>
      <c r="AE14" s="2366">
        <f>SUM(AF14:AL14)</f>
        <v>291251513.11563027</v>
      </c>
      <c r="AF14" s="2366">
        <f t="shared" ref="AF14:AL14" si="2">SUM(AF8:AF12)</f>
        <v>136543272.85768002</v>
      </c>
      <c r="AG14" s="2366">
        <f t="shared" si="2"/>
        <v>65889009.77595</v>
      </c>
      <c r="AH14" s="2366">
        <f t="shared" si="2"/>
        <v>0</v>
      </c>
      <c r="AI14" s="2366">
        <f t="shared" si="2"/>
        <v>2692866.4820002159</v>
      </c>
      <c r="AJ14" s="2366">
        <f t="shared" si="2"/>
        <v>32193352</v>
      </c>
      <c r="AK14" s="2366">
        <f t="shared" si="2"/>
        <v>44305425</v>
      </c>
      <c r="AL14" s="2366">
        <f t="shared" si="2"/>
        <v>9627587</v>
      </c>
    </row>
    <row r="15" spans="1:47">
      <c r="B15" s="1428" t="s">
        <v>1857</v>
      </c>
      <c r="C15" s="2291"/>
      <c r="D15" s="2297">
        <f>SUM(D12:D14)</f>
        <v>5060</v>
      </c>
      <c r="E15" s="2294"/>
      <c r="F15" s="2297">
        <f>SUM(F12:F14)</f>
        <v>5393</v>
      </c>
      <c r="G15" s="2297">
        <f>F15-D15</f>
        <v>333</v>
      </c>
      <c r="H15" s="2283">
        <f>SUM(H12:H14)</f>
        <v>333</v>
      </c>
      <c r="O15" s="634" t="s">
        <v>1925</v>
      </c>
      <c r="P15" s="2318" t="s">
        <v>1896</v>
      </c>
      <c r="Q15" s="2286">
        <f>-V15</f>
        <v>6821</v>
      </c>
      <c r="R15" s="2286"/>
      <c r="S15" s="2286"/>
      <c r="T15" s="2286">
        <f>ROUND(-T31*$X$53,0)-1</f>
        <v>-6821</v>
      </c>
      <c r="U15" s="2286"/>
      <c r="V15" s="2286">
        <f t="shared" si="0"/>
        <v>-6821</v>
      </c>
      <c r="W15" s="2282">
        <f t="shared" si="1"/>
        <v>0</v>
      </c>
      <c r="X15" s="3857"/>
      <c r="Y15" s="3830"/>
      <c r="AD15" s="2318" t="s">
        <v>2036</v>
      </c>
      <c r="AE15" s="2399"/>
      <c r="AF15" s="2399"/>
      <c r="AG15" s="2399"/>
      <c r="AH15" s="2399"/>
      <c r="AI15" s="2399"/>
      <c r="AJ15" s="2399"/>
      <c r="AK15" s="2399"/>
      <c r="AL15" s="2399"/>
    </row>
    <row r="16" spans="1:47">
      <c r="B16" s="1428"/>
      <c r="C16" s="2291"/>
      <c r="D16" s="2298"/>
      <c r="E16" s="2294"/>
      <c r="F16" s="2297"/>
      <c r="G16" s="2297"/>
      <c r="H16" s="2283"/>
      <c r="O16" s="634" t="s">
        <v>1924</v>
      </c>
      <c r="P16" s="2318" t="s">
        <v>1855</v>
      </c>
      <c r="Q16" s="2286">
        <f>-V16</f>
        <v>13989</v>
      </c>
      <c r="R16" s="2286"/>
      <c r="S16" s="2286"/>
      <c r="T16" s="2286">
        <f>ROUND(T44*$X$53,0)</f>
        <v>-13989</v>
      </c>
      <c r="U16" s="2286"/>
      <c r="V16" s="2286">
        <f t="shared" si="0"/>
        <v>-13989</v>
      </c>
      <c r="W16" s="2282">
        <f t="shared" si="1"/>
        <v>0</v>
      </c>
      <c r="X16" s="3857"/>
      <c r="Y16" s="3830"/>
      <c r="AE16" s="2366"/>
      <c r="AF16" s="2366"/>
      <c r="AG16" s="2366"/>
      <c r="AH16" s="2366"/>
      <c r="AI16" s="2366"/>
      <c r="AJ16" s="2366"/>
      <c r="AK16" s="2366"/>
      <c r="AL16" s="2366"/>
    </row>
    <row r="17" spans="2:47">
      <c r="B17" s="477" t="s">
        <v>1856</v>
      </c>
      <c r="C17" s="2291" t="s">
        <v>1855</v>
      </c>
      <c r="D17" s="199">
        <f>'G-3.01 PF Rev Norm'!W26</f>
        <v>216429</v>
      </c>
      <c r="E17" s="940"/>
      <c r="F17" s="199">
        <f>F10+F15</f>
        <v>126976</v>
      </c>
      <c r="G17" s="199">
        <f>G10+G15</f>
        <v>-89453</v>
      </c>
      <c r="H17" s="2282">
        <f>H10+H15</f>
        <v>-89453</v>
      </c>
      <c r="O17" s="477" t="s">
        <v>1904</v>
      </c>
      <c r="P17" s="2318" t="s">
        <v>1896</v>
      </c>
      <c r="Q17" s="2286">
        <v>39</v>
      </c>
      <c r="R17" s="2286"/>
      <c r="S17" s="2286"/>
      <c r="T17" s="2286">
        <f>-Q17</f>
        <v>-39</v>
      </c>
      <c r="U17" s="2286"/>
      <c r="V17" s="2286">
        <f t="shared" si="0"/>
        <v>-39</v>
      </c>
      <c r="W17" s="2282">
        <f t="shared" si="1"/>
        <v>0</v>
      </c>
      <c r="X17" s="2324"/>
      <c r="Y17" s="2324"/>
      <c r="AD17" s="2318" t="s">
        <v>1985</v>
      </c>
      <c r="AE17" s="2366">
        <f>SUM(AF17:AL17)</f>
        <v>291251513.11563027</v>
      </c>
      <c r="AF17" s="2366">
        <f t="shared" ref="AF17:AL17" si="3">AF14+AF15</f>
        <v>136543272.85768002</v>
      </c>
      <c r="AG17" s="2366">
        <f t="shared" si="3"/>
        <v>65889009.77595</v>
      </c>
      <c r="AH17" s="2366">
        <f t="shared" si="3"/>
        <v>0</v>
      </c>
      <c r="AI17" s="2366">
        <f t="shared" si="3"/>
        <v>2692866.4820002159</v>
      </c>
      <c r="AJ17" s="2366">
        <f t="shared" si="3"/>
        <v>32193352</v>
      </c>
      <c r="AK17" s="2366">
        <f t="shared" si="3"/>
        <v>44305425</v>
      </c>
      <c r="AL17" s="2366">
        <f t="shared" si="3"/>
        <v>9627587</v>
      </c>
    </row>
    <row r="18" spans="2:47">
      <c r="B18" s="634" t="s">
        <v>1854</v>
      </c>
      <c r="C18" s="2295" t="s">
        <v>1847</v>
      </c>
      <c r="D18" s="199">
        <f>'G-3.01 PF Rev Norm'!W29</f>
        <v>0</v>
      </c>
      <c r="E18" s="940"/>
      <c r="F18" s="2266">
        <v>0</v>
      </c>
      <c r="G18" s="2286">
        <f>F18-D18</f>
        <v>0</v>
      </c>
      <c r="H18" s="2282">
        <f>G18</f>
        <v>0</v>
      </c>
      <c r="I18" s="634" t="s">
        <v>1853</v>
      </c>
      <c r="O18" s="477" t="s">
        <v>213</v>
      </c>
      <c r="P18" s="2275" t="s">
        <v>1923</v>
      </c>
      <c r="Q18" s="2266">
        <v>-100</v>
      </c>
      <c r="R18" s="2266"/>
      <c r="S18" s="2266"/>
      <c r="T18" s="2286">
        <f>ROUND(T45*$X$53,0)</f>
        <v>-2</v>
      </c>
      <c r="U18" s="2286"/>
      <c r="V18" s="2286">
        <f t="shared" si="0"/>
        <v>-2</v>
      </c>
      <c r="W18" s="2282">
        <f t="shared" si="1"/>
        <v>-102</v>
      </c>
      <c r="AD18" s="2318" t="s">
        <v>2032</v>
      </c>
      <c r="AE18" s="2399">
        <f>SUM(AF18:AL18)</f>
        <v>0</v>
      </c>
      <c r="AF18" s="2399">
        <v>0</v>
      </c>
      <c r="AG18" s="2399">
        <v>0</v>
      </c>
      <c r="AH18" s="2399"/>
      <c r="AI18" s="2399"/>
      <c r="AJ18" s="2399"/>
      <c r="AK18" s="2399"/>
      <c r="AL18" s="2399"/>
    </row>
    <row r="19" spans="2:47">
      <c r="B19" s="634" t="s">
        <v>1852</v>
      </c>
      <c r="C19" s="2295" t="s">
        <v>1847</v>
      </c>
      <c r="D19" s="199">
        <f>'G-3.01 PF Rev Norm'!W30</f>
        <v>0</v>
      </c>
      <c r="E19" s="2296"/>
      <c r="F19" s="2266">
        <v>0</v>
      </c>
      <c r="G19" s="2286">
        <f>F19-D19</f>
        <v>0</v>
      </c>
      <c r="H19" s="2282">
        <f>G19</f>
        <v>0</v>
      </c>
      <c r="O19" s="1428" t="s">
        <v>1861</v>
      </c>
      <c r="P19" s="2275" t="s">
        <v>197</v>
      </c>
      <c r="Q19" s="2298">
        <v>246541</v>
      </c>
      <c r="R19" s="2297">
        <f t="shared" ref="R19:W19" si="4">SUM(R6:R18)</f>
        <v>-8526</v>
      </c>
      <c r="S19" s="2297">
        <f t="shared" si="4"/>
        <v>28</v>
      </c>
      <c r="T19" s="2297">
        <f t="shared" si="4"/>
        <v>-26674</v>
      </c>
      <c r="U19" s="2297">
        <f t="shared" si="4"/>
        <v>0</v>
      </c>
      <c r="V19" s="2297">
        <f t="shared" si="4"/>
        <v>-35172</v>
      </c>
      <c r="W19" s="2283">
        <f t="shared" si="4"/>
        <v>211369</v>
      </c>
      <c r="AE19" s="2366"/>
      <c r="AF19" s="2366"/>
      <c r="AG19" s="2366"/>
      <c r="AH19" s="2366"/>
      <c r="AI19" s="2366"/>
      <c r="AJ19" s="2366"/>
      <c r="AK19" s="2366"/>
      <c r="AL19" s="2366"/>
    </row>
    <row r="20" spans="2:47">
      <c r="B20" s="634" t="s">
        <v>1851</v>
      </c>
      <c r="C20" s="2295" t="s">
        <v>1847</v>
      </c>
      <c r="D20" s="199">
        <f>'G-3.01 PF Rev Norm'!W32</f>
        <v>2714</v>
      </c>
      <c r="E20" s="2296"/>
      <c r="F20" s="2266">
        <v>0</v>
      </c>
      <c r="G20" s="2286">
        <f>F20-D20</f>
        <v>-2714</v>
      </c>
      <c r="H20" s="2282">
        <f>G20</f>
        <v>-2714</v>
      </c>
      <c r="O20" s="1428"/>
      <c r="P20" s="2322"/>
      <c r="Q20" s="2286"/>
      <c r="R20" s="2286"/>
      <c r="S20" s="2286"/>
      <c r="T20" s="2286"/>
      <c r="U20" s="2286"/>
      <c r="V20" s="2286"/>
      <c r="W20" s="2282"/>
      <c r="AD20" s="2318" t="s">
        <v>2031</v>
      </c>
      <c r="AE20" s="2366">
        <f>SUM(AF20:AL20)</f>
        <v>291251513.11563027</v>
      </c>
      <c r="AF20" s="2366">
        <f>AF17+AF18</f>
        <v>136543272.85768002</v>
      </c>
      <c r="AG20" s="2366">
        <f>AG17+AG18</f>
        <v>65889009.77595</v>
      </c>
      <c r="AH20" s="2366">
        <f>AH17+AH18</f>
        <v>0</v>
      </c>
      <c r="AI20" s="2366">
        <f>AI17+AI18</f>
        <v>2692866.4820002159</v>
      </c>
      <c r="AJ20" s="2366">
        <f>AJ17+AK18</f>
        <v>32193352</v>
      </c>
      <c r="AK20" s="2366">
        <f>AK17+AK18</f>
        <v>44305425</v>
      </c>
      <c r="AL20" s="2366">
        <f>AL17+AL18</f>
        <v>9627587</v>
      </c>
    </row>
    <row r="21" spans="2:47">
      <c r="B21" s="1105" t="s">
        <v>1850</v>
      </c>
      <c r="C21" s="2295"/>
      <c r="D21" s="2293">
        <f>SUM(D17:D20)</f>
        <v>219143</v>
      </c>
      <c r="E21" s="2294"/>
      <c r="F21" s="2293">
        <f>+SUM(F17:F20)</f>
        <v>126976</v>
      </c>
      <c r="G21" s="2293">
        <f>SUM(G17:G20)</f>
        <v>-92167</v>
      </c>
      <c r="H21" s="2292">
        <f>SUM(H17:H20)</f>
        <v>-92167</v>
      </c>
      <c r="O21" s="987" t="s">
        <v>1860</v>
      </c>
      <c r="P21" s="2323" t="s">
        <v>1855</v>
      </c>
      <c r="Q21" s="2286">
        <f>Q24-Q22-Q23</f>
        <v>5060</v>
      </c>
      <c r="R21" s="2286"/>
      <c r="S21" s="2286"/>
      <c r="T21" s="2275"/>
      <c r="U21" s="2275"/>
      <c r="V21" s="2286">
        <f>SUM(R21:U21)</f>
        <v>0</v>
      </c>
      <c r="W21" s="2282">
        <f>Q21+V21</f>
        <v>5060</v>
      </c>
      <c r="AD21" s="2318" t="s">
        <v>2030</v>
      </c>
      <c r="AE21" s="2399">
        <f>SUM(AF21:AL21)</f>
        <v>-379778</v>
      </c>
      <c r="AF21" s="2399">
        <f t="shared" ref="AF21:AL21" si="5">AF134+AF137</f>
        <v>-436540</v>
      </c>
      <c r="AG21" s="2399">
        <f t="shared" si="5"/>
        <v>56762</v>
      </c>
      <c r="AH21" s="2399">
        <f t="shared" si="5"/>
        <v>0</v>
      </c>
      <c r="AI21" s="2399">
        <f t="shared" si="5"/>
        <v>0</v>
      </c>
      <c r="AJ21" s="2399">
        <f t="shared" si="5"/>
        <v>0</v>
      </c>
      <c r="AK21" s="2399">
        <f t="shared" si="5"/>
        <v>0</v>
      </c>
      <c r="AL21" s="2399">
        <f t="shared" si="5"/>
        <v>0</v>
      </c>
    </row>
    <row r="22" spans="2:47">
      <c r="C22" s="2291"/>
      <c r="D22" s="199"/>
      <c r="E22" s="940"/>
      <c r="F22" s="2290"/>
      <c r="G22" s="199"/>
      <c r="H22" s="2282"/>
      <c r="O22" s="477" t="s">
        <v>1922</v>
      </c>
      <c r="P22" s="2275" t="s">
        <v>1911</v>
      </c>
      <c r="Q22" s="2286">
        <f>-R22</f>
        <v>120</v>
      </c>
      <c r="R22" s="2266">
        <v>-120</v>
      </c>
      <c r="S22" s="2266"/>
      <c r="T22" s="2266"/>
      <c r="U22" s="2266"/>
      <c r="V22" s="2286">
        <f>SUM(R22:U22)</f>
        <v>-120</v>
      </c>
      <c r="W22" s="2282">
        <f>Q22+V22</f>
        <v>0</v>
      </c>
      <c r="AE22" s="2366"/>
      <c r="AF22" s="2366"/>
      <c r="AG22" s="2366"/>
      <c r="AH22" s="2366"/>
      <c r="AI22" s="2366"/>
      <c r="AJ22" s="2366"/>
      <c r="AK22" s="2366"/>
      <c r="AL22" s="2366"/>
    </row>
    <row r="23" spans="2:47">
      <c r="B23" s="2289" t="s">
        <v>11</v>
      </c>
      <c r="C23" s="2288"/>
      <c r="D23" s="199"/>
      <c r="E23" s="940"/>
      <c r="F23" s="2286"/>
      <c r="G23" s="2286"/>
      <c r="H23" s="2282"/>
      <c r="O23" s="477" t="s">
        <v>1858</v>
      </c>
      <c r="P23" s="2275"/>
      <c r="Q23" s="2266">
        <v>0</v>
      </c>
      <c r="R23" s="2266"/>
      <c r="S23" s="2266"/>
      <c r="T23" s="2266"/>
      <c r="U23" s="2266"/>
      <c r="V23" s="2286">
        <f>SUM(R23:U23)</f>
        <v>0</v>
      </c>
      <c r="W23" s="2282">
        <f>Q23+V23</f>
        <v>0</v>
      </c>
      <c r="AD23" s="2318" t="s">
        <v>2029</v>
      </c>
      <c r="AE23" s="2366">
        <f>IF(ROUND(SUM(AE20:AE21),3)&lt;&gt;ROUND(SUM(AF23:AL23),3),#VALUE!,SUM(AF23:AL23))</f>
        <v>290871735.11563027</v>
      </c>
      <c r="AF23" s="2366">
        <f t="shared" ref="AF23:AL23" si="6">SUM(AF20:AF21)</f>
        <v>136106732.85768002</v>
      </c>
      <c r="AG23" s="2366">
        <f t="shared" si="6"/>
        <v>65945771.77595</v>
      </c>
      <c r="AH23" s="2366">
        <f t="shared" si="6"/>
        <v>0</v>
      </c>
      <c r="AI23" s="2366">
        <f t="shared" si="6"/>
        <v>2692866.4820002159</v>
      </c>
      <c r="AJ23" s="2366">
        <f t="shared" si="6"/>
        <v>32193352</v>
      </c>
      <c r="AK23" s="2366">
        <f t="shared" si="6"/>
        <v>44305425</v>
      </c>
      <c r="AL23" s="2366">
        <f t="shared" si="6"/>
        <v>9627587</v>
      </c>
    </row>
    <row r="24" spans="2:47">
      <c r="B24" s="477" t="s">
        <v>1849</v>
      </c>
      <c r="C24" s="2287" t="s">
        <v>1847</v>
      </c>
      <c r="D24" s="2286">
        <f>'G-3.01 PF Rev Norm'!W39</f>
        <v>90370</v>
      </c>
      <c r="E24" s="2287"/>
      <c r="F24" s="2286">
        <v>0</v>
      </c>
      <c r="G24" s="2286">
        <f>F24-D24</f>
        <v>-90370</v>
      </c>
      <c r="H24" s="2282">
        <f>G24</f>
        <v>-90370</v>
      </c>
      <c r="O24" s="1428" t="s">
        <v>219</v>
      </c>
      <c r="P24" s="2322"/>
      <c r="Q24" s="2298">
        <v>5180</v>
      </c>
      <c r="R24" s="2297">
        <f>SUM(R21:R23)</f>
        <v>-120</v>
      </c>
      <c r="S24" s="2297">
        <f>SUM(S21:S23)</f>
        <v>0</v>
      </c>
      <c r="T24" s="2297">
        <f>SUM(T21:T23)</f>
        <v>0</v>
      </c>
      <c r="U24" s="2297"/>
      <c r="V24" s="2297">
        <f>SUM(V21:V23)</f>
        <v>-120</v>
      </c>
      <c r="W24" s="2283">
        <f>SUM(W21:W23)</f>
        <v>5060</v>
      </c>
      <c r="AE24" s="2366"/>
      <c r="AF24" s="2366"/>
      <c r="AG24" s="2366"/>
      <c r="AH24" s="2366"/>
      <c r="AI24" s="2366"/>
      <c r="AJ24" s="2366"/>
      <c r="AK24" s="2366"/>
      <c r="AL24" s="2366"/>
    </row>
    <row r="25" spans="2:47">
      <c r="B25" s="477" t="s">
        <v>1848</v>
      </c>
      <c r="C25" s="2287" t="s">
        <v>1847</v>
      </c>
      <c r="D25" s="2286">
        <f>'G-3.01 PF Rev Norm'!W41</f>
        <v>89</v>
      </c>
      <c r="E25" s="2287"/>
      <c r="F25" s="2286">
        <f>D25</f>
        <v>89</v>
      </c>
      <c r="G25" s="2286">
        <f>F25-D25</f>
        <v>0</v>
      </c>
      <c r="H25" s="2282">
        <f>G25</f>
        <v>0</v>
      </c>
      <c r="O25" s="1428"/>
      <c r="P25" s="2322"/>
      <c r="Q25" s="2298"/>
      <c r="R25" s="2298"/>
      <c r="S25" s="2298"/>
      <c r="T25" s="2298"/>
      <c r="U25" s="2298"/>
      <c r="V25" s="2297"/>
      <c r="W25" s="2283"/>
      <c r="AD25" s="2318" t="s">
        <v>2028</v>
      </c>
      <c r="AE25" s="2366"/>
      <c r="AF25" s="2366">
        <v>2077306</v>
      </c>
      <c r="AG25" s="2366"/>
      <c r="AH25" s="2366"/>
      <c r="AI25" s="2366">
        <v>48</v>
      </c>
      <c r="AJ25" s="2366">
        <v>420</v>
      </c>
      <c r="AK25" s="2366">
        <v>36</v>
      </c>
      <c r="AL25" s="2366">
        <v>12</v>
      </c>
    </row>
    <row r="26" spans="2:47">
      <c r="B26" s="477" t="s">
        <v>1846</v>
      </c>
      <c r="C26" s="2275"/>
      <c r="D26" s="2280"/>
      <c r="E26" s="2280"/>
      <c r="F26" s="2280"/>
      <c r="G26" s="2279"/>
      <c r="H26" s="2282">
        <f>ROUND(H$17*$I26,0)</f>
        <v>-3429</v>
      </c>
      <c r="I26" s="2284">
        <v>3.8329292586308468E-2</v>
      </c>
      <c r="J26" s="634" t="s">
        <v>1844</v>
      </c>
      <c r="O26" s="477" t="s">
        <v>1856</v>
      </c>
      <c r="P26" s="2318" t="s">
        <v>1855</v>
      </c>
      <c r="Q26" s="199">
        <f>Q19+Q24</f>
        <v>251721</v>
      </c>
      <c r="R26" s="199">
        <f>R19+R24</f>
        <v>-8646</v>
      </c>
      <c r="S26" s="199">
        <f>S19+S24</f>
        <v>28</v>
      </c>
      <c r="T26" s="199">
        <f>T19+T24</f>
        <v>-26674</v>
      </c>
      <c r="U26" s="199"/>
      <c r="V26" s="2286">
        <f t="shared" ref="V26:V33" si="7">SUM(R26:U26)</f>
        <v>-35292</v>
      </c>
      <c r="W26" s="2282">
        <f>W19+W24</f>
        <v>216429</v>
      </c>
      <c r="AD26" s="2318" t="s">
        <v>2027</v>
      </c>
      <c r="AE26" s="2366"/>
      <c r="AF26" s="2366"/>
      <c r="AG26" s="2366">
        <v>41579</v>
      </c>
      <c r="AH26" s="2366"/>
      <c r="AI26" s="2366"/>
      <c r="AJ26" s="2366"/>
      <c r="AK26" s="2366"/>
      <c r="AL26" s="2366"/>
    </row>
    <row r="27" spans="2:47">
      <c r="B27" s="477" t="s">
        <v>1845</v>
      </c>
      <c r="C27" s="2275"/>
      <c r="D27" s="2280"/>
      <c r="E27" s="2280"/>
      <c r="F27" s="2280"/>
      <c r="G27" s="2279"/>
      <c r="H27" s="2285">
        <f>ROUND(H$17*$I27,0)</f>
        <v>-443</v>
      </c>
      <c r="I27" s="2284">
        <v>4.9508674374747468E-3</v>
      </c>
      <c r="J27" s="477" t="s">
        <v>1844</v>
      </c>
      <c r="O27" s="477" t="s">
        <v>217</v>
      </c>
      <c r="P27" s="2275" t="s">
        <v>1896</v>
      </c>
      <c r="Q27" s="2286">
        <f>-V27</f>
        <v>36675</v>
      </c>
      <c r="R27" s="2266"/>
      <c r="S27" s="2266"/>
      <c r="T27" s="2266">
        <v>-36675</v>
      </c>
      <c r="U27" s="2266"/>
      <c r="V27" s="2286">
        <f t="shared" si="7"/>
        <v>-36675</v>
      </c>
      <c r="W27" s="2282">
        <f t="shared" ref="W27:W33" si="8">Q27+V27</f>
        <v>0</v>
      </c>
      <c r="AE27" s="2366"/>
      <c r="AF27" s="2366"/>
      <c r="AG27" s="2366"/>
      <c r="AH27" s="2366"/>
      <c r="AI27" s="2366"/>
      <c r="AJ27" s="2366"/>
      <c r="AK27" s="2366"/>
      <c r="AL27" s="2366"/>
    </row>
    <row r="28" spans="2:47">
      <c r="B28" s="477" t="s">
        <v>1843</v>
      </c>
      <c r="C28" s="2275"/>
      <c r="D28" s="2280"/>
      <c r="E28" s="2280"/>
      <c r="F28" s="2280"/>
      <c r="G28" s="2279"/>
      <c r="H28" s="2282">
        <f>ROUND(H$17*$I28,0)</f>
        <v>-358</v>
      </c>
      <c r="I28" s="2284">
        <v>4.0000000000000001E-3</v>
      </c>
      <c r="J28" s="477" t="s">
        <v>1842</v>
      </c>
      <c r="O28" s="477" t="s">
        <v>1619</v>
      </c>
      <c r="P28" s="2275" t="s">
        <v>1896</v>
      </c>
      <c r="Q28" s="2286">
        <f>-V28</f>
        <v>3727</v>
      </c>
      <c r="R28" s="2266"/>
      <c r="S28" s="2266"/>
      <c r="T28" s="2266">
        <v>-3727</v>
      </c>
      <c r="U28" s="2266"/>
      <c r="V28" s="2286">
        <f t="shared" si="7"/>
        <v>-3727</v>
      </c>
      <c r="W28" s="2282">
        <f t="shared" si="8"/>
        <v>0</v>
      </c>
      <c r="AD28" s="2291"/>
      <c r="AE28" s="2401"/>
      <c r="AF28" s="2401"/>
      <c r="AG28" s="2401"/>
      <c r="AH28" s="2401"/>
      <c r="AI28" s="2401"/>
      <c r="AJ28" s="2401"/>
      <c r="AK28" s="2401"/>
      <c r="AL28" s="2401"/>
      <c r="AM28" s="2291"/>
      <c r="AN28" s="2291"/>
      <c r="AO28" s="2291"/>
      <c r="AP28" s="2291"/>
      <c r="AQ28" s="2291"/>
      <c r="AR28" s="2291"/>
      <c r="AS28" s="2291"/>
      <c r="AT28" s="2291"/>
      <c r="AU28" s="2291"/>
    </row>
    <row r="29" spans="2:47">
      <c r="D29" s="2280"/>
      <c r="E29" s="2280"/>
      <c r="F29" s="2280"/>
      <c r="G29" s="2279"/>
      <c r="H29" s="2283">
        <f>SUM(H24:H28)</f>
        <v>-94600</v>
      </c>
      <c r="I29" s="909">
        <f>SUM(I26:I28)</f>
        <v>4.7280160023783213E-2</v>
      </c>
      <c r="J29" s="477" t="s">
        <v>1838</v>
      </c>
      <c r="O29" s="634" t="s">
        <v>1921</v>
      </c>
      <c r="P29" s="2275" t="s">
        <v>197</v>
      </c>
      <c r="Q29" s="2309">
        <v>0</v>
      </c>
      <c r="R29" s="2266"/>
      <c r="S29" s="2266"/>
      <c r="T29" s="2266"/>
      <c r="U29" s="2266">
        <v>0</v>
      </c>
      <c r="V29" s="2286">
        <f t="shared" si="7"/>
        <v>0</v>
      </c>
      <c r="W29" s="2282">
        <f t="shared" si="8"/>
        <v>0</v>
      </c>
      <c r="AD29" s="2369" t="s">
        <v>2035</v>
      </c>
      <c r="AE29" s="2366"/>
      <c r="AF29" s="2366"/>
      <c r="AG29" s="2366"/>
      <c r="AH29" s="2366"/>
      <c r="AI29" s="2366"/>
      <c r="AJ29" s="2366"/>
      <c r="AK29" s="2366"/>
      <c r="AL29" s="2366"/>
    </row>
    <row r="30" spans="2:47">
      <c r="D30" s="2280"/>
      <c r="E30" s="2280"/>
      <c r="F30" s="2280"/>
      <c r="G30" s="2279"/>
      <c r="H30" s="2282"/>
      <c r="O30" s="634" t="s">
        <v>1920</v>
      </c>
      <c r="P30" s="2275" t="s">
        <v>197</v>
      </c>
      <c r="Q30" s="2309">
        <v>0</v>
      </c>
      <c r="R30" s="2266"/>
      <c r="S30" s="2266"/>
      <c r="T30" s="2266"/>
      <c r="U30" s="2266"/>
      <c r="V30" s="2286">
        <f t="shared" si="7"/>
        <v>0</v>
      </c>
      <c r="W30" s="2282">
        <f t="shared" si="8"/>
        <v>0</v>
      </c>
      <c r="AD30" s="2357" t="s">
        <v>1960</v>
      </c>
      <c r="AE30" s="2366"/>
      <c r="AF30" s="2366"/>
      <c r="AG30" s="2366"/>
      <c r="AH30" s="2366"/>
      <c r="AI30" s="2366"/>
      <c r="AJ30" s="2366"/>
      <c r="AK30" s="2366"/>
      <c r="AL30" s="2366"/>
    </row>
    <row r="31" spans="2:47">
      <c r="B31" s="531" t="s">
        <v>98</v>
      </c>
      <c r="C31" s="531"/>
      <c r="D31" s="2280"/>
      <c r="E31" s="2280"/>
      <c r="F31" s="2280"/>
      <c r="G31" s="2279"/>
      <c r="H31" s="2282">
        <f>H21-H29</f>
        <v>2433</v>
      </c>
      <c r="O31" s="477" t="s">
        <v>1919</v>
      </c>
      <c r="P31" s="2275" t="s">
        <v>1918</v>
      </c>
      <c r="Q31" s="2286">
        <f>-V31</f>
        <v>-6498</v>
      </c>
      <c r="R31" s="2266"/>
      <c r="S31" s="2266"/>
      <c r="T31" s="2266">
        <v>6498</v>
      </c>
      <c r="U31" s="2266"/>
      <c r="V31" s="2286">
        <f t="shared" si="7"/>
        <v>6498</v>
      </c>
      <c r="W31" s="2282">
        <f t="shared" si="8"/>
        <v>0</v>
      </c>
      <c r="AD31" s="2318" t="s">
        <v>1992</v>
      </c>
      <c r="AE31" s="2366"/>
      <c r="AF31" s="2366">
        <v>80993659.046190009</v>
      </c>
      <c r="AG31" s="2366">
        <v>7004339.4199599996</v>
      </c>
      <c r="AH31" s="2366" t="s">
        <v>2034</v>
      </c>
      <c r="AI31" s="2366">
        <v>480000</v>
      </c>
      <c r="AJ31" s="2366">
        <v>7217935</v>
      </c>
      <c r="AK31" s="2366">
        <v>23379996</v>
      </c>
      <c r="AL31" s="2366">
        <v>9627587</v>
      </c>
    </row>
    <row r="32" spans="2:47">
      <c r="B32" s="1428" t="s">
        <v>195</v>
      </c>
      <c r="C32" s="2275"/>
      <c r="D32" s="2280"/>
      <c r="E32" s="2280"/>
      <c r="F32" s="2280"/>
      <c r="G32" s="2279"/>
      <c r="H32" s="2282">
        <f>ROUND(H31*$I32,0)</f>
        <v>511</v>
      </c>
      <c r="I32" s="2281">
        <v>0.21</v>
      </c>
      <c r="O32" s="477" t="s">
        <v>1917</v>
      </c>
      <c r="P32" s="2275" t="s">
        <v>197</v>
      </c>
      <c r="Q32" s="2309">
        <f>1903+938</f>
        <v>2841</v>
      </c>
      <c r="R32" s="2266"/>
      <c r="S32" s="2266">
        <v>-127</v>
      </c>
      <c r="T32" s="2266">
        <v>0</v>
      </c>
      <c r="U32" s="2266"/>
      <c r="V32" s="2286">
        <f t="shared" si="7"/>
        <v>-127</v>
      </c>
      <c r="W32" s="2282">
        <f t="shared" si="8"/>
        <v>2714</v>
      </c>
      <c r="X32" s="3858" t="s">
        <v>1916</v>
      </c>
      <c r="Y32" s="3771"/>
      <c r="AD32" s="2318" t="s">
        <v>1991</v>
      </c>
      <c r="AE32" s="2366"/>
      <c r="AF32" s="2366">
        <v>55549613.811489999</v>
      </c>
      <c r="AG32" s="2366">
        <v>18294954.25451</v>
      </c>
      <c r="AH32" s="2366" t="s">
        <v>2033</v>
      </c>
      <c r="AI32" s="2366">
        <v>640871.58799999999</v>
      </c>
      <c r="AJ32" s="2366">
        <v>7083974</v>
      </c>
      <c r="AK32" s="2366">
        <v>5164136</v>
      </c>
      <c r="AL32" s="2366">
        <v>0</v>
      </c>
    </row>
    <row r="33" spans="2:38" ht="13.5" thickBot="1">
      <c r="B33" s="531" t="s">
        <v>1841</v>
      </c>
      <c r="C33" s="531"/>
      <c r="D33" s="2280"/>
      <c r="E33" s="2280"/>
      <c r="F33" s="2280"/>
      <c r="G33" s="2279"/>
      <c r="H33" s="2278">
        <f>H31-H32</f>
        <v>1922</v>
      </c>
      <c r="O33" s="634" t="s">
        <v>1915</v>
      </c>
      <c r="P33" s="2275" t="s">
        <v>1855</v>
      </c>
      <c r="Q33" s="2286">
        <f>Q34-SUM(Q27:Q32)</f>
        <v>373</v>
      </c>
      <c r="R33" s="2266"/>
      <c r="S33" s="2266"/>
      <c r="T33" s="2266"/>
      <c r="U33" s="2266"/>
      <c r="V33" s="2286">
        <f t="shared" si="7"/>
        <v>0</v>
      </c>
      <c r="W33" s="2282">
        <f t="shared" si="8"/>
        <v>373</v>
      </c>
      <c r="X33" s="3858"/>
      <c r="Y33" s="3771"/>
      <c r="AD33" s="2318" t="s">
        <v>1990</v>
      </c>
      <c r="AE33" s="2366"/>
      <c r="AF33" s="2366">
        <v>0</v>
      </c>
      <c r="AG33" s="2366">
        <v>31380403.08151</v>
      </c>
      <c r="AH33" s="2366"/>
      <c r="AI33" s="2366">
        <v>684750.42000000016</v>
      </c>
      <c r="AJ33" s="2366">
        <v>13394294</v>
      </c>
      <c r="AK33" s="2366">
        <v>0</v>
      </c>
      <c r="AL33" s="2366">
        <v>0</v>
      </c>
    </row>
    <row r="34" spans="2:38" ht="13.5" thickTop="1">
      <c r="G34" s="2277"/>
      <c r="H34" s="2276"/>
      <c r="O34" s="634" t="s">
        <v>1914</v>
      </c>
      <c r="P34" s="2275" t="s">
        <v>197</v>
      </c>
      <c r="Q34" s="2321">
        <f>42298-5180</f>
        <v>37118</v>
      </c>
      <c r="R34" s="2320">
        <f t="shared" ref="R34:W34" si="9">SUM(R27:R33)</f>
        <v>0</v>
      </c>
      <c r="S34" s="2320">
        <f t="shared" si="9"/>
        <v>-127</v>
      </c>
      <c r="T34" s="2320">
        <f t="shared" si="9"/>
        <v>-33904</v>
      </c>
      <c r="U34" s="2320">
        <f t="shared" si="9"/>
        <v>0</v>
      </c>
      <c r="V34" s="2320">
        <f t="shared" si="9"/>
        <v>-34031</v>
      </c>
      <c r="W34" s="2319">
        <f t="shared" si="9"/>
        <v>3087</v>
      </c>
      <c r="X34" s="3858"/>
      <c r="Y34" s="3771"/>
      <c r="AD34" s="2318" t="s">
        <v>1989</v>
      </c>
      <c r="AE34" s="2366"/>
      <c r="AF34" s="2366">
        <v>0</v>
      </c>
      <c r="AG34" s="2366">
        <v>5263380.6339700008</v>
      </c>
      <c r="AH34" s="2366"/>
      <c r="AI34" s="2366">
        <v>887244.47400021553</v>
      </c>
      <c r="AJ34" s="2366">
        <v>2724881</v>
      </c>
      <c r="AK34" s="2366">
        <v>5714117</v>
      </c>
      <c r="AL34" s="2366">
        <v>0</v>
      </c>
    </row>
    <row r="35" spans="2:38">
      <c r="B35" s="378" t="s">
        <v>1840</v>
      </c>
      <c r="C35" s="378"/>
      <c r="D35" s="199"/>
      <c r="E35" s="199"/>
      <c r="F35" s="199"/>
      <c r="G35" s="199"/>
      <c r="I35" s="199">
        <f>H17</f>
        <v>-89453</v>
      </c>
      <c r="J35" s="477" t="s">
        <v>1555</v>
      </c>
      <c r="O35" s="634" t="s">
        <v>1913</v>
      </c>
      <c r="P35" s="2318" t="s">
        <v>1855</v>
      </c>
      <c r="Q35" s="2293">
        <f t="shared" ref="Q35:W35" si="10">Q26+Q34</f>
        <v>288839</v>
      </c>
      <c r="R35" s="2293">
        <f t="shared" si="10"/>
        <v>-8646</v>
      </c>
      <c r="S35" s="2293">
        <f t="shared" si="10"/>
        <v>-99</v>
      </c>
      <c r="T35" s="2293">
        <f t="shared" si="10"/>
        <v>-60578</v>
      </c>
      <c r="U35" s="2293">
        <f t="shared" si="10"/>
        <v>0</v>
      </c>
      <c r="V35" s="2293">
        <f t="shared" si="10"/>
        <v>-69323</v>
      </c>
      <c r="W35" s="2292">
        <f t="shared" si="10"/>
        <v>219516</v>
      </c>
      <c r="X35" s="3858"/>
      <c r="Y35" s="3771"/>
      <c r="AD35" s="2318" t="s">
        <v>1988</v>
      </c>
      <c r="AE35" s="2366"/>
      <c r="AF35" s="2366">
        <v>0</v>
      </c>
      <c r="AG35" s="2366">
        <v>3945932.3859999999</v>
      </c>
      <c r="AH35" s="2366"/>
      <c r="AI35" s="2366">
        <v>0</v>
      </c>
      <c r="AJ35" s="2366">
        <v>1772268</v>
      </c>
      <c r="AK35" s="2366">
        <v>10047176</v>
      </c>
      <c r="AL35" s="2366">
        <v>0</v>
      </c>
    </row>
    <row r="36" spans="2:38">
      <c r="B36" s="3855" t="s">
        <v>1839</v>
      </c>
      <c r="C36" s="378"/>
      <c r="D36" s="2073"/>
      <c r="E36" s="2275"/>
      <c r="F36" s="2274">
        <f>ROUND(SUM(AK121:AL121)/1000,)</f>
        <v>1659</v>
      </c>
      <c r="I36" s="2273">
        <f>I29</f>
        <v>4.7280160023783213E-2</v>
      </c>
      <c r="J36" s="477" t="s">
        <v>1838</v>
      </c>
      <c r="P36" s="2318"/>
      <c r="Q36" s="199"/>
      <c r="R36" s="199"/>
      <c r="S36" s="199"/>
      <c r="T36" s="199"/>
      <c r="U36" s="199"/>
      <c r="V36" s="199"/>
      <c r="W36" s="2282"/>
      <c r="X36" s="3858"/>
      <c r="Y36" s="3771"/>
      <c r="AE36" s="2400"/>
      <c r="AF36" s="2400"/>
      <c r="AG36" s="2400"/>
      <c r="AH36" s="2400"/>
      <c r="AI36" s="2400"/>
      <c r="AJ36" s="2400"/>
      <c r="AK36" s="2400"/>
      <c r="AL36" s="2400"/>
    </row>
    <row r="37" spans="2:38">
      <c r="B37" s="3855"/>
      <c r="C37" s="2272"/>
      <c r="F37" s="2271">
        <f>F15-F36</f>
        <v>3734</v>
      </c>
      <c r="G37" s="2270" t="s">
        <v>1837</v>
      </c>
      <c r="H37" s="2269"/>
      <c r="I37" s="199">
        <f>ROUND(I35*I36,0)</f>
        <v>-4229</v>
      </c>
      <c r="J37" s="477" t="s">
        <v>1836</v>
      </c>
      <c r="O37" s="2289" t="s">
        <v>11</v>
      </c>
      <c r="P37" s="2317"/>
      <c r="Q37" s="199"/>
      <c r="R37" s="199"/>
      <c r="S37" s="199"/>
      <c r="T37" s="199"/>
      <c r="U37" s="199"/>
      <c r="V37" s="2286"/>
      <c r="W37" s="2282"/>
      <c r="AD37" s="2318" t="s">
        <v>1985</v>
      </c>
      <c r="AE37" s="2366">
        <f>SUM(AF37:AL37)</f>
        <v>291251513.11563027</v>
      </c>
      <c r="AF37" s="2366">
        <f t="shared" ref="AF37:AL37" si="11">SUM(AF31:AF35)</f>
        <v>136543272.85768002</v>
      </c>
      <c r="AG37" s="2366">
        <f t="shared" si="11"/>
        <v>65889009.77595</v>
      </c>
      <c r="AH37" s="2366">
        <f t="shared" si="11"/>
        <v>0</v>
      </c>
      <c r="AI37" s="2366">
        <f t="shared" si="11"/>
        <v>2692866.4820002159</v>
      </c>
      <c r="AJ37" s="2366">
        <f t="shared" si="11"/>
        <v>32193352</v>
      </c>
      <c r="AK37" s="2366">
        <f t="shared" si="11"/>
        <v>44305425</v>
      </c>
      <c r="AL37" s="2366">
        <f t="shared" si="11"/>
        <v>9627587</v>
      </c>
    </row>
    <row r="38" spans="2:38">
      <c r="D38" s="2073"/>
      <c r="E38" s="2073"/>
      <c r="I38" s="2267">
        <f>SUM(H26:H28)</f>
        <v>-4230</v>
      </c>
      <c r="J38" s="477" t="s">
        <v>1189</v>
      </c>
      <c r="O38" s="477" t="s">
        <v>1912</v>
      </c>
      <c r="P38" s="2275" t="s">
        <v>1911</v>
      </c>
      <c r="Q38" s="2309">
        <v>8688</v>
      </c>
      <c r="R38" s="2286">
        <f>-Q38</f>
        <v>-8688</v>
      </c>
      <c r="S38" s="2266"/>
      <c r="T38" s="2266"/>
      <c r="U38" s="2266"/>
      <c r="V38" s="2286">
        <f t="shared" ref="V38:V45" si="12">SUM(R38:T38)</f>
        <v>-8688</v>
      </c>
      <c r="W38" s="2282">
        <f t="shared" ref="W38:W45" si="13">Q38+V38</f>
        <v>0</v>
      </c>
      <c r="AD38" s="2318" t="s">
        <v>1986</v>
      </c>
      <c r="AE38" s="2399">
        <f>SUM(AF38:AL38)</f>
        <v>0</v>
      </c>
      <c r="AF38" s="2399">
        <f t="shared" ref="AF38:AL38" si="14">AF15</f>
        <v>0</v>
      </c>
      <c r="AG38" s="2399">
        <f t="shared" si="14"/>
        <v>0</v>
      </c>
      <c r="AH38" s="2399">
        <f t="shared" si="14"/>
        <v>0</v>
      </c>
      <c r="AI38" s="2399">
        <f t="shared" si="14"/>
        <v>0</v>
      </c>
      <c r="AJ38" s="2399">
        <f t="shared" si="14"/>
        <v>0</v>
      </c>
      <c r="AK38" s="2399">
        <f t="shared" si="14"/>
        <v>0</v>
      </c>
      <c r="AL38" s="2399">
        <f t="shared" si="14"/>
        <v>0</v>
      </c>
    </row>
    <row r="39" spans="2:38">
      <c r="I39" s="199">
        <f>I37-I38</f>
        <v>1</v>
      </c>
      <c r="O39" s="477" t="s">
        <v>1849</v>
      </c>
      <c r="P39" s="2275" t="s">
        <v>1896</v>
      </c>
      <c r="Q39" s="2309">
        <f>139821-Q40</f>
        <v>122040</v>
      </c>
      <c r="R39" s="2266"/>
      <c r="S39" s="2266">
        <v>-57</v>
      </c>
      <c r="T39" s="2309">
        <f>-49394-T40</f>
        <v>-31613</v>
      </c>
      <c r="U39" s="2309"/>
      <c r="V39" s="2286">
        <f t="shared" si="12"/>
        <v>-31670</v>
      </c>
      <c r="W39" s="2282">
        <f t="shared" si="13"/>
        <v>90370</v>
      </c>
      <c r="AE39" s="2366"/>
      <c r="AF39" s="2366"/>
      <c r="AG39" s="2366"/>
      <c r="AH39" s="2366"/>
      <c r="AI39" s="2366"/>
      <c r="AJ39" s="2366"/>
      <c r="AK39" s="2366"/>
      <c r="AL39" s="2366"/>
    </row>
    <row r="40" spans="2:38">
      <c r="O40" s="477" t="s">
        <v>1910</v>
      </c>
      <c r="P40" s="2275" t="s">
        <v>1896</v>
      </c>
      <c r="Q40" s="2309">
        <v>17781</v>
      </c>
      <c r="R40" s="2266"/>
      <c r="S40" s="2266"/>
      <c r="T40" s="2286">
        <f>-Q40</f>
        <v>-17781</v>
      </c>
      <c r="U40" s="2286"/>
      <c r="V40" s="2286">
        <f t="shared" si="12"/>
        <v>-17781</v>
      </c>
      <c r="W40" s="2282">
        <f t="shared" si="13"/>
        <v>0</v>
      </c>
      <c r="AD40" s="2318" t="s">
        <v>1985</v>
      </c>
      <c r="AE40" s="2366">
        <f>SUM(AF40:AL40)</f>
        <v>291251513.11563027</v>
      </c>
      <c r="AF40" s="2366">
        <f t="shared" ref="AF40:AL40" si="15">AF37+AF38</f>
        <v>136543272.85768002</v>
      </c>
      <c r="AG40" s="2366">
        <f t="shared" si="15"/>
        <v>65889009.77595</v>
      </c>
      <c r="AH40" s="2366">
        <f t="shared" si="15"/>
        <v>0</v>
      </c>
      <c r="AI40" s="2366">
        <f t="shared" si="15"/>
        <v>2692866.4820002159</v>
      </c>
      <c r="AJ40" s="2366">
        <f t="shared" si="15"/>
        <v>32193352</v>
      </c>
      <c r="AK40" s="2366">
        <f t="shared" si="15"/>
        <v>44305425</v>
      </c>
      <c r="AL40" s="2366">
        <f t="shared" si="15"/>
        <v>9627587</v>
      </c>
    </row>
    <row r="41" spans="2:38">
      <c r="J41" s="2268"/>
      <c r="O41" s="477" t="s">
        <v>1909</v>
      </c>
      <c r="P41" s="2275" t="s">
        <v>197</v>
      </c>
      <c r="Q41" s="2309">
        <v>89</v>
      </c>
      <c r="R41" s="2266"/>
      <c r="S41" s="2266"/>
      <c r="T41" s="2275"/>
      <c r="U41" s="2275"/>
      <c r="V41" s="2286">
        <f t="shared" si="12"/>
        <v>0</v>
      </c>
      <c r="W41" s="2282">
        <f t="shared" si="13"/>
        <v>89</v>
      </c>
      <c r="AD41" s="2318" t="s">
        <v>2032</v>
      </c>
      <c r="AE41" s="2399">
        <f>SUM(AF41:AL41)</f>
        <v>0</v>
      </c>
      <c r="AF41" s="2399">
        <f t="shared" ref="AF41:AL41" si="16">AF18</f>
        <v>0</v>
      </c>
      <c r="AG41" s="2399">
        <f t="shared" si="16"/>
        <v>0</v>
      </c>
      <c r="AH41" s="2399">
        <f t="shared" si="16"/>
        <v>0</v>
      </c>
      <c r="AI41" s="2399">
        <f t="shared" si="16"/>
        <v>0</v>
      </c>
      <c r="AJ41" s="2399">
        <f t="shared" si="16"/>
        <v>0</v>
      </c>
      <c r="AK41" s="2399">
        <f t="shared" si="16"/>
        <v>0</v>
      </c>
      <c r="AL41" s="2399">
        <f t="shared" si="16"/>
        <v>0</v>
      </c>
    </row>
    <row r="42" spans="2:38">
      <c r="J42" s="1210"/>
      <c r="O42" s="477" t="s">
        <v>227</v>
      </c>
      <c r="P42" s="2275" t="s">
        <v>1896</v>
      </c>
      <c r="Q42" s="2309">
        <v>9133</v>
      </c>
      <c r="R42" s="2266"/>
      <c r="S42" s="2266"/>
      <c r="T42" s="2286">
        <f t="shared" ref="T42:T48" si="17">-Q42</f>
        <v>-9133</v>
      </c>
      <c r="U42" s="2286"/>
      <c r="V42" s="2286">
        <f t="shared" si="12"/>
        <v>-9133</v>
      </c>
      <c r="W42" s="2282">
        <f t="shared" si="13"/>
        <v>0</v>
      </c>
      <c r="AE42" s="2366"/>
      <c r="AF42" s="2366"/>
      <c r="AG42" s="2366"/>
      <c r="AH42" s="2366"/>
      <c r="AI42" s="2366"/>
      <c r="AJ42" s="2366"/>
      <c r="AK42" s="2366"/>
      <c r="AL42" s="2366"/>
    </row>
    <row r="43" spans="2:38">
      <c r="G43" s="1428"/>
      <c r="J43" s="199"/>
      <c r="O43" s="477" t="s">
        <v>1908</v>
      </c>
      <c r="P43" s="2275" t="s">
        <v>1896</v>
      </c>
      <c r="Q43" s="2309">
        <v>-344</v>
      </c>
      <c r="R43" s="2266"/>
      <c r="S43" s="2266"/>
      <c r="T43" s="2286">
        <f t="shared" si="17"/>
        <v>344</v>
      </c>
      <c r="U43" s="2286"/>
      <c r="V43" s="2286">
        <f t="shared" si="12"/>
        <v>344</v>
      </c>
      <c r="W43" s="2282">
        <f t="shared" si="13"/>
        <v>0</v>
      </c>
      <c r="AD43" s="2318" t="s">
        <v>2031</v>
      </c>
      <c r="AE43" s="2366">
        <f>SUM(AF43:AL43)</f>
        <v>291251513.11563027</v>
      </c>
      <c r="AF43" s="2366">
        <f t="shared" ref="AF43:AL43" si="18">AF40+AF41</f>
        <v>136543272.85768002</v>
      </c>
      <c r="AG43" s="2366">
        <f t="shared" si="18"/>
        <v>65889009.77595</v>
      </c>
      <c r="AH43" s="2366">
        <f t="shared" si="18"/>
        <v>0</v>
      </c>
      <c r="AI43" s="2366">
        <f t="shared" si="18"/>
        <v>2692866.4820002159</v>
      </c>
      <c r="AJ43" s="2366">
        <f t="shared" si="18"/>
        <v>32193352</v>
      </c>
      <c r="AK43" s="2366">
        <f t="shared" si="18"/>
        <v>44305425</v>
      </c>
      <c r="AL43" s="2366">
        <f t="shared" si="18"/>
        <v>9627587</v>
      </c>
    </row>
    <row r="44" spans="2:38">
      <c r="J44" s="2267"/>
      <c r="O44" s="477" t="s">
        <v>1907</v>
      </c>
      <c r="P44" s="2275" t="s">
        <v>1896</v>
      </c>
      <c r="Q44" s="2309">
        <v>13328</v>
      </c>
      <c r="R44" s="2266"/>
      <c r="S44" s="2266"/>
      <c r="T44" s="2286">
        <f t="shared" si="17"/>
        <v>-13328</v>
      </c>
      <c r="U44" s="2286"/>
      <c r="V44" s="2286">
        <f t="shared" si="12"/>
        <v>-13328</v>
      </c>
      <c r="W44" s="2282">
        <f t="shared" si="13"/>
        <v>0</v>
      </c>
      <c r="AD44" s="2318" t="s">
        <v>2030</v>
      </c>
      <c r="AE44" s="2399">
        <f>SUM(AF44:AL44)</f>
        <v>-379778</v>
      </c>
      <c r="AF44" s="2399">
        <f>AF21</f>
        <v>-436540</v>
      </c>
      <c r="AG44" s="2399">
        <f>AG21+AH21</f>
        <v>56762</v>
      </c>
      <c r="AH44" s="2399"/>
      <c r="AI44" s="2399">
        <f>AI21</f>
        <v>0</v>
      </c>
      <c r="AJ44" s="2399">
        <f>AJ21</f>
        <v>0</v>
      </c>
      <c r="AK44" s="2399">
        <f>AK21</f>
        <v>0</v>
      </c>
      <c r="AL44" s="2399">
        <f>AL21</f>
        <v>0</v>
      </c>
    </row>
    <row r="45" spans="2:38">
      <c r="G45" s="1428"/>
      <c r="J45" s="1210"/>
      <c r="O45" s="477" t="s">
        <v>1906</v>
      </c>
      <c r="P45" s="2275" t="s">
        <v>1896</v>
      </c>
      <c r="Q45" s="2309">
        <v>2</v>
      </c>
      <c r="R45" s="2266"/>
      <c r="S45" s="2266"/>
      <c r="T45" s="2286">
        <f t="shared" si="17"/>
        <v>-2</v>
      </c>
      <c r="U45" s="2286"/>
      <c r="V45" s="2286">
        <f t="shared" si="12"/>
        <v>-2</v>
      </c>
      <c r="W45" s="2282">
        <f t="shared" si="13"/>
        <v>0</v>
      </c>
      <c r="AE45" s="2366"/>
      <c r="AF45" s="2366"/>
      <c r="AG45" s="2366"/>
      <c r="AH45" s="2366"/>
      <c r="AI45" s="2366"/>
      <c r="AJ45" s="2366"/>
      <c r="AK45" s="2366"/>
      <c r="AL45" s="2366"/>
    </row>
    <row r="46" spans="2:38">
      <c r="G46" s="1428"/>
      <c r="O46" s="477" t="s">
        <v>1905</v>
      </c>
      <c r="P46" s="2275" t="s">
        <v>1896</v>
      </c>
      <c r="Q46" s="2309">
        <v>-49</v>
      </c>
      <c r="R46" s="2266"/>
      <c r="S46" s="2266"/>
      <c r="T46" s="2286">
        <f t="shared" si="17"/>
        <v>49</v>
      </c>
      <c r="U46" s="2286"/>
      <c r="V46" s="2286"/>
      <c r="W46" s="2282"/>
      <c r="AD46" s="2318" t="s">
        <v>2029</v>
      </c>
      <c r="AE46" s="2366">
        <f>IF(ROUND(SUM(AE43:AE44),3)&lt;&gt;ROUND(SUM(AF46:AL46),3),#VALUE!,SUM(AF46:AL46))</f>
        <v>290871735.11563027</v>
      </c>
      <c r="AF46" s="2366">
        <f t="shared" ref="AF46:AL46" si="19">AF43+AF44</f>
        <v>136106732.85768002</v>
      </c>
      <c r="AG46" s="2366">
        <f t="shared" si="19"/>
        <v>65945771.77595</v>
      </c>
      <c r="AH46" s="2366">
        <f t="shared" si="19"/>
        <v>0</v>
      </c>
      <c r="AI46" s="2366">
        <f t="shared" si="19"/>
        <v>2692866.4820002159</v>
      </c>
      <c r="AJ46" s="2366">
        <f t="shared" si="19"/>
        <v>32193352</v>
      </c>
      <c r="AK46" s="2366">
        <f t="shared" si="19"/>
        <v>44305425</v>
      </c>
      <c r="AL46" s="2366">
        <f t="shared" si="19"/>
        <v>9627587</v>
      </c>
    </row>
    <row r="47" spans="2:38">
      <c r="G47" s="1428"/>
      <c r="O47" s="477" t="s">
        <v>1904</v>
      </c>
      <c r="P47" s="2275" t="s">
        <v>1896</v>
      </c>
      <c r="Q47" s="2309">
        <v>48</v>
      </c>
      <c r="R47" s="2266"/>
      <c r="S47" s="2266"/>
      <c r="T47" s="2286">
        <f t="shared" si="17"/>
        <v>-48</v>
      </c>
      <c r="U47" s="2286"/>
      <c r="V47" s="2286"/>
      <c r="W47" s="2282"/>
      <c r="AE47" s="2366"/>
      <c r="AF47" s="2366"/>
      <c r="AG47" s="2366"/>
      <c r="AH47" s="2366"/>
      <c r="AI47" s="2366"/>
      <c r="AJ47" s="2366"/>
      <c r="AK47" s="2366"/>
      <c r="AL47" s="2366"/>
    </row>
    <row r="48" spans="2:38">
      <c r="G48" s="1428"/>
      <c r="O48" s="634" t="s">
        <v>1903</v>
      </c>
      <c r="P48" s="2275" t="s">
        <v>1896</v>
      </c>
      <c r="Q48" s="2309">
        <v>0</v>
      </c>
      <c r="R48" s="2266"/>
      <c r="S48" s="2266"/>
      <c r="T48" s="2286">
        <f t="shared" si="17"/>
        <v>0</v>
      </c>
      <c r="U48" s="2286"/>
      <c r="V48" s="2286">
        <f>SUM(R48:T48)</f>
        <v>0</v>
      </c>
      <c r="W48" s="2282">
        <f>Q48+V48</f>
        <v>0</v>
      </c>
      <c r="AD48" s="2318" t="s">
        <v>2028</v>
      </c>
      <c r="AE48" s="2366"/>
      <c r="AF48" s="2366">
        <f t="shared" ref="AF48:AL48" si="20">AF25</f>
        <v>2077306</v>
      </c>
      <c r="AG48" s="2366">
        <f t="shared" si="20"/>
        <v>0</v>
      </c>
      <c r="AH48" s="2366">
        <f t="shared" si="20"/>
        <v>0</v>
      </c>
      <c r="AI48" s="2366">
        <f t="shared" si="20"/>
        <v>48</v>
      </c>
      <c r="AJ48" s="2366">
        <f t="shared" si="20"/>
        <v>420</v>
      </c>
      <c r="AK48" s="2366">
        <f t="shared" si="20"/>
        <v>36</v>
      </c>
      <c r="AL48" s="2366">
        <f t="shared" si="20"/>
        <v>12</v>
      </c>
    </row>
    <row r="49" spans="7:47">
      <c r="G49" s="1428"/>
      <c r="O49" s="477" t="s">
        <v>1846</v>
      </c>
      <c r="P49" s="2275" t="s">
        <v>1902</v>
      </c>
      <c r="Q49" s="2315">
        <f>ROUND(Q$26*$X49,0)</f>
        <v>9648</v>
      </c>
      <c r="R49" s="2316"/>
      <c r="S49" s="2315">
        <f t="shared" ref="S49:U51" si="21">ROUND(S$26*$X49,0)</f>
        <v>1</v>
      </c>
      <c r="T49" s="2315">
        <f t="shared" si="21"/>
        <v>-1022</v>
      </c>
      <c r="U49" s="2315">
        <f t="shared" si="21"/>
        <v>0</v>
      </c>
      <c r="V49" s="2315">
        <f>SUM(R49:T49)</f>
        <v>-1021</v>
      </c>
      <c r="W49" s="2282">
        <f>Q49+V49</f>
        <v>8627</v>
      </c>
      <c r="X49" s="2284">
        <f>'G-3.01 PF Rev Norm'!I26</f>
        <v>3.8329292586308468E-2</v>
      </c>
      <c r="Y49" s="477" t="s">
        <v>1842</v>
      </c>
      <c r="AD49" s="2318" t="s">
        <v>2027</v>
      </c>
      <c r="AE49" s="2366"/>
      <c r="AF49" s="2366">
        <f>AF26</f>
        <v>0</v>
      </c>
      <c r="AG49" s="2366">
        <v>41579</v>
      </c>
      <c r="AH49" s="2366"/>
      <c r="AI49" s="2366"/>
      <c r="AJ49" s="2366"/>
      <c r="AK49" s="2366"/>
      <c r="AL49" s="2366"/>
    </row>
    <row r="50" spans="7:47">
      <c r="O50" s="477" t="s">
        <v>1845</v>
      </c>
      <c r="P50" s="2275" t="s">
        <v>1902</v>
      </c>
      <c r="Q50" s="2315">
        <f>ROUND(Q$26*$X50,0)</f>
        <v>1246</v>
      </c>
      <c r="R50" s="2316"/>
      <c r="S50" s="2315">
        <f t="shared" si="21"/>
        <v>0</v>
      </c>
      <c r="T50" s="2315">
        <f t="shared" si="21"/>
        <v>-132</v>
      </c>
      <c r="U50" s="2315">
        <f t="shared" si="21"/>
        <v>0</v>
      </c>
      <c r="V50" s="2315">
        <f>SUM(R50:T50)</f>
        <v>-132</v>
      </c>
      <c r="W50" s="2282">
        <f>Q50+V50</f>
        <v>1114</v>
      </c>
      <c r="X50" s="2284">
        <f>'G-3.01 PF Rev Norm'!I27</f>
        <v>4.9508674374747468E-3</v>
      </c>
      <c r="Y50" s="477" t="s">
        <v>1844</v>
      </c>
      <c r="AE50" s="2275"/>
      <c r="AF50" s="2398"/>
      <c r="AG50" s="2398">
        <v>2</v>
      </c>
      <c r="AH50" s="2398">
        <v>3</v>
      </c>
      <c r="AI50" s="2398">
        <v>4</v>
      </c>
      <c r="AJ50" s="2398">
        <v>5</v>
      </c>
      <c r="AK50" s="2398">
        <v>6</v>
      </c>
      <c r="AL50" s="2398">
        <v>7</v>
      </c>
    </row>
    <row r="51" spans="7:47">
      <c r="O51" s="477" t="s">
        <v>1843</v>
      </c>
      <c r="P51" s="2275" t="s">
        <v>1902</v>
      </c>
      <c r="Q51" s="2315">
        <f>ROUND(Q$26*$X51,0)</f>
        <v>1007</v>
      </c>
      <c r="R51" s="2316"/>
      <c r="S51" s="2315">
        <f t="shared" si="21"/>
        <v>0</v>
      </c>
      <c r="T51" s="2315">
        <f t="shared" si="21"/>
        <v>-107</v>
      </c>
      <c r="U51" s="2315">
        <f t="shared" si="21"/>
        <v>0</v>
      </c>
      <c r="V51" s="2315">
        <f>SUM(R51:T51)</f>
        <v>-107</v>
      </c>
      <c r="W51" s="2282">
        <f>Q51+V51</f>
        <v>900</v>
      </c>
      <c r="X51" s="2284">
        <f>'G-3.01 PF Rev Norm'!I28</f>
        <v>4.0000000000000001E-3</v>
      </c>
      <c r="Y51" s="477" t="s">
        <v>1842</v>
      </c>
      <c r="AE51" s="2275"/>
      <c r="AF51" s="2397"/>
      <c r="AG51" s="2397"/>
      <c r="AH51" s="2397"/>
      <c r="AI51" s="2397"/>
      <c r="AJ51" s="2397"/>
      <c r="AK51" s="2275"/>
    </row>
    <row r="52" spans="7:47">
      <c r="G52" s="1428"/>
      <c r="O52" s="477" t="s">
        <v>1901</v>
      </c>
      <c r="Q52" s="2297">
        <f t="shared" ref="Q52:V52" si="22">SUM(Q38:Q51)</f>
        <v>182617</v>
      </c>
      <c r="R52" s="2297">
        <f t="shared" si="22"/>
        <v>-8688</v>
      </c>
      <c r="S52" s="2297">
        <f t="shared" si="22"/>
        <v>-56</v>
      </c>
      <c r="T52" s="2297">
        <f t="shared" si="22"/>
        <v>-72773</v>
      </c>
      <c r="U52" s="2297">
        <f t="shared" si="22"/>
        <v>0</v>
      </c>
      <c r="V52" s="2297">
        <f t="shared" si="22"/>
        <v>-81518</v>
      </c>
      <c r="W52" s="2283">
        <f>SUM(W39:W51)</f>
        <v>101100</v>
      </c>
      <c r="X52" s="909">
        <f>SUM(X49:X51)</f>
        <v>4.7280160023783213E-2</v>
      </c>
      <c r="Y52" s="477" t="s">
        <v>1838</v>
      </c>
      <c r="AE52" s="2275"/>
      <c r="AL52" s="2291" t="s">
        <v>2002</v>
      </c>
    </row>
    <row r="53" spans="7:47">
      <c r="G53" s="1428"/>
      <c r="K53" s="924"/>
      <c r="Q53" s="2266"/>
      <c r="R53" s="2266"/>
      <c r="S53" s="2266"/>
      <c r="T53" s="2266"/>
      <c r="U53" s="2266"/>
      <c r="V53" s="2286"/>
      <c r="W53" s="2282"/>
      <c r="X53" s="2314">
        <f>1/(1-X52)</f>
        <v>1.0496265093261452</v>
      </c>
      <c r="Y53" s="634" t="s">
        <v>1900</v>
      </c>
      <c r="AC53" s="2345" t="s">
        <v>1966</v>
      </c>
      <c r="AD53" s="2291"/>
      <c r="AE53" s="2291" t="s">
        <v>110</v>
      </c>
      <c r="AF53" s="2291" t="s">
        <v>2006</v>
      </c>
      <c r="AG53" s="2291" t="s">
        <v>2005</v>
      </c>
      <c r="AH53" s="2291" t="s">
        <v>2004</v>
      </c>
      <c r="AI53" s="2291" t="s">
        <v>2003</v>
      </c>
      <c r="AJ53" s="2291" t="s">
        <v>2002</v>
      </c>
      <c r="AK53" s="2291" t="s">
        <v>2002</v>
      </c>
      <c r="AL53" s="2291" t="s">
        <v>2001</v>
      </c>
      <c r="AM53" s="2291"/>
      <c r="AN53" s="2291"/>
      <c r="AO53" s="2332" t="e">
        <f ca="1">"selected in cell "&amp;CELL("address",Base1_Billing2)&amp;":"</f>
        <v>#N/A</v>
      </c>
      <c r="AP53" s="2291"/>
      <c r="AQ53" s="2291"/>
      <c r="AR53" s="2291"/>
      <c r="AS53" s="2291"/>
      <c r="AT53" s="2291"/>
      <c r="AU53" s="2291"/>
    </row>
    <row r="54" spans="7:47">
      <c r="G54" s="1428"/>
      <c r="O54" s="634" t="s">
        <v>1899</v>
      </c>
      <c r="Q54" s="199">
        <f>Q35-Q52</f>
        <v>106222</v>
      </c>
      <c r="R54" s="199">
        <f>R35-R52</f>
        <v>42</v>
      </c>
      <c r="S54" s="199">
        <f>S35-S52</f>
        <v>-43</v>
      </c>
      <c r="T54" s="199">
        <f>T35-T52</f>
        <v>12195</v>
      </c>
      <c r="U54" s="199">
        <f>U35-U52</f>
        <v>0</v>
      </c>
      <c r="V54" s="2286">
        <f>SUM(R54:U54)</f>
        <v>12194</v>
      </c>
      <c r="W54" s="2313">
        <f>W35-W52</f>
        <v>118416</v>
      </c>
      <c r="AC54" s="2345" t="s">
        <v>1963</v>
      </c>
      <c r="AD54" s="2344"/>
      <c r="AE54" s="2344" t="s">
        <v>198</v>
      </c>
      <c r="AF54" s="2344" t="s">
        <v>1958</v>
      </c>
      <c r="AG54" s="2344" t="s">
        <v>1952</v>
      </c>
      <c r="AH54" s="2344" t="s">
        <v>2000</v>
      </c>
      <c r="AI54" s="2344" t="s">
        <v>1999</v>
      </c>
      <c r="AJ54" s="2344" t="s">
        <v>1998</v>
      </c>
      <c r="AK54" s="2344" t="s">
        <v>1997</v>
      </c>
      <c r="AL54" s="2344" t="s">
        <v>1996</v>
      </c>
      <c r="AM54" s="2291"/>
      <c r="AN54" s="2291"/>
      <c r="AO54" s="2396" t="str">
        <f>AQ10</f>
        <v>Base</v>
      </c>
      <c r="AP54" s="2291"/>
      <c r="AQ54" s="2291"/>
      <c r="AR54" s="2291"/>
      <c r="AS54" s="2291"/>
      <c r="AT54" s="2291"/>
      <c r="AU54" s="2291"/>
    </row>
    <row r="55" spans="7:47">
      <c r="G55" s="199"/>
      <c r="O55" s="378"/>
      <c r="P55" s="378"/>
      <c r="Q55" s="378"/>
      <c r="R55" s="199"/>
      <c r="S55" s="199"/>
      <c r="T55" s="378"/>
      <c r="U55" s="199"/>
      <c r="V55" s="199"/>
      <c r="AD55" s="2369" t="s">
        <v>2026</v>
      </c>
      <c r="AK55" s="2395">
        <v>-1</v>
      </c>
      <c r="AL55" s="2395">
        <v>-2</v>
      </c>
      <c r="AO55" s="2332" t="str">
        <f>"Rates_"&amp;$AO$54&amp;"_Present"</f>
        <v>Rates_Base_Present</v>
      </c>
      <c r="AQ55" s="2394" t="s">
        <v>2025</v>
      </c>
    </row>
    <row r="56" spans="7:47" ht="13.5">
      <c r="O56" s="2289" t="s">
        <v>1898</v>
      </c>
      <c r="P56" s="378"/>
      <c r="Q56" s="378"/>
      <c r="R56" s="199"/>
      <c r="S56" s="199"/>
      <c r="T56" s="378"/>
      <c r="U56" s="199"/>
      <c r="V56" s="199"/>
      <c r="AC56" s="2392"/>
      <c r="AD56" s="2318" t="s">
        <v>1994</v>
      </c>
      <c r="AF56" s="2391">
        <v>9.5</v>
      </c>
      <c r="AG56" s="2391">
        <v>0</v>
      </c>
      <c r="AH56" s="2391">
        <v>0</v>
      </c>
      <c r="AI56" s="2391">
        <v>0</v>
      </c>
      <c r="AJ56" s="2391">
        <v>700</v>
      </c>
      <c r="AK56" s="2390">
        <v>200</v>
      </c>
      <c r="AL56" s="2390">
        <v>26332</v>
      </c>
      <c r="AM56" s="2387">
        <v>1</v>
      </c>
      <c r="AO56" s="2332" t="str">
        <f>"Rates_"&amp;$AO$54&amp;"_Proposed"</f>
        <v>Rates_Base_Proposed</v>
      </c>
      <c r="AQ56" s="2394" t="s">
        <v>2024</v>
      </c>
    </row>
    <row r="57" spans="7:47" ht="13.5">
      <c r="O57" s="634" t="s">
        <v>1561</v>
      </c>
      <c r="P57" s="2275" t="s">
        <v>1896</v>
      </c>
      <c r="Q57" s="2286">
        <f>-T57</f>
        <v>-2560.9499999999998</v>
      </c>
      <c r="R57" s="2286"/>
      <c r="S57" s="2286"/>
      <c r="T57" s="2286">
        <f>T54*0.21</f>
        <v>2560.9499999999998</v>
      </c>
      <c r="U57" s="2286"/>
      <c r="V57" s="2286"/>
      <c r="AC57" s="2392"/>
      <c r="AD57" s="2318" t="s">
        <v>1993</v>
      </c>
      <c r="AF57" s="2391">
        <v>0</v>
      </c>
      <c r="AG57" s="2391">
        <v>130.58000000000001</v>
      </c>
      <c r="AH57" s="2391">
        <v>0</v>
      </c>
      <c r="AI57" s="2391">
        <v>0</v>
      </c>
      <c r="AJ57" s="2393"/>
      <c r="AK57" s="2390">
        <v>0</v>
      </c>
      <c r="AL57" s="2390">
        <v>0</v>
      </c>
      <c r="AM57" s="2387">
        <v>2</v>
      </c>
    </row>
    <row r="58" spans="7:47">
      <c r="G58" s="1428"/>
      <c r="O58" s="634" t="s">
        <v>1897</v>
      </c>
      <c r="P58" s="2275" t="s">
        <v>1896</v>
      </c>
      <c r="Q58" s="2312">
        <f>-6685-2941</f>
        <v>-9626</v>
      </c>
      <c r="R58" s="2311"/>
      <c r="S58" s="2311"/>
      <c r="T58" s="2310">
        <f>-Q58</f>
        <v>9626</v>
      </c>
      <c r="U58" s="2310"/>
      <c r="V58" s="2286"/>
      <c r="AK58" s="2389"/>
      <c r="AL58" s="2389"/>
    </row>
    <row r="59" spans="7:47" ht="13.5">
      <c r="G59" s="1428"/>
      <c r="P59" s="2275"/>
      <c r="Q59" s="2309"/>
      <c r="R59" s="2266"/>
      <c r="S59" s="2266"/>
      <c r="T59" s="2286">
        <f>T58+T57</f>
        <v>12186.95</v>
      </c>
      <c r="U59" s="2286"/>
      <c r="V59" s="2286"/>
      <c r="AC59" s="2392"/>
      <c r="AD59" s="2318" t="s">
        <v>2021</v>
      </c>
      <c r="AF59" s="2386">
        <v>50.668999999999997</v>
      </c>
      <c r="AG59" s="2386">
        <v>0</v>
      </c>
      <c r="AH59" s="2386">
        <v>0</v>
      </c>
      <c r="AI59" s="2386">
        <v>30.317</v>
      </c>
      <c r="AJ59" s="2386">
        <v>12.43</v>
      </c>
      <c r="AK59" s="2388">
        <v>2.8</v>
      </c>
      <c r="AL59" s="2388">
        <v>1</v>
      </c>
      <c r="AM59" s="2387">
        <v>3</v>
      </c>
    </row>
    <row r="60" spans="7:47" ht="13.5">
      <c r="P60" s="2275"/>
      <c r="Q60" s="2309"/>
      <c r="R60" s="2266"/>
      <c r="S60" s="2266"/>
      <c r="T60" s="2286"/>
      <c r="U60" s="2286"/>
      <c r="V60" s="2286"/>
      <c r="AC60" s="2392"/>
      <c r="AD60" s="2318" t="s">
        <v>2020</v>
      </c>
      <c r="AF60" s="2386">
        <v>65.852999999999994</v>
      </c>
      <c r="AG60" s="2386">
        <v>38.764000000000003</v>
      </c>
      <c r="AH60" s="2386">
        <v>0</v>
      </c>
      <c r="AI60" s="2386">
        <v>24.337</v>
      </c>
      <c r="AJ60" s="2386">
        <v>11.058</v>
      </c>
      <c r="AK60" s="2388">
        <v>4.5</v>
      </c>
      <c r="AL60" s="2388">
        <v>0</v>
      </c>
      <c r="AM60" s="2387">
        <v>4</v>
      </c>
    </row>
    <row r="61" spans="7:47" ht="13.5">
      <c r="O61" s="477" t="s">
        <v>1841</v>
      </c>
      <c r="T61" s="199">
        <f>T54-T59</f>
        <v>8.0499999999992724</v>
      </c>
      <c r="V61" s="2286"/>
      <c r="AC61" s="2392"/>
      <c r="AD61" s="2318" t="s">
        <v>2019</v>
      </c>
      <c r="AF61" s="2386">
        <v>0</v>
      </c>
      <c r="AG61" s="2386">
        <v>29.547000000000001</v>
      </c>
      <c r="AH61" s="2386">
        <v>0</v>
      </c>
      <c r="AI61" s="2386">
        <v>22.869</v>
      </c>
      <c r="AJ61" s="2386">
        <v>9.9710000000000001</v>
      </c>
      <c r="AK61" s="2388"/>
      <c r="AL61" s="2388">
        <v>0</v>
      </c>
      <c r="AM61" s="2387">
        <v>5</v>
      </c>
    </row>
    <row r="62" spans="7:47" ht="13.5">
      <c r="T62" s="199"/>
      <c r="V62" s="2286"/>
      <c r="AC62" s="2392"/>
      <c r="AD62" s="2318" t="s">
        <v>2018</v>
      </c>
      <c r="AF62" s="2386">
        <v>0</v>
      </c>
      <c r="AG62" s="2386">
        <v>25.210999999999999</v>
      </c>
      <c r="AH62" s="2386">
        <v>0</v>
      </c>
      <c r="AI62" s="2386">
        <v>20.433</v>
      </c>
      <c r="AJ62" s="2386">
        <v>9.2210000000000001</v>
      </c>
      <c r="AK62" s="2388">
        <v>2.5</v>
      </c>
      <c r="AL62" s="2388">
        <v>0</v>
      </c>
      <c r="AM62" s="2387">
        <v>6</v>
      </c>
    </row>
    <row r="63" spans="7:47" ht="13.5">
      <c r="O63" s="634" t="s">
        <v>1895</v>
      </c>
      <c r="V63" s="2286"/>
      <c r="AC63" s="2392"/>
      <c r="AD63" s="2318" t="s">
        <v>2017</v>
      </c>
      <c r="AF63" s="2386">
        <v>0</v>
      </c>
      <c r="AG63" s="2386">
        <v>17.686</v>
      </c>
      <c r="AH63" s="2386">
        <v>0</v>
      </c>
      <c r="AI63" s="2386">
        <v>0</v>
      </c>
      <c r="AJ63" s="2386">
        <v>6.93</v>
      </c>
      <c r="AK63" s="2388">
        <v>2.0910000000000002</v>
      </c>
      <c r="AL63" s="2388">
        <v>0</v>
      </c>
      <c r="AM63" s="2387">
        <v>7</v>
      </c>
    </row>
    <row r="64" spans="7:47">
      <c r="S64" s="880" t="s">
        <v>1894</v>
      </c>
      <c r="T64" s="2073"/>
      <c r="U64" s="2073"/>
      <c r="AF64" s="2386"/>
      <c r="AG64" s="2386"/>
      <c r="AH64" s="2386"/>
      <c r="AI64" s="2386"/>
      <c r="AJ64" s="2386"/>
      <c r="AK64" s="2386"/>
      <c r="AL64" s="2386"/>
    </row>
    <row r="65" spans="6:39">
      <c r="AD65" s="2318" t="s">
        <v>2016</v>
      </c>
      <c r="AF65" s="2386">
        <v>56.846274924802486</v>
      </c>
      <c r="AG65" s="2386">
        <v>27.908527268096844</v>
      </c>
      <c r="AH65" s="2386"/>
      <c r="AI65" s="2386">
        <v>23.743351342287188</v>
      </c>
      <c r="AJ65" s="2386">
        <v>10.530620297010387</v>
      </c>
      <c r="AK65" s="2386"/>
      <c r="AL65" s="2386"/>
    </row>
    <row r="66" spans="6:39">
      <c r="O66" s="477" t="s">
        <v>1893</v>
      </c>
      <c r="S66" s="2308">
        <v>261694309</v>
      </c>
      <c r="AF66" s="2333"/>
      <c r="AG66" s="2333"/>
      <c r="AH66" s="2333"/>
      <c r="AI66" s="2333"/>
      <c r="AJ66" s="2333"/>
      <c r="AK66" s="2333"/>
      <c r="AL66" s="2333"/>
    </row>
    <row r="67" spans="6:39">
      <c r="O67" s="477" t="s">
        <v>1892</v>
      </c>
      <c r="S67" s="2308"/>
      <c r="AC67" s="2318"/>
    </row>
    <row r="68" spans="6:39">
      <c r="I68" s="880"/>
      <c r="O68" s="1428" t="s">
        <v>213</v>
      </c>
      <c r="P68" s="1428"/>
      <c r="S68" s="2308">
        <v>88066</v>
      </c>
      <c r="AC68" s="2318"/>
    </row>
    <row r="69" spans="6:39">
      <c r="O69" s="1428" t="s">
        <v>1891</v>
      </c>
      <c r="P69" s="1428"/>
      <c r="S69" s="2308">
        <v>7633</v>
      </c>
      <c r="AC69" s="2318"/>
    </row>
    <row r="70" spans="6:39">
      <c r="I70" s="2266"/>
      <c r="O70" s="1428" t="s">
        <v>220</v>
      </c>
      <c r="P70" s="1428"/>
      <c r="S70" s="2308">
        <v>2428</v>
      </c>
      <c r="Y70" s="2268"/>
      <c r="AF70" s="2333"/>
      <c r="AG70" s="2333"/>
      <c r="AH70" s="2333"/>
      <c r="AI70" s="2333"/>
      <c r="AJ70" s="2333"/>
      <c r="AK70" s="2333"/>
      <c r="AL70" s="2333"/>
    </row>
    <row r="71" spans="6:39">
      <c r="I71" s="2266"/>
      <c r="O71" s="1428" t="s">
        <v>1890</v>
      </c>
      <c r="P71" s="1428"/>
      <c r="S71" s="2308">
        <v>96364261</v>
      </c>
      <c r="Y71" s="1210"/>
      <c r="AF71" s="2333"/>
      <c r="AG71" s="2333"/>
      <c r="AH71" s="2333"/>
      <c r="AI71" s="2333"/>
      <c r="AJ71" s="2333"/>
      <c r="AK71" s="2333"/>
      <c r="AL71" s="2333"/>
    </row>
    <row r="72" spans="6:39">
      <c r="I72" s="2266"/>
      <c r="O72" s="1428" t="s">
        <v>221</v>
      </c>
      <c r="P72" s="1428"/>
      <c r="S72" s="2308">
        <v>8713935</v>
      </c>
      <c r="Y72" s="199"/>
      <c r="AF72" s="2333"/>
      <c r="AG72" s="2333"/>
      <c r="AH72" s="2333"/>
      <c r="AI72" s="2333"/>
      <c r="AJ72" s="2333"/>
      <c r="AK72" s="2333"/>
      <c r="AL72" s="2333"/>
    </row>
    <row r="73" spans="6:39">
      <c r="G73" s="1428"/>
      <c r="I73" s="2266"/>
      <c r="O73" s="477" t="s">
        <v>998</v>
      </c>
      <c r="S73" s="2293">
        <f>S66-SUM(S68:S72)</f>
        <v>156517986</v>
      </c>
      <c r="Y73" s="2267"/>
      <c r="AD73" s="2369" t="s">
        <v>2023</v>
      </c>
      <c r="AK73" s="2341"/>
      <c r="AL73" s="2341"/>
    </row>
    <row r="74" spans="6:39">
      <c r="G74" s="199"/>
      <c r="I74" s="2266"/>
      <c r="S74" s="199"/>
      <c r="Y74" s="1210"/>
      <c r="AD74" s="2318" t="s">
        <v>1994</v>
      </c>
      <c r="AF74" s="2391">
        <v>9.5</v>
      </c>
      <c r="AG74" s="2391">
        <v>0</v>
      </c>
      <c r="AH74" s="2391">
        <v>0</v>
      </c>
      <c r="AI74" s="2391">
        <v>0</v>
      </c>
      <c r="AJ74" s="2391">
        <v>700</v>
      </c>
      <c r="AK74" s="2390">
        <v>200</v>
      </c>
      <c r="AL74" s="2390">
        <v>26332</v>
      </c>
      <c r="AM74" s="2387">
        <v>1</v>
      </c>
    </row>
    <row r="75" spans="6:39">
      <c r="I75" s="2266"/>
      <c r="O75" s="477" t="s">
        <v>1889</v>
      </c>
      <c r="S75" s="2308">
        <f>156212088</f>
        <v>156212088</v>
      </c>
      <c r="AD75" s="2318" t="s">
        <v>2022</v>
      </c>
      <c r="AF75" s="2391">
        <v>0</v>
      </c>
      <c r="AG75" s="2391">
        <v>130.58000000000001</v>
      </c>
      <c r="AH75" s="2391">
        <v>0</v>
      </c>
      <c r="AI75" s="2391">
        <v>0</v>
      </c>
      <c r="AJ75" s="2391">
        <v>0</v>
      </c>
      <c r="AK75" s="2390">
        <v>0</v>
      </c>
      <c r="AL75" s="2390">
        <v>0</v>
      </c>
      <c r="AM75" s="2387">
        <v>2</v>
      </c>
    </row>
    <row r="76" spans="6:39">
      <c r="F76" s="199"/>
      <c r="I76" s="2266"/>
      <c r="O76" s="1428" t="s">
        <v>1888</v>
      </c>
      <c r="P76" s="1428"/>
      <c r="S76" s="199">
        <f>S69</f>
        <v>7633</v>
      </c>
      <c r="T76" s="634"/>
      <c r="U76" s="634"/>
      <c r="AK76" s="2389"/>
      <c r="AL76" s="2389"/>
    </row>
    <row r="77" spans="6:39">
      <c r="F77" s="199"/>
      <c r="I77" s="199"/>
      <c r="O77" s="1428" t="s">
        <v>1887</v>
      </c>
      <c r="P77" s="1428"/>
      <c r="S77" s="2308">
        <f>26132*12</f>
        <v>313584</v>
      </c>
      <c r="T77" s="2266"/>
      <c r="U77" s="2266"/>
      <c r="AD77" s="2318" t="s">
        <v>2021</v>
      </c>
      <c r="AF77" s="2386">
        <v>50.668999999999997</v>
      </c>
      <c r="AG77" s="2386">
        <v>0</v>
      </c>
      <c r="AH77" s="2386">
        <v>0</v>
      </c>
      <c r="AI77" s="2386">
        <v>30.317</v>
      </c>
      <c r="AJ77" s="2386">
        <v>12.43</v>
      </c>
      <c r="AK77" s="2388">
        <v>2.8</v>
      </c>
      <c r="AL77" s="2388">
        <v>1</v>
      </c>
      <c r="AM77" s="2387">
        <v>3</v>
      </c>
    </row>
    <row r="78" spans="6:39">
      <c r="F78" s="199"/>
      <c r="I78" s="199"/>
      <c r="O78" s="477" t="s">
        <v>998</v>
      </c>
      <c r="S78" s="2293">
        <f>S75-S76+S77</f>
        <v>156518039</v>
      </c>
      <c r="AD78" s="2318" t="s">
        <v>2020</v>
      </c>
      <c r="AF78" s="2386">
        <v>65.852999999999994</v>
      </c>
      <c r="AG78" s="2386">
        <v>38.764000000000003</v>
      </c>
      <c r="AH78" s="2386">
        <v>0</v>
      </c>
      <c r="AI78" s="2386">
        <v>24.337</v>
      </c>
      <c r="AJ78" s="2386">
        <v>11.058</v>
      </c>
      <c r="AK78" s="2388">
        <v>4.5</v>
      </c>
      <c r="AL78" s="2388">
        <v>0</v>
      </c>
      <c r="AM78" s="2387">
        <v>4</v>
      </c>
    </row>
    <row r="79" spans="6:39">
      <c r="F79" s="199"/>
      <c r="I79" s="2266"/>
      <c r="S79" s="199">
        <f>S78-S73</f>
        <v>53</v>
      </c>
      <c r="AD79" s="2318" t="s">
        <v>2019</v>
      </c>
      <c r="AF79" s="2386">
        <v>0</v>
      </c>
      <c r="AG79" s="2386">
        <v>29.547000000000001</v>
      </c>
      <c r="AH79" s="2386">
        <v>0</v>
      </c>
      <c r="AI79" s="2386">
        <v>22.869</v>
      </c>
      <c r="AJ79" s="2386">
        <v>9.9710000000000001</v>
      </c>
      <c r="AK79" s="2388"/>
      <c r="AL79" s="2388">
        <v>0</v>
      </c>
      <c r="AM79" s="2387">
        <v>5</v>
      </c>
    </row>
    <row r="80" spans="6:39">
      <c r="F80" s="199"/>
      <c r="I80" s="199"/>
      <c r="S80" s="199"/>
      <c r="AD80" s="2318" t="s">
        <v>2018</v>
      </c>
      <c r="AF80" s="2386">
        <v>0</v>
      </c>
      <c r="AG80" s="2386">
        <v>25.210999999999999</v>
      </c>
      <c r="AH80" s="2386">
        <v>0</v>
      </c>
      <c r="AI80" s="2386">
        <v>20.433</v>
      </c>
      <c r="AJ80" s="2386">
        <v>9.2210000000000001</v>
      </c>
      <c r="AK80" s="2388">
        <v>2.5</v>
      </c>
      <c r="AL80" s="2388">
        <v>0</v>
      </c>
      <c r="AM80" s="2387">
        <v>6</v>
      </c>
    </row>
    <row r="81" spans="6:39">
      <c r="F81" s="199"/>
      <c r="I81" s="2266"/>
      <c r="O81" s="477" t="s">
        <v>1886</v>
      </c>
      <c r="S81" s="2308">
        <f>-(3207892-8371+2426338)</f>
        <v>-5625859</v>
      </c>
      <c r="AD81" s="2318" t="s">
        <v>2017</v>
      </c>
      <c r="AF81" s="2386">
        <v>0</v>
      </c>
      <c r="AG81" s="2386">
        <v>17.686</v>
      </c>
      <c r="AH81" s="2386">
        <v>0</v>
      </c>
      <c r="AI81" s="2386">
        <v>0</v>
      </c>
      <c r="AJ81" s="2386">
        <v>6.93</v>
      </c>
      <c r="AK81" s="2388">
        <v>2.0910000000000002</v>
      </c>
      <c r="AL81" s="2388">
        <v>0</v>
      </c>
      <c r="AM81" s="2387">
        <v>7</v>
      </c>
    </row>
    <row r="82" spans="6:39">
      <c r="F82" s="199"/>
      <c r="I82" s="199"/>
      <c r="O82" s="477" t="s">
        <v>1885</v>
      </c>
      <c r="S82" s="2308">
        <f>-(-79734+3133)</f>
        <v>76601</v>
      </c>
      <c r="AF82" s="2386"/>
      <c r="AG82" s="2386"/>
      <c r="AH82" s="2386"/>
      <c r="AI82" s="2386"/>
      <c r="AJ82" s="2386"/>
      <c r="AK82" s="2385"/>
      <c r="AL82" s="2385"/>
    </row>
    <row r="83" spans="6:39">
      <c r="I83" s="199"/>
      <c r="O83" s="477" t="s">
        <v>1872</v>
      </c>
      <c r="S83" s="2293">
        <f>SUM(S78:S82)</f>
        <v>150968834</v>
      </c>
      <c r="AD83" s="2318" t="s">
        <v>2016</v>
      </c>
      <c r="AF83" s="2386">
        <v>56.846274924802486</v>
      </c>
      <c r="AG83" s="2386">
        <v>27.908527268096844</v>
      </c>
      <c r="AH83" s="2386"/>
      <c r="AI83" s="2386">
        <v>23.743351342287188</v>
      </c>
      <c r="AJ83" s="2386">
        <v>10.530620297010387</v>
      </c>
      <c r="AK83" s="2385"/>
      <c r="AL83" s="2385"/>
    </row>
    <row r="84" spans="6:39">
      <c r="I84" s="199"/>
      <c r="S84" s="199"/>
      <c r="AF84" s="2333"/>
      <c r="AG84" s="2333"/>
      <c r="AH84" s="2333"/>
      <c r="AI84" s="2333"/>
      <c r="AJ84" s="2333"/>
      <c r="AK84" s="2372"/>
      <c r="AL84" s="2372"/>
    </row>
    <row r="85" spans="6:39">
      <c r="I85" s="2266"/>
      <c r="O85" s="477" t="s">
        <v>1884</v>
      </c>
      <c r="S85" s="199"/>
      <c r="AC85" s="2318"/>
    </row>
    <row r="86" spans="6:39">
      <c r="I86" s="2266"/>
      <c r="O86" s="1428" t="s">
        <v>1883</v>
      </c>
      <c r="P86" s="1428"/>
      <c r="S86" s="2308">
        <f>59964740.48+48000501.79</f>
        <v>107965242.27</v>
      </c>
      <c r="AC86" s="2318"/>
      <c r="AD86" s="2348"/>
    </row>
    <row r="87" spans="6:39">
      <c r="I87" s="199"/>
      <c r="O87" s="1428" t="s">
        <v>1882</v>
      </c>
      <c r="P87" s="1428"/>
      <c r="S87" s="2308">
        <f>20135647.48+14450863.77</f>
        <v>34586511.25</v>
      </c>
      <c r="AD87" s="2341" t="s">
        <v>2015</v>
      </c>
      <c r="AE87" s="2341"/>
      <c r="AF87" s="2372"/>
      <c r="AG87" s="2372"/>
      <c r="AH87" s="2333"/>
      <c r="AI87" s="2333"/>
      <c r="AJ87" s="2333"/>
      <c r="AK87" s="2333"/>
      <c r="AL87" s="2333"/>
    </row>
    <row r="88" spans="6:39">
      <c r="I88" s="199"/>
      <c r="O88" s="1428" t="s">
        <v>1881</v>
      </c>
      <c r="P88" s="1428"/>
      <c r="S88" s="2308">
        <v>0</v>
      </c>
      <c r="AD88" s="2341" t="s">
        <v>2014</v>
      </c>
      <c r="AE88" s="2341"/>
      <c r="AF88" s="2372"/>
      <c r="AG88" s="2372"/>
      <c r="AH88" s="2333"/>
      <c r="AI88" s="2333"/>
      <c r="AJ88" s="2333"/>
      <c r="AK88" s="2333"/>
      <c r="AL88" s="2333"/>
    </row>
    <row r="89" spans="6:39">
      <c r="I89" s="199"/>
      <c r="O89" s="1428" t="s">
        <v>1880</v>
      </c>
      <c r="P89" s="1428"/>
      <c r="S89" s="2308">
        <f>2156259.82+1280529.46</f>
        <v>3436789.28</v>
      </c>
      <c r="AD89" s="2341"/>
      <c r="AE89" s="2341"/>
      <c r="AF89" s="2372"/>
      <c r="AG89" s="2372"/>
      <c r="AH89" s="2333"/>
      <c r="AI89" s="2333"/>
      <c r="AJ89" s="2333"/>
      <c r="AK89" s="2333"/>
      <c r="AL89" s="2333"/>
    </row>
    <row r="90" spans="6:39">
      <c r="I90" s="2266"/>
      <c r="J90" s="199"/>
      <c r="O90" s="1428" t="s">
        <v>1879</v>
      </c>
      <c r="P90" s="1428"/>
      <c r="S90" s="2308">
        <f>249328.84+125566.33</f>
        <v>374895.17</v>
      </c>
      <c r="AD90" s="2341" t="s">
        <v>2013</v>
      </c>
      <c r="AE90" s="2341"/>
      <c r="AF90" s="2372"/>
      <c r="AG90" s="2372"/>
      <c r="AH90" s="2333"/>
      <c r="AI90" s="2333"/>
      <c r="AJ90" s="2333"/>
      <c r="AK90" s="2333"/>
      <c r="AL90" s="2333"/>
    </row>
    <row r="91" spans="6:39">
      <c r="I91" s="2266"/>
      <c r="J91" s="199"/>
      <c r="O91" s="1428" t="s">
        <v>1878</v>
      </c>
      <c r="P91" s="1428"/>
      <c r="S91" s="2308">
        <v>0</v>
      </c>
      <c r="AD91" s="2341" t="s">
        <v>2012</v>
      </c>
      <c r="AE91" s="2341"/>
      <c r="AF91" s="2372"/>
      <c r="AG91" s="2372"/>
      <c r="AH91" s="2333"/>
      <c r="AI91" s="2333"/>
      <c r="AJ91" s="2333"/>
      <c r="AK91" s="2333"/>
      <c r="AL91" s="2333"/>
    </row>
    <row r="92" spans="6:39">
      <c r="I92" s="2266"/>
      <c r="J92" s="199"/>
      <c r="O92" s="1428" t="s">
        <v>1877</v>
      </c>
      <c r="P92" s="1428"/>
      <c r="S92" s="2308">
        <f>392692.4+204339.49</f>
        <v>597031.89</v>
      </c>
      <c r="AD92" s="2341"/>
      <c r="AE92" s="2341"/>
      <c r="AF92" s="2372"/>
      <c r="AG92" s="2372"/>
      <c r="AH92" s="2333"/>
      <c r="AI92" s="2333"/>
      <c r="AJ92" s="2333"/>
      <c r="AK92" s="2333"/>
      <c r="AL92" s="2333"/>
    </row>
    <row r="93" spans="6:39">
      <c r="I93" s="2266"/>
      <c r="J93" s="199"/>
      <c r="O93" s="1428" t="s">
        <v>1876</v>
      </c>
      <c r="P93" s="1428"/>
      <c r="S93" s="2308">
        <f>1589710.31+831802.98</f>
        <v>2421513.29</v>
      </c>
      <c r="AD93" s="2341" t="s">
        <v>2011</v>
      </c>
      <c r="AE93" s="2341"/>
      <c r="AF93" s="2372"/>
      <c r="AG93" s="2372"/>
      <c r="AH93" s="2333"/>
      <c r="AI93" s="2333"/>
      <c r="AJ93" s="2333"/>
      <c r="AK93" s="2333"/>
      <c r="AL93" s="2333"/>
    </row>
    <row r="94" spans="6:39">
      <c r="I94" s="2266"/>
      <c r="J94" s="199"/>
      <c r="O94" s="1428" t="s">
        <v>1875</v>
      </c>
      <c r="P94" s="1428"/>
      <c r="S94" s="2308">
        <f>40151.06+8529.32</f>
        <v>48680.38</v>
      </c>
      <c r="X94" s="880"/>
    </row>
    <row r="95" spans="6:39">
      <c r="I95" s="2266"/>
      <c r="J95" s="199"/>
      <c r="O95" s="1428" t="s">
        <v>1874</v>
      </c>
      <c r="P95" s="1428"/>
      <c r="S95" s="2308">
        <f>795013.28+429526.89</f>
        <v>1224540.17</v>
      </c>
    </row>
    <row r="96" spans="6:39">
      <c r="I96" s="2266"/>
      <c r="J96" s="199"/>
      <c r="O96" s="1428" t="s">
        <v>1873</v>
      </c>
      <c r="P96" s="1428"/>
      <c r="S96" s="2308">
        <v>313584</v>
      </c>
      <c r="T96" s="2266"/>
      <c r="U96" s="2266"/>
      <c r="X96" s="2266"/>
    </row>
    <row r="97" spans="9:47">
      <c r="I97" s="2266"/>
      <c r="J97" s="199"/>
      <c r="O97" s="477" t="s">
        <v>1872</v>
      </c>
      <c r="S97" s="2293">
        <f>SUM(S86:S96)</f>
        <v>150968787.69999993</v>
      </c>
      <c r="X97" s="2266"/>
      <c r="AD97" s="2348" t="s">
        <v>2049</v>
      </c>
    </row>
    <row r="98" spans="9:47">
      <c r="I98" s="2266"/>
      <c r="J98" s="199"/>
      <c r="S98" s="199">
        <f>S97-S83</f>
        <v>-46.300000071525574</v>
      </c>
      <c r="X98" s="2266"/>
    </row>
    <row r="99" spans="9:47">
      <c r="I99" s="2266"/>
      <c r="J99" s="199"/>
      <c r="T99" s="199"/>
      <c r="X99" s="2266"/>
    </row>
    <row r="100" spans="9:47">
      <c r="I100" s="199"/>
      <c r="J100" s="199"/>
      <c r="V100" s="1428"/>
      <c r="X100" s="2266"/>
    </row>
    <row r="101" spans="9:47">
      <c r="I101" s="199"/>
      <c r="V101" s="1428"/>
      <c r="X101" s="2266"/>
      <c r="AL101" s="2291" t="s">
        <v>2002</v>
      </c>
    </row>
    <row r="102" spans="9:47">
      <c r="I102" s="199"/>
      <c r="V102" s="1428"/>
      <c r="X102" s="2266"/>
      <c r="AC102" s="2345" t="s">
        <v>1966</v>
      </c>
      <c r="AD102" s="2291"/>
      <c r="AE102" s="2291" t="s">
        <v>110</v>
      </c>
      <c r="AF102" s="2291" t="s">
        <v>2006</v>
      </c>
      <c r="AG102" s="2291" t="s">
        <v>2005</v>
      </c>
      <c r="AH102" s="2291" t="s">
        <v>2004</v>
      </c>
      <c r="AI102" s="2291" t="s">
        <v>2003</v>
      </c>
      <c r="AJ102" s="2291" t="s">
        <v>2002</v>
      </c>
      <c r="AK102" s="2291" t="s">
        <v>2002</v>
      </c>
      <c r="AL102" s="2291" t="s">
        <v>2001</v>
      </c>
      <c r="AM102" s="2291"/>
      <c r="AN102" s="2291"/>
      <c r="AO102" s="2291"/>
      <c r="AP102" s="2291"/>
      <c r="AQ102" s="2291"/>
      <c r="AR102" s="2291"/>
      <c r="AS102" s="2291"/>
      <c r="AT102" s="2291"/>
      <c r="AU102" s="2291"/>
    </row>
    <row r="103" spans="9:47">
      <c r="I103" s="199"/>
      <c r="X103" s="199"/>
      <c r="AC103" s="2345" t="s">
        <v>1963</v>
      </c>
      <c r="AD103" s="2344"/>
      <c r="AE103" s="2344" t="s">
        <v>198</v>
      </c>
      <c r="AF103" s="2344" t="s">
        <v>1958</v>
      </c>
      <c r="AG103" s="2344" t="s">
        <v>1952</v>
      </c>
      <c r="AH103" s="2344" t="s">
        <v>2000</v>
      </c>
      <c r="AI103" s="2344" t="s">
        <v>1999</v>
      </c>
      <c r="AJ103" s="2344" t="s">
        <v>1998</v>
      </c>
      <c r="AK103" s="2344" t="s">
        <v>1997</v>
      </c>
      <c r="AL103" s="2344" t="s">
        <v>1996</v>
      </c>
      <c r="AM103" s="2291"/>
      <c r="AN103" s="2291"/>
      <c r="AO103" s="2291"/>
      <c r="AP103" s="2291"/>
      <c r="AQ103" s="2291"/>
      <c r="AR103" s="2291"/>
      <c r="AS103" s="2291"/>
      <c r="AT103" s="2291"/>
      <c r="AU103" s="2291"/>
    </row>
    <row r="104" spans="9:47">
      <c r="I104" s="199"/>
      <c r="X104" s="199"/>
      <c r="AD104" s="2369" t="s">
        <v>2010</v>
      </c>
      <c r="AE104" s="2334"/>
      <c r="AF104" s="2334"/>
      <c r="AG104" s="2334"/>
      <c r="AH104" s="2334"/>
      <c r="AI104" s="2334"/>
      <c r="AJ104" s="2334"/>
      <c r="AK104" s="2334"/>
      <c r="AL104" s="2334"/>
    </row>
    <row r="105" spans="9:47">
      <c r="V105" s="1428"/>
      <c r="X105" s="2266"/>
      <c r="AD105" s="2318" t="s">
        <v>2050</v>
      </c>
      <c r="AE105" s="2334"/>
      <c r="AF105" s="2334"/>
      <c r="AG105" s="2334"/>
      <c r="AH105" s="2334"/>
      <c r="AI105" s="2334"/>
      <c r="AJ105" s="2334"/>
      <c r="AK105" s="2334"/>
      <c r="AL105" s="2334"/>
    </row>
    <row r="106" spans="9:47">
      <c r="V106" s="1428"/>
      <c r="X106" s="199"/>
      <c r="AD106" s="2322" t="s">
        <v>1994</v>
      </c>
      <c r="AE106" s="2363">
        <f t="shared" ref="AE106:AE113" si="23">SUM(AF106:AL106)</f>
        <v>20351591</v>
      </c>
      <c r="AF106" s="2368">
        <f t="shared" ref="AF106:AL106" si="24">AF25*AF56</f>
        <v>19734407</v>
      </c>
      <c r="AG106" s="2368">
        <f t="shared" si="24"/>
        <v>0</v>
      </c>
      <c r="AH106" s="2368">
        <f t="shared" si="24"/>
        <v>0</v>
      </c>
      <c r="AI106" s="2368">
        <f t="shared" si="24"/>
        <v>0</v>
      </c>
      <c r="AJ106" s="2368">
        <f t="shared" si="24"/>
        <v>294000</v>
      </c>
      <c r="AK106" s="2368">
        <f t="shared" si="24"/>
        <v>7200</v>
      </c>
      <c r="AL106" s="2368">
        <f t="shared" si="24"/>
        <v>315984</v>
      </c>
    </row>
    <row r="107" spans="9:47">
      <c r="V107" s="1428"/>
      <c r="X107" s="2266"/>
      <c r="AD107" s="2322" t="s">
        <v>1993</v>
      </c>
      <c r="AE107" s="2367">
        <f t="shared" si="23"/>
        <v>5479044.5334999999</v>
      </c>
      <c r="AF107" s="2366">
        <f>AF26*AF57</f>
        <v>0</v>
      </c>
      <c r="AG107" s="2366">
        <f>AG26*AG57</f>
        <v>5429385.8200000003</v>
      </c>
      <c r="AH107" s="2366">
        <f>AH26*AH57</f>
        <v>0</v>
      </c>
      <c r="AI107" s="2366">
        <f>AI26*AI57</f>
        <v>0</v>
      </c>
      <c r="AJ107" s="2366">
        <v>49658.713499999998</v>
      </c>
      <c r="AK107" s="2366">
        <f>AK26*AK57</f>
        <v>0</v>
      </c>
      <c r="AL107" s="2366">
        <f>AL26*AL57</f>
        <v>0</v>
      </c>
    </row>
    <row r="108" spans="9:47">
      <c r="V108" s="199"/>
      <c r="X108" s="199"/>
      <c r="AD108" s="2322" t="s">
        <v>1992</v>
      </c>
      <c r="AE108" s="2367">
        <f t="shared" si="23"/>
        <v>42832303.780000001</v>
      </c>
      <c r="AF108" s="2366">
        <f t="shared" ref="AF108:AL112" si="25">ROUND(AF8*AF59/100,2)</f>
        <v>41038677.100000001</v>
      </c>
      <c r="AG108" s="2366">
        <f t="shared" si="25"/>
        <v>0</v>
      </c>
      <c r="AH108" s="2366">
        <f t="shared" si="25"/>
        <v>0</v>
      </c>
      <c r="AI108" s="2366">
        <f t="shared" si="25"/>
        <v>145521.60000000001</v>
      </c>
      <c r="AJ108" s="2366">
        <f t="shared" si="25"/>
        <v>897189.32</v>
      </c>
      <c r="AK108" s="2366">
        <f t="shared" si="25"/>
        <v>654639.89</v>
      </c>
      <c r="AL108" s="2366">
        <f t="shared" si="25"/>
        <v>96275.87</v>
      </c>
    </row>
    <row r="109" spans="9:47">
      <c r="X109" s="199"/>
      <c r="AD109" s="2322" t="s">
        <v>1991</v>
      </c>
      <c r="AE109" s="2367">
        <f t="shared" si="23"/>
        <v>44844644.130000003</v>
      </c>
      <c r="AF109" s="2366">
        <f t="shared" si="25"/>
        <v>36581087.18</v>
      </c>
      <c r="AG109" s="2366">
        <f t="shared" si="25"/>
        <v>7091856.0700000003</v>
      </c>
      <c r="AH109" s="2366">
        <f t="shared" si="25"/>
        <v>0</v>
      </c>
      <c r="AI109" s="2366">
        <f t="shared" si="25"/>
        <v>155968.92000000001</v>
      </c>
      <c r="AJ109" s="2366">
        <f t="shared" si="25"/>
        <v>783345.84</v>
      </c>
      <c r="AK109" s="2366">
        <f t="shared" si="25"/>
        <v>232386.12</v>
      </c>
      <c r="AL109" s="2366">
        <f t="shared" si="25"/>
        <v>0</v>
      </c>
    </row>
    <row r="110" spans="9:47">
      <c r="X110" s="199"/>
      <c r="AD110" s="2322" t="s">
        <v>1990</v>
      </c>
      <c r="AE110" s="2367">
        <f t="shared" si="23"/>
        <v>10764108.32</v>
      </c>
      <c r="AF110" s="2366">
        <f t="shared" si="25"/>
        <v>0</v>
      </c>
      <c r="AG110" s="2366">
        <f t="shared" si="25"/>
        <v>9271967.6999999993</v>
      </c>
      <c r="AH110" s="2366">
        <f t="shared" si="25"/>
        <v>0</v>
      </c>
      <c r="AI110" s="2366">
        <f t="shared" si="25"/>
        <v>156595.57</v>
      </c>
      <c r="AJ110" s="2366">
        <f t="shared" si="25"/>
        <v>1335545.05</v>
      </c>
      <c r="AK110" s="2366">
        <f t="shared" si="25"/>
        <v>0</v>
      </c>
      <c r="AL110" s="2366">
        <f t="shared" si="25"/>
        <v>0</v>
      </c>
    </row>
    <row r="111" spans="9:47">
      <c r="V111" s="1428"/>
      <c r="X111" s="2266"/>
      <c r="AD111" s="2322" t="s">
        <v>1989</v>
      </c>
      <c r="AE111" s="2367">
        <f t="shared" si="23"/>
        <v>1902355.7599999998</v>
      </c>
      <c r="AF111" s="2366">
        <f t="shared" si="25"/>
        <v>0</v>
      </c>
      <c r="AG111" s="2366">
        <f t="shared" si="25"/>
        <v>1326950.8899999999</v>
      </c>
      <c r="AH111" s="2366">
        <f t="shared" si="25"/>
        <v>0</v>
      </c>
      <c r="AI111" s="2366">
        <f t="shared" si="25"/>
        <v>181290.66</v>
      </c>
      <c r="AJ111" s="2366">
        <f t="shared" si="25"/>
        <v>251261.28</v>
      </c>
      <c r="AK111" s="2366">
        <f t="shared" si="25"/>
        <v>142852.93</v>
      </c>
      <c r="AL111" s="2366">
        <f t="shared" si="25"/>
        <v>0</v>
      </c>
    </row>
    <row r="112" spans="9:47">
      <c r="V112" s="1428"/>
      <c r="X112" s="2266"/>
      <c r="AD112" s="2322" t="s">
        <v>1988</v>
      </c>
      <c r="AE112" s="2367">
        <f t="shared" si="23"/>
        <v>1030782.22</v>
      </c>
      <c r="AF112" s="2366">
        <f t="shared" si="25"/>
        <v>0</v>
      </c>
      <c r="AG112" s="2366">
        <f t="shared" si="25"/>
        <v>697877.6</v>
      </c>
      <c r="AH112" s="2366">
        <f t="shared" si="25"/>
        <v>0</v>
      </c>
      <c r="AI112" s="2366">
        <f t="shared" si="25"/>
        <v>0</v>
      </c>
      <c r="AJ112" s="2366">
        <f t="shared" si="25"/>
        <v>122818.17</v>
      </c>
      <c r="AK112" s="2366">
        <f t="shared" si="25"/>
        <v>210086.45</v>
      </c>
      <c r="AL112" s="2366">
        <f t="shared" si="25"/>
        <v>0</v>
      </c>
    </row>
    <row r="113" spans="22:47">
      <c r="X113" s="199"/>
      <c r="AD113" s="2322" t="s">
        <v>1987</v>
      </c>
      <c r="AE113" s="2367">
        <f t="shared" si="23"/>
        <v>0</v>
      </c>
      <c r="AF113" s="2366"/>
      <c r="AG113" s="2366"/>
      <c r="AH113" s="2366"/>
      <c r="AI113" s="2366"/>
      <c r="AJ113" s="2366"/>
      <c r="AK113" s="2366"/>
      <c r="AL113" s="2366">
        <v>0</v>
      </c>
    </row>
    <row r="114" spans="22:47">
      <c r="X114" s="199"/>
      <c r="AC114" s="2318"/>
      <c r="AE114" s="2336"/>
      <c r="AF114" s="2336"/>
      <c r="AG114" s="2336"/>
      <c r="AH114" s="2336"/>
      <c r="AI114" s="2336"/>
      <c r="AJ114" s="2340"/>
      <c r="AK114" s="2336"/>
      <c r="AL114" s="2340"/>
    </row>
    <row r="115" spans="22:47">
      <c r="X115" s="199"/>
      <c r="AD115" s="2318" t="s">
        <v>1985</v>
      </c>
      <c r="AE115" s="2384">
        <f>IF(ROUND(SUM(AF115:AL115),3)&lt;&gt;ROUND(SUM(AE106:AE113),3),#VALUE!,SUM(AF115:AL115))</f>
        <v>127204829.74350001</v>
      </c>
      <c r="AF115" s="2334">
        <f t="shared" ref="AF115:AL115" si="26">SUM(AF106:AF113)</f>
        <v>97354171.280000001</v>
      </c>
      <c r="AG115" s="2334">
        <f t="shared" si="26"/>
        <v>23818038.080000002</v>
      </c>
      <c r="AH115" s="2334">
        <f t="shared" si="26"/>
        <v>0</v>
      </c>
      <c r="AI115" s="2334">
        <f t="shared" si="26"/>
        <v>639376.75</v>
      </c>
      <c r="AJ115" s="2383">
        <f t="shared" si="26"/>
        <v>3733818.3734999993</v>
      </c>
      <c r="AK115" s="2383">
        <f t="shared" si="26"/>
        <v>1247165.3899999999</v>
      </c>
      <c r="AL115" s="2383">
        <f t="shared" si="26"/>
        <v>412259.87</v>
      </c>
    </row>
    <row r="116" spans="22:47">
      <c r="X116" s="2266"/>
      <c r="AC116" s="2318"/>
      <c r="AD116" s="2318" t="s">
        <v>1986</v>
      </c>
      <c r="AE116" s="2364"/>
      <c r="AF116" s="2353"/>
      <c r="AG116" s="2353"/>
      <c r="AH116" s="2353"/>
      <c r="AI116" s="2353"/>
      <c r="AJ116" s="2353"/>
      <c r="AK116" s="2353"/>
      <c r="AL116" s="2353"/>
    </row>
    <row r="117" spans="22:47">
      <c r="X117" s="2266"/>
      <c r="AE117" s="2363"/>
      <c r="AF117" s="2334"/>
      <c r="AG117" s="2334"/>
      <c r="AH117" s="2334"/>
      <c r="AI117" s="2334"/>
      <c r="AJ117" s="2334"/>
      <c r="AK117" s="2334"/>
      <c r="AL117" s="2334"/>
    </row>
    <row r="118" spans="22:47">
      <c r="X118" s="2266"/>
      <c r="AD118" s="2318" t="s">
        <v>1985</v>
      </c>
      <c r="AE118" s="2363">
        <f>SUM(AF118:AL118)</f>
        <v>127204829.74350001</v>
      </c>
      <c r="AF118" s="2334">
        <f t="shared" ref="AF118:AL118" si="27">AF115+AF116</f>
        <v>97354171.280000001</v>
      </c>
      <c r="AG118" s="2334">
        <f t="shared" si="27"/>
        <v>23818038.080000002</v>
      </c>
      <c r="AH118" s="2334">
        <f t="shared" si="27"/>
        <v>0</v>
      </c>
      <c r="AI118" s="2334">
        <f t="shared" si="27"/>
        <v>639376.75</v>
      </c>
      <c r="AJ118" s="2334">
        <f t="shared" si="27"/>
        <v>3733818.3734999993</v>
      </c>
      <c r="AK118" s="2334">
        <f t="shared" si="27"/>
        <v>1247165.3899999999</v>
      </c>
      <c r="AL118" s="2334">
        <f t="shared" si="27"/>
        <v>412259.87</v>
      </c>
    </row>
    <row r="119" spans="22:47">
      <c r="X119" s="2266"/>
      <c r="Y119" s="199"/>
      <c r="AD119" s="2318" t="s">
        <v>1984</v>
      </c>
      <c r="AE119" s="2382">
        <f>SUM(AF119:AL119)</f>
        <v>0</v>
      </c>
      <c r="AF119" s="2335">
        <f>ROUND(AF18*AF65/100,2)</f>
        <v>0</v>
      </c>
      <c r="AG119" s="2335">
        <f>ROUND(AG18*AG65/100,2)</f>
        <v>0</v>
      </c>
      <c r="AH119" s="2335"/>
      <c r="AI119" s="2335">
        <f>ROUND(AI18*AI65/100,2)</f>
        <v>0</v>
      </c>
      <c r="AJ119" s="2335">
        <f>ROUND(AJ18*AJ65/100,2)</f>
        <v>0</v>
      </c>
      <c r="AK119" s="2335">
        <f>ROUND(AK18*AK65/100,2)</f>
        <v>0</v>
      </c>
      <c r="AL119" s="2335">
        <f>ROUND(AL18*AL65/100,2)</f>
        <v>0</v>
      </c>
    </row>
    <row r="120" spans="22:47">
      <c r="X120" s="2266"/>
      <c r="Y120" s="199"/>
      <c r="AE120" s="2365"/>
      <c r="AF120" s="2340"/>
      <c r="AG120" s="2340"/>
      <c r="AH120" s="2340"/>
      <c r="AI120" s="2340"/>
      <c r="AJ120" s="2340"/>
      <c r="AK120" s="2340"/>
      <c r="AL120" s="2340"/>
    </row>
    <row r="121" spans="22:47">
      <c r="X121" s="2266"/>
      <c r="Y121" s="199"/>
      <c r="AD121" s="2332" t="s">
        <v>2051</v>
      </c>
      <c r="AE121" s="2363">
        <f>IF(ROUND(AE118+AE119,3)&lt;&gt;ROUND(SUM(AF121:AL121),3),#VALUE!,SUM(AF121:AL121))</f>
        <v>127204829.74350001</v>
      </c>
      <c r="AF121" s="2334">
        <f t="shared" ref="AF121:AL121" si="28">AF118+AF119</f>
        <v>97354171.280000001</v>
      </c>
      <c r="AG121" s="2334">
        <f t="shared" si="28"/>
        <v>23818038.080000002</v>
      </c>
      <c r="AH121" s="2334">
        <f t="shared" si="28"/>
        <v>0</v>
      </c>
      <c r="AI121" s="2334">
        <f t="shared" si="28"/>
        <v>639376.75</v>
      </c>
      <c r="AJ121" s="2334">
        <f t="shared" si="28"/>
        <v>3733818.3734999993</v>
      </c>
      <c r="AK121" s="2334">
        <f t="shared" si="28"/>
        <v>1247165.3899999999</v>
      </c>
      <c r="AL121" s="2334">
        <f t="shared" si="28"/>
        <v>412259.87</v>
      </c>
    </row>
    <row r="122" spans="22:47">
      <c r="X122" s="2266"/>
      <c r="Y122" s="199"/>
    </row>
    <row r="123" spans="22:47">
      <c r="X123" s="2266"/>
      <c r="Y123" s="199"/>
    </row>
    <row r="124" spans="22:47">
      <c r="X124" s="2266"/>
      <c r="Y124" s="199"/>
      <c r="AD124" s="2332" t="s">
        <v>1983</v>
      </c>
      <c r="AE124" s="2334"/>
      <c r="AF124" s="2334"/>
      <c r="AG124" s="2334"/>
      <c r="AH124" s="2334"/>
      <c r="AI124" s="2334"/>
      <c r="AJ124" s="2334"/>
      <c r="AK124" s="2334"/>
      <c r="AL124" s="2334"/>
    </row>
    <row r="125" spans="22:47">
      <c r="X125" s="2266"/>
      <c r="Y125" s="199"/>
      <c r="AD125" s="2361" t="s">
        <v>1982</v>
      </c>
      <c r="AE125" s="2334"/>
      <c r="AF125" s="2334"/>
      <c r="AG125" s="2334"/>
      <c r="AH125" s="2334"/>
      <c r="AI125" s="2334"/>
      <c r="AJ125" s="2334"/>
      <c r="AK125" s="2334"/>
      <c r="AL125" s="2334"/>
    </row>
    <row r="126" spans="22:47">
      <c r="V126" s="1428"/>
      <c r="X126" s="199"/>
      <c r="Y126" s="199"/>
      <c r="AD126" s="2360" t="s">
        <v>2009</v>
      </c>
      <c r="AE126" s="2378">
        <f>SUM(AF126:AL126)</f>
        <v>-543151</v>
      </c>
      <c r="AF126" s="2381">
        <v>-480676</v>
      </c>
      <c r="AG126" s="2381">
        <v>-62475</v>
      </c>
      <c r="AH126" s="2381"/>
      <c r="AI126" s="2380"/>
      <c r="AJ126" s="2380"/>
      <c r="AK126" s="2275"/>
      <c r="AL126" s="2275"/>
      <c r="AM126" s="2275"/>
      <c r="AN126" s="2275"/>
      <c r="AO126" s="2275"/>
      <c r="AP126" s="2275"/>
      <c r="AQ126" s="2275"/>
      <c r="AR126" s="2275"/>
      <c r="AS126" s="2275"/>
      <c r="AT126" s="2275"/>
      <c r="AU126" s="2275"/>
    </row>
    <row r="127" spans="22:47">
      <c r="V127" s="199"/>
      <c r="X127" s="199"/>
      <c r="Y127" s="199"/>
      <c r="AD127" s="2359" t="s">
        <v>2008</v>
      </c>
      <c r="AE127" s="2363"/>
      <c r="AF127" s="2333">
        <f>AF65</f>
        <v>56.846274924802486</v>
      </c>
      <c r="AG127" s="2333">
        <f>AG65</f>
        <v>27.908527268096844</v>
      </c>
      <c r="AH127" s="2333"/>
      <c r="AI127" s="2333"/>
      <c r="AJ127" s="2333">
        <f>AJ65</f>
        <v>10.530620297010387</v>
      </c>
      <c r="AK127" s="2333"/>
      <c r="AL127" s="2333"/>
      <c r="AM127" s="2333"/>
      <c r="AN127" s="2333"/>
      <c r="AO127" s="2333"/>
      <c r="AP127" s="2333"/>
      <c r="AQ127" s="2333"/>
      <c r="AR127" s="2333"/>
      <c r="AS127" s="2333"/>
      <c r="AT127" s="2333"/>
      <c r="AU127" s="2333"/>
    </row>
    <row r="128" spans="22:47">
      <c r="X128" s="199"/>
      <c r="Y128" s="199"/>
      <c r="AD128" s="2355" t="s">
        <v>2007</v>
      </c>
      <c r="AE128" s="2370">
        <f>SUM(AF128:AL128)</f>
        <v>-290682.25</v>
      </c>
      <c r="AF128" s="2340">
        <f>ROUND(AF126*AF127/100,2)</f>
        <v>-273246.40000000002</v>
      </c>
      <c r="AG128" s="2340">
        <f>ROUND(AG126*AG127/100,2)</f>
        <v>-17435.849999999999</v>
      </c>
      <c r="AH128" s="2340">
        <f>ROUND(AH126*AH127/100,2)</f>
        <v>0</v>
      </c>
      <c r="AI128" s="2340"/>
      <c r="AJ128" s="2340"/>
      <c r="AK128" s="2340"/>
      <c r="AL128" s="2340"/>
      <c r="AM128" s="2334"/>
      <c r="AN128" s="2334"/>
      <c r="AO128" s="2334"/>
      <c r="AP128" s="2334"/>
      <c r="AQ128" s="2334"/>
      <c r="AR128" s="2334"/>
      <c r="AS128" s="2334"/>
      <c r="AT128" s="2334"/>
      <c r="AU128" s="2334"/>
    </row>
    <row r="129" spans="24:47">
      <c r="X129" s="199"/>
      <c r="Y129" s="199"/>
      <c r="AD129" s="2355"/>
      <c r="AE129" s="2370"/>
      <c r="AF129" s="2334"/>
      <c r="AG129" s="2334"/>
      <c r="AH129" s="2334"/>
      <c r="AI129" s="2334"/>
      <c r="AJ129" s="2334"/>
      <c r="AK129" s="2334"/>
      <c r="AL129" s="2334"/>
      <c r="AM129" s="2334"/>
      <c r="AN129" s="2334"/>
      <c r="AO129" s="2334"/>
      <c r="AP129" s="2334"/>
      <c r="AQ129" s="2334"/>
      <c r="AR129" s="2334"/>
      <c r="AS129" s="2334"/>
      <c r="AT129" s="2334"/>
      <c r="AU129" s="2334"/>
    </row>
    <row r="130" spans="24:47">
      <c r="X130" s="199"/>
      <c r="AD130" s="2360" t="s">
        <v>1975</v>
      </c>
      <c r="AE130" s="2378">
        <f>SUM(AF130:AL130)</f>
        <v>0</v>
      </c>
      <c r="AF130" s="2379">
        <v>0</v>
      </c>
      <c r="AG130" s="2379">
        <v>0</v>
      </c>
      <c r="AH130" s="2374"/>
      <c r="AI130" s="2275"/>
      <c r="AJ130" s="2275"/>
      <c r="AK130" s="2275"/>
      <c r="AL130" s="2275"/>
      <c r="AM130" s="2275"/>
      <c r="AN130" s="2275"/>
      <c r="AO130" s="2275"/>
      <c r="AP130" s="2275"/>
      <c r="AQ130" s="2275"/>
      <c r="AR130" s="2275"/>
      <c r="AS130" s="2275"/>
      <c r="AT130" s="2275"/>
      <c r="AU130" s="2275"/>
    </row>
    <row r="131" spans="24:47">
      <c r="AD131" s="2359" t="s">
        <v>1974</v>
      </c>
      <c r="AE131" s="2370"/>
      <c r="AF131" s="2333">
        <f>AF59</f>
        <v>50.668999999999997</v>
      </c>
      <c r="AG131" s="2333">
        <f>AK232</f>
        <v>0</v>
      </c>
      <c r="AH131" s="2333"/>
      <c r="AI131" s="2333"/>
      <c r="AJ131" s="2333"/>
      <c r="AK131" s="2333"/>
      <c r="AL131" s="2333"/>
      <c r="AM131" s="2333"/>
      <c r="AN131" s="2333"/>
      <c r="AO131" s="2333"/>
      <c r="AP131" s="2333"/>
      <c r="AQ131" s="2333"/>
      <c r="AR131" s="2333"/>
      <c r="AS131" s="2333"/>
      <c r="AT131" s="2333"/>
      <c r="AU131" s="2333"/>
    </row>
    <row r="132" spans="24:47">
      <c r="AD132" s="2355" t="s">
        <v>1973</v>
      </c>
      <c r="AE132" s="2370">
        <f>SUM(AF132:AL132)</f>
        <v>0</v>
      </c>
      <c r="AF132" s="2340">
        <f>ROUND(AF130*AF131/100,2)</f>
        <v>0</v>
      </c>
      <c r="AG132" s="2340">
        <f>ROUND(AG130*AG131/100,2)</f>
        <v>0</v>
      </c>
      <c r="AH132" s="2340"/>
      <c r="AI132" s="2340"/>
      <c r="AJ132" s="2340"/>
      <c r="AK132" s="2336"/>
      <c r="AL132" s="2340"/>
      <c r="AM132" s="2334"/>
      <c r="AN132" s="2334"/>
      <c r="AO132" s="2334"/>
      <c r="AP132" s="2334"/>
      <c r="AQ132" s="2334"/>
      <c r="AR132" s="2334"/>
      <c r="AS132" s="2334"/>
      <c r="AT132" s="2334"/>
      <c r="AU132" s="2334"/>
    </row>
    <row r="133" spans="24:47">
      <c r="AD133" s="2355"/>
      <c r="AE133" s="2370"/>
      <c r="AF133" s="2334"/>
      <c r="AG133" s="2334"/>
      <c r="AH133" s="2334"/>
      <c r="AI133" s="2334"/>
      <c r="AJ133" s="2334"/>
      <c r="AL133" s="2334"/>
      <c r="AM133" s="2334"/>
      <c r="AN133" s="2334"/>
      <c r="AO133" s="2334"/>
      <c r="AP133" s="2334"/>
      <c r="AQ133" s="2334"/>
      <c r="AR133" s="2334"/>
      <c r="AS133" s="2334"/>
      <c r="AT133" s="2334"/>
      <c r="AU133" s="2334"/>
    </row>
    <row r="134" spans="24:47">
      <c r="AD134" s="2360" t="s">
        <v>1978</v>
      </c>
      <c r="AE134" s="2378">
        <f>IF(ROUND(SUM(AF134:AL134),3)&lt;&gt;ROUND(AE126+AE130,3),#VALUE!,SUM(AF134:AL134))</f>
        <v>-543151</v>
      </c>
      <c r="AF134" s="2378">
        <f>AF126+AF130</f>
        <v>-480676</v>
      </c>
      <c r="AG134" s="2378">
        <f>AG126+AG130</f>
        <v>-62475</v>
      </c>
      <c r="AH134" s="2335">
        <f>AH126+AH130</f>
        <v>0</v>
      </c>
      <c r="AI134" s="2335"/>
      <c r="AJ134" s="2335"/>
      <c r="AK134" s="2335"/>
      <c r="AL134" s="2335"/>
      <c r="AM134" s="2275"/>
      <c r="AN134" s="2275"/>
      <c r="AO134" s="2275"/>
      <c r="AP134" s="2275"/>
      <c r="AQ134" s="2275"/>
      <c r="AR134" s="2275"/>
      <c r="AS134" s="2275"/>
      <c r="AT134" s="2275"/>
      <c r="AU134" s="2275"/>
    </row>
    <row r="135" spans="24:47">
      <c r="AD135" s="2355" t="s">
        <v>1977</v>
      </c>
      <c r="AE135" s="2370">
        <f>IF(ROUND(SUM(AF135:AL135),3)&lt;&gt;ROUND(AE128+AE132,3),#VALUE!,SUM(AF135:AL135))</f>
        <v>-290682.25</v>
      </c>
      <c r="AF135" s="2334">
        <f>AF128+AF132</f>
        <v>-273246.40000000002</v>
      </c>
      <c r="AG135" s="2334">
        <f>AG128+AG132</f>
        <v>-17435.849999999999</v>
      </c>
      <c r="AH135" s="2334"/>
      <c r="AI135" s="2334"/>
      <c r="AJ135" s="2334"/>
      <c r="AK135" s="2334"/>
      <c r="AL135" s="2334"/>
      <c r="AM135" s="2334"/>
      <c r="AN135" s="2334"/>
      <c r="AO135" s="2334"/>
      <c r="AP135" s="2334"/>
      <c r="AQ135" s="2334"/>
      <c r="AR135" s="2334"/>
      <c r="AS135" s="2334"/>
      <c r="AT135" s="2334"/>
      <c r="AU135" s="2334"/>
    </row>
    <row r="136" spans="24:47">
      <c r="AD136" s="2361" t="s">
        <v>1976</v>
      </c>
      <c r="AE136" s="2370"/>
      <c r="AF136" s="2334"/>
      <c r="AG136" s="2334"/>
      <c r="AH136" s="2334"/>
      <c r="AI136" s="2334"/>
      <c r="AJ136" s="2334"/>
      <c r="AK136" s="2334"/>
      <c r="AL136" s="2334"/>
    </row>
    <row r="137" spans="24:47">
      <c r="AD137" s="2377" t="s">
        <v>1975</v>
      </c>
      <c r="AE137" s="2376">
        <f>SUM(AF137:AL137)</f>
        <v>163373</v>
      </c>
      <c r="AF137" s="2375">
        <v>44136</v>
      </c>
      <c r="AG137" s="2375">
        <v>119237</v>
      </c>
      <c r="AH137" s="2374"/>
      <c r="AI137" s="2373"/>
      <c r="AJ137" s="2335"/>
      <c r="AK137" s="2275"/>
      <c r="AL137" s="2275"/>
      <c r="AM137" s="2275"/>
      <c r="AN137" s="2275"/>
      <c r="AO137" s="2275"/>
      <c r="AP137" s="2275"/>
      <c r="AQ137" s="2275"/>
      <c r="AR137" s="2275"/>
      <c r="AS137" s="2275"/>
      <c r="AT137" s="2275"/>
      <c r="AU137" s="2275"/>
    </row>
    <row r="138" spans="24:47">
      <c r="AD138" s="2359" t="s">
        <v>1974</v>
      </c>
      <c r="AE138" s="2370"/>
      <c r="AF138" s="2372">
        <f>AF60</f>
        <v>65.852999999999994</v>
      </c>
      <c r="AG138" s="2372">
        <f>AG65</f>
        <v>27.908527268096844</v>
      </c>
      <c r="AH138" s="2333"/>
      <c r="AI138" s="2333"/>
      <c r="AJ138" s="2333"/>
      <c r="AK138" s="2333"/>
      <c r="AL138" s="2333"/>
      <c r="AM138" s="2333"/>
      <c r="AN138" s="2333"/>
      <c r="AO138" s="2333"/>
      <c r="AP138" s="2333"/>
      <c r="AQ138" s="2333"/>
      <c r="AR138" s="2333"/>
      <c r="AS138" s="2333"/>
      <c r="AT138" s="2333"/>
      <c r="AU138" s="2333"/>
    </row>
    <row r="139" spans="24:47">
      <c r="AD139" s="2355" t="s">
        <v>1973</v>
      </c>
      <c r="AE139" s="2370">
        <f>SUM(AF139:AL139)</f>
        <v>62342.17</v>
      </c>
      <c r="AF139" s="2340">
        <f>ROUND(AF137*AF138/100,2)</f>
        <v>29064.880000000001</v>
      </c>
      <c r="AG139" s="2340">
        <f>ROUND(AG137*AG138/100,2)</f>
        <v>33277.29</v>
      </c>
      <c r="AH139" s="2340">
        <f>ROUND(AH137*AH138/100,2)</f>
        <v>0</v>
      </c>
      <c r="AI139" s="2340"/>
      <c r="AJ139" s="2340"/>
      <c r="AK139" s="2340"/>
      <c r="AL139" s="2340"/>
      <c r="AM139" s="2334"/>
      <c r="AN139" s="2334"/>
      <c r="AO139" s="2334"/>
      <c r="AP139" s="2334"/>
      <c r="AQ139" s="2334"/>
      <c r="AR139" s="2334"/>
      <c r="AS139" s="2334"/>
      <c r="AT139" s="2334"/>
      <c r="AU139" s="2334"/>
    </row>
    <row r="140" spans="24:47">
      <c r="AD140" s="2355" t="s">
        <v>1972</v>
      </c>
      <c r="AE140" s="2371"/>
      <c r="AF140" s="2352"/>
      <c r="AG140" s="2352"/>
      <c r="AH140" s="2352"/>
      <c r="AI140" s="2352"/>
      <c r="AJ140" s="2352"/>
      <c r="AK140" s="2352"/>
      <c r="AL140" s="2352"/>
      <c r="AM140" s="2334"/>
      <c r="AN140" s="2334"/>
      <c r="AO140" s="2334"/>
      <c r="AP140" s="2334"/>
      <c r="AQ140" s="2334"/>
      <c r="AR140" s="2334"/>
      <c r="AS140" s="2334"/>
      <c r="AT140" s="2334"/>
      <c r="AU140" s="2334"/>
    </row>
    <row r="141" spans="24:47">
      <c r="AE141" s="2370"/>
      <c r="AF141" s="2334"/>
      <c r="AG141" s="2334"/>
      <c r="AH141" s="2334"/>
      <c r="AI141" s="2334"/>
      <c r="AJ141" s="2334"/>
      <c r="AK141" s="2334"/>
      <c r="AL141" s="2334"/>
    </row>
    <row r="142" spans="24:47">
      <c r="AD142" s="2318" t="s">
        <v>1971</v>
      </c>
      <c r="AE142" s="2370">
        <f>IF(ROUND(SUM(AF142:AL142),3)&lt;&gt;ROUND(AE135+AE139+AE140,3),#VALUE!,SUM(AF142:AL142))</f>
        <v>-228340.08000000002</v>
      </c>
      <c r="AF142" s="2334">
        <f>AF135+AF139+AF140</f>
        <v>-244181.52000000002</v>
      </c>
      <c r="AG142" s="2334">
        <f>AG135+AG139+AG140</f>
        <v>15841.440000000002</v>
      </c>
      <c r="AH142" s="2334"/>
      <c r="AI142" s="2334">
        <f>AI135+AI139+AI140</f>
        <v>0</v>
      </c>
      <c r="AJ142" s="2334">
        <f>AJ135+AJ139+AJ140</f>
        <v>0</v>
      </c>
      <c r="AK142" s="2334">
        <f>AK135+AK139+AK140</f>
        <v>0</v>
      </c>
      <c r="AL142" s="2334">
        <f>AL135+AL139+AL140</f>
        <v>0</v>
      </c>
    </row>
    <row r="143" spans="24:47">
      <c r="AD143" s="2318" t="s">
        <v>2051</v>
      </c>
      <c r="AE143" s="2364">
        <f>SUM(AF143:AL143)</f>
        <v>127204829.74350001</v>
      </c>
      <c r="AF143" s="2353">
        <f>AF121</f>
        <v>97354171.280000001</v>
      </c>
      <c r="AG143" s="2353">
        <f>AG121</f>
        <v>23818038.080000002</v>
      </c>
      <c r="AH143" s="2353"/>
      <c r="AI143" s="2353">
        <f>AI121</f>
        <v>639376.75</v>
      </c>
      <c r="AJ143" s="2353">
        <f>AJ121</f>
        <v>3733818.3734999993</v>
      </c>
      <c r="AK143" s="2353">
        <f>AK121</f>
        <v>1247165.3899999999</v>
      </c>
      <c r="AL143" s="2353">
        <f>AL121</f>
        <v>412259.87</v>
      </c>
    </row>
    <row r="144" spans="24:47">
      <c r="AE144" s="2363"/>
      <c r="AF144" s="2334"/>
      <c r="AG144" s="2334"/>
      <c r="AH144" s="2334"/>
      <c r="AI144" s="2334"/>
      <c r="AJ144" s="2334"/>
      <c r="AK144" s="2334"/>
      <c r="AL144" s="2334"/>
    </row>
    <row r="145" spans="29:47">
      <c r="AD145" s="2318" t="s">
        <v>1969</v>
      </c>
      <c r="AE145" s="2363">
        <f>IF(ROUND(SUM(AF145:AL145),3)&lt;&gt;ROUND(AE142+AE143,3),#VALUE!,SUM(AF145:AL145))</f>
        <v>126976489.66350001</v>
      </c>
      <c r="AF145" s="2334">
        <f>AF142+AF143</f>
        <v>97109989.760000005</v>
      </c>
      <c r="AG145" s="2334">
        <f>AG142+AG143</f>
        <v>23833879.520000003</v>
      </c>
      <c r="AH145" s="2334"/>
      <c r="AI145" s="2334">
        <f>AI142+AI143</f>
        <v>639376.75</v>
      </c>
      <c r="AJ145" s="2334">
        <f>AJ142+AJ143</f>
        <v>3733818.3734999993</v>
      </c>
      <c r="AK145" s="2334">
        <f>AK142+AK143</f>
        <v>1247165.3899999999</v>
      </c>
      <c r="AL145" s="2334">
        <f>AL142+AL143</f>
        <v>412259.87</v>
      </c>
    </row>
    <row r="146" spans="29:47">
      <c r="AE146" s="2363"/>
      <c r="AF146" s="2334"/>
      <c r="AG146" s="2334"/>
      <c r="AH146" s="2334"/>
      <c r="AI146" s="2334"/>
      <c r="AJ146" s="2334"/>
      <c r="AK146" s="2334"/>
      <c r="AL146" s="2334"/>
    </row>
    <row r="147" spans="29:47">
      <c r="AE147" s="2363"/>
      <c r="AF147" s="2334"/>
      <c r="AG147" s="2334"/>
      <c r="AH147" s="2334"/>
      <c r="AI147" s="2334"/>
      <c r="AJ147" s="2334"/>
      <c r="AK147" s="2334"/>
      <c r="AL147" s="2334"/>
    </row>
    <row r="148" spans="29:47">
      <c r="AD148" s="2291"/>
      <c r="AE148" s="2334"/>
      <c r="AF148" s="2334"/>
      <c r="AG148" s="2334"/>
      <c r="AH148" s="2334"/>
      <c r="AI148" s="2334"/>
      <c r="AJ148" s="2334"/>
      <c r="AK148" s="2334"/>
      <c r="AL148" s="2334"/>
      <c r="AM148" s="2291"/>
      <c r="AN148" s="2291"/>
      <c r="AO148" s="2291"/>
      <c r="AP148" s="2291"/>
      <c r="AQ148" s="2291"/>
      <c r="AR148" s="2291"/>
      <c r="AS148" s="2291"/>
      <c r="AT148" s="2291"/>
      <c r="AU148" s="2291"/>
    </row>
    <row r="149" spans="29:47">
      <c r="AD149" s="2291"/>
      <c r="AE149" s="2334"/>
      <c r="AF149" s="2334"/>
      <c r="AG149" s="2334"/>
      <c r="AH149" s="2334"/>
      <c r="AI149" s="2334"/>
      <c r="AJ149" s="2334"/>
      <c r="AK149" s="2334"/>
      <c r="AL149" s="2291"/>
      <c r="AM149" s="2291"/>
      <c r="AN149" s="2291"/>
      <c r="AO149" s="2291"/>
      <c r="AP149" s="2291"/>
      <c r="AQ149" s="2291"/>
      <c r="AR149" s="2291"/>
      <c r="AS149" s="2291"/>
      <c r="AT149" s="2291"/>
      <c r="AU149" s="2291"/>
    </row>
    <row r="150" spans="29:47">
      <c r="AD150" s="2291"/>
      <c r="AE150" s="2334"/>
      <c r="AF150" s="2334"/>
      <c r="AG150" s="2334"/>
      <c r="AH150" s="2334"/>
      <c r="AI150" s="2334"/>
      <c r="AJ150" s="2334"/>
      <c r="AK150" s="2334"/>
      <c r="AL150" s="2291" t="s">
        <v>2002</v>
      </c>
      <c r="AM150" s="2291"/>
      <c r="AN150" s="2291"/>
      <c r="AO150" s="2291"/>
      <c r="AP150" s="2291"/>
      <c r="AQ150" s="2291"/>
      <c r="AR150" s="2291"/>
      <c r="AS150" s="2291"/>
      <c r="AT150" s="2291"/>
      <c r="AU150" s="2291"/>
    </row>
    <row r="151" spans="29:47">
      <c r="AC151" s="2345" t="s">
        <v>1966</v>
      </c>
      <c r="AD151" s="2291"/>
      <c r="AE151" s="2291" t="s">
        <v>110</v>
      </c>
      <c r="AF151" s="2291" t="s">
        <v>2006</v>
      </c>
      <c r="AG151" s="2291" t="s">
        <v>2005</v>
      </c>
      <c r="AH151" s="2291" t="s">
        <v>2004</v>
      </c>
      <c r="AI151" s="2291" t="s">
        <v>2003</v>
      </c>
      <c r="AJ151" s="2291" t="s">
        <v>2002</v>
      </c>
      <c r="AK151" s="2291" t="s">
        <v>2002</v>
      </c>
      <c r="AL151" s="2291" t="s">
        <v>2001</v>
      </c>
      <c r="AM151" s="2291"/>
      <c r="AN151" s="2291"/>
      <c r="AO151" s="2291"/>
      <c r="AP151" s="2291"/>
      <c r="AQ151" s="2291"/>
      <c r="AR151" s="2291"/>
      <c r="AS151" s="2291"/>
      <c r="AT151" s="2291"/>
      <c r="AU151" s="2291"/>
    </row>
    <row r="152" spans="29:47">
      <c r="AC152" s="2345" t="s">
        <v>1963</v>
      </c>
      <c r="AD152" s="2344"/>
      <c r="AE152" s="2344" t="s">
        <v>198</v>
      </c>
      <c r="AF152" s="2344" t="s">
        <v>1958</v>
      </c>
      <c r="AG152" s="2344" t="s">
        <v>1952</v>
      </c>
      <c r="AH152" s="2344" t="s">
        <v>2000</v>
      </c>
      <c r="AI152" s="2344" t="s">
        <v>1999</v>
      </c>
      <c r="AJ152" s="2344" t="s">
        <v>1998</v>
      </c>
      <c r="AK152" s="2344" t="s">
        <v>1997</v>
      </c>
      <c r="AL152" s="2344" t="s">
        <v>1996</v>
      </c>
      <c r="AM152" s="2291"/>
      <c r="AN152" s="2291"/>
      <c r="AO152" s="2291"/>
      <c r="AP152" s="2291"/>
      <c r="AQ152" s="2291"/>
      <c r="AR152" s="2291"/>
      <c r="AS152" s="2291"/>
      <c r="AT152" s="2291"/>
      <c r="AU152" s="2291"/>
    </row>
    <row r="153" spans="29:47">
      <c r="AD153" s="2369" t="s">
        <v>1995</v>
      </c>
      <c r="AE153" s="2334"/>
      <c r="AF153" s="2334"/>
      <c r="AG153" s="2334"/>
      <c r="AH153" s="2334"/>
      <c r="AI153" s="2334"/>
      <c r="AJ153" s="2334"/>
      <c r="AK153" s="2334"/>
      <c r="AL153" s="2334"/>
    </row>
    <row r="154" spans="29:47">
      <c r="AD154" s="2318" t="s">
        <v>2050</v>
      </c>
      <c r="AE154" s="2334"/>
      <c r="AF154" s="2334"/>
      <c r="AG154" s="2334"/>
      <c r="AH154" s="2334"/>
      <c r="AI154" s="2334"/>
      <c r="AJ154" s="2334"/>
      <c r="AK154" s="2334"/>
      <c r="AL154" s="2334"/>
    </row>
    <row r="155" spans="29:47">
      <c r="AD155" s="2322" t="s">
        <v>1994</v>
      </c>
      <c r="AE155" s="2363">
        <f t="shared" ref="AE155:AE162" si="29">SUM(AF155:AL155)</f>
        <v>20351591</v>
      </c>
      <c r="AF155" s="2368">
        <f t="shared" ref="AF155:AL155" si="30">AF48*AF74</f>
        <v>19734407</v>
      </c>
      <c r="AG155" s="2368">
        <f t="shared" si="30"/>
        <v>0</v>
      </c>
      <c r="AH155" s="2368">
        <f t="shared" si="30"/>
        <v>0</v>
      </c>
      <c r="AI155" s="2368">
        <f t="shared" si="30"/>
        <v>0</v>
      </c>
      <c r="AJ155" s="2368">
        <f t="shared" si="30"/>
        <v>294000</v>
      </c>
      <c r="AK155" s="2368">
        <f t="shared" si="30"/>
        <v>7200</v>
      </c>
      <c r="AL155" s="2368">
        <f t="shared" si="30"/>
        <v>315984</v>
      </c>
    </row>
    <row r="156" spans="29:47">
      <c r="AD156" s="2322" t="s">
        <v>1993</v>
      </c>
      <c r="AE156" s="2367">
        <f t="shared" si="29"/>
        <v>5479044.5334999999</v>
      </c>
      <c r="AF156" s="2366">
        <f>AF49*AF75</f>
        <v>0</v>
      </c>
      <c r="AG156" s="2366">
        <f>AG49*AG75</f>
        <v>5429385.8200000003</v>
      </c>
      <c r="AH156" s="2366">
        <f>AH49*AH75</f>
        <v>0</v>
      </c>
      <c r="AI156" s="2366">
        <f>AI49*AI75</f>
        <v>0</v>
      </c>
      <c r="AJ156" s="2366">
        <v>49658.713499999998</v>
      </c>
      <c r="AK156" s="2366">
        <f>AK49*AK75</f>
        <v>0</v>
      </c>
      <c r="AL156" s="2366">
        <f>AL49*AL75</f>
        <v>0</v>
      </c>
    </row>
    <row r="157" spans="29:47">
      <c r="AD157" s="2322" t="s">
        <v>1992</v>
      </c>
      <c r="AE157" s="2367">
        <f t="shared" si="29"/>
        <v>42832303.780000001</v>
      </c>
      <c r="AF157" s="2366">
        <f t="shared" ref="AF157:AG161" si="31">ROUND(AF31*AF77/100,2)</f>
        <v>41038677.100000001</v>
      </c>
      <c r="AG157" s="2366">
        <f t="shared" si="31"/>
        <v>0</v>
      </c>
      <c r="AH157" s="2366"/>
      <c r="AI157" s="2366">
        <f t="shared" ref="AI157:AL161" si="32">ROUND(AI31*AI77/100,2)</f>
        <v>145521.60000000001</v>
      </c>
      <c r="AJ157" s="2366">
        <f t="shared" si="32"/>
        <v>897189.32</v>
      </c>
      <c r="AK157" s="2366">
        <f t="shared" si="32"/>
        <v>654639.89</v>
      </c>
      <c r="AL157" s="2366">
        <f t="shared" si="32"/>
        <v>96275.87</v>
      </c>
    </row>
    <row r="158" spans="29:47">
      <c r="AD158" s="2322" t="s">
        <v>1991</v>
      </c>
      <c r="AE158" s="2367">
        <f t="shared" si="29"/>
        <v>44844644.130000003</v>
      </c>
      <c r="AF158" s="2366">
        <f t="shared" si="31"/>
        <v>36581087.18</v>
      </c>
      <c r="AG158" s="2366">
        <f t="shared" si="31"/>
        <v>7091856.0700000003</v>
      </c>
      <c r="AH158" s="2366"/>
      <c r="AI158" s="2366">
        <f t="shared" si="32"/>
        <v>155968.92000000001</v>
      </c>
      <c r="AJ158" s="2366">
        <f t="shared" si="32"/>
        <v>783345.84</v>
      </c>
      <c r="AK158" s="2366">
        <f t="shared" si="32"/>
        <v>232386.12</v>
      </c>
      <c r="AL158" s="2366">
        <f t="shared" si="32"/>
        <v>0</v>
      </c>
    </row>
    <row r="159" spans="29:47">
      <c r="AD159" s="2322" t="s">
        <v>1990</v>
      </c>
      <c r="AE159" s="2367">
        <f t="shared" si="29"/>
        <v>10764108.32</v>
      </c>
      <c r="AF159" s="2366">
        <f t="shared" si="31"/>
        <v>0</v>
      </c>
      <c r="AG159" s="2366">
        <f t="shared" si="31"/>
        <v>9271967.6999999993</v>
      </c>
      <c r="AH159" s="2366">
        <f>ROUND(AH33*AH79/100,2)</f>
        <v>0</v>
      </c>
      <c r="AI159" s="2366">
        <f t="shared" si="32"/>
        <v>156595.57</v>
      </c>
      <c r="AJ159" s="2366">
        <f t="shared" si="32"/>
        <v>1335545.05</v>
      </c>
      <c r="AK159" s="2366">
        <f t="shared" si="32"/>
        <v>0</v>
      </c>
      <c r="AL159" s="2366">
        <f t="shared" si="32"/>
        <v>0</v>
      </c>
    </row>
    <row r="160" spans="29:47">
      <c r="AD160" s="2322" t="s">
        <v>1989</v>
      </c>
      <c r="AE160" s="2367">
        <f t="shared" si="29"/>
        <v>1902355.7599999998</v>
      </c>
      <c r="AF160" s="2366">
        <f t="shared" si="31"/>
        <v>0</v>
      </c>
      <c r="AG160" s="2366">
        <f t="shared" si="31"/>
        <v>1326950.8899999999</v>
      </c>
      <c r="AH160" s="2366">
        <f>ROUND(AH34*AH80/100,2)</f>
        <v>0</v>
      </c>
      <c r="AI160" s="2366">
        <f t="shared" si="32"/>
        <v>181290.66</v>
      </c>
      <c r="AJ160" s="2366">
        <f t="shared" si="32"/>
        <v>251261.28</v>
      </c>
      <c r="AK160" s="2366">
        <f t="shared" si="32"/>
        <v>142852.93</v>
      </c>
      <c r="AL160" s="2366">
        <f t="shared" si="32"/>
        <v>0</v>
      </c>
    </row>
    <row r="161" spans="29:47">
      <c r="AD161" s="2322" t="s">
        <v>1988</v>
      </c>
      <c r="AE161" s="2367">
        <f t="shared" si="29"/>
        <v>1030782.22</v>
      </c>
      <c r="AF161" s="2366">
        <f t="shared" si="31"/>
        <v>0</v>
      </c>
      <c r="AG161" s="2366">
        <f t="shared" si="31"/>
        <v>697877.6</v>
      </c>
      <c r="AH161" s="2366">
        <f>ROUND(AH35*AH81/100,2)</f>
        <v>0</v>
      </c>
      <c r="AI161" s="2366">
        <f t="shared" si="32"/>
        <v>0</v>
      </c>
      <c r="AJ161" s="2366">
        <f t="shared" si="32"/>
        <v>122818.17</v>
      </c>
      <c r="AK161" s="2366">
        <f t="shared" si="32"/>
        <v>210086.45</v>
      </c>
      <c r="AL161" s="2366">
        <f t="shared" si="32"/>
        <v>0</v>
      </c>
    </row>
    <row r="162" spans="29:47">
      <c r="AD162" s="2322" t="s">
        <v>1987</v>
      </c>
      <c r="AE162" s="2367">
        <f t="shared" si="29"/>
        <v>0</v>
      </c>
      <c r="AF162" s="2366"/>
      <c r="AG162" s="2366"/>
      <c r="AH162" s="2366"/>
      <c r="AI162" s="2366"/>
      <c r="AJ162" s="2366"/>
      <c r="AK162" s="2366"/>
      <c r="AL162" s="2366">
        <v>0</v>
      </c>
    </row>
    <row r="163" spans="29:47">
      <c r="AC163" s="2318"/>
      <c r="AE163" s="2365"/>
      <c r="AF163" s="2336"/>
      <c r="AG163" s="2336"/>
      <c r="AH163" s="2336"/>
      <c r="AI163" s="2336"/>
      <c r="AJ163" s="2336"/>
      <c r="AK163" s="2336"/>
      <c r="AL163" s="2336"/>
    </row>
    <row r="164" spans="29:47">
      <c r="AD164" s="2318" t="s">
        <v>1985</v>
      </c>
      <c r="AE164" s="2363">
        <f>IF(ROUND(SUM(AF164:AL164),3)&lt;&gt;ROUND(SUM(AE155:AE162),3),#VALUE!,SUM(AF164:AL164))</f>
        <v>127204829.74350001</v>
      </c>
      <c r="AF164" s="2334">
        <f t="shared" ref="AF164:AL164" si="33">SUM(AF155:AF163)</f>
        <v>97354171.280000001</v>
      </c>
      <c r="AG164" s="2334">
        <f t="shared" si="33"/>
        <v>23818038.080000002</v>
      </c>
      <c r="AH164" s="2334">
        <f t="shared" si="33"/>
        <v>0</v>
      </c>
      <c r="AI164" s="2334">
        <f t="shared" si="33"/>
        <v>639376.75</v>
      </c>
      <c r="AJ164" s="2334">
        <f t="shared" si="33"/>
        <v>3733818.3734999993</v>
      </c>
      <c r="AK164" s="2334">
        <f t="shared" si="33"/>
        <v>1247165.3899999999</v>
      </c>
      <c r="AL164" s="2334">
        <f t="shared" si="33"/>
        <v>412259.87</v>
      </c>
    </row>
    <row r="165" spans="29:47">
      <c r="AC165" s="2318"/>
      <c r="AD165" s="2318" t="s">
        <v>1986</v>
      </c>
      <c r="AE165" s="2364"/>
      <c r="AF165" s="2353"/>
      <c r="AG165" s="2353"/>
      <c r="AH165" s="2353"/>
      <c r="AI165" s="2353"/>
      <c r="AJ165" s="2353"/>
      <c r="AK165" s="2353"/>
      <c r="AL165" s="2353"/>
    </row>
    <row r="166" spans="29:47">
      <c r="AE166" s="2363"/>
      <c r="AF166" s="2334"/>
      <c r="AG166" s="2334"/>
      <c r="AH166" s="2334"/>
      <c r="AI166" s="2334"/>
      <c r="AJ166" s="2334"/>
      <c r="AK166" s="2334"/>
      <c r="AL166" s="2334"/>
    </row>
    <row r="167" spans="29:47">
      <c r="AD167" s="2318" t="s">
        <v>1985</v>
      </c>
      <c r="AE167" s="2363">
        <f>SUM(AF167:AL167)</f>
        <v>127204829.74350001</v>
      </c>
      <c r="AF167" s="2334">
        <f t="shared" ref="AF167:AL167" si="34">AF164+AF165</f>
        <v>97354171.280000001</v>
      </c>
      <c r="AG167" s="2334">
        <f t="shared" si="34"/>
        <v>23818038.080000002</v>
      </c>
      <c r="AH167" s="2334">
        <f t="shared" si="34"/>
        <v>0</v>
      </c>
      <c r="AI167" s="2334">
        <f t="shared" si="34"/>
        <v>639376.75</v>
      </c>
      <c r="AJ167" s="2334">
        <f t="shared" si="34"/>
        <v>3733818.3734999993</v>
      </c>
      <c r="AK167" s="2334">
        <f t="shared" si="34"/>
        <v>1247165.3899999999</v>
      </c>
      <c r="AL167" s="2334">
        <f t="shared" si="34"/>
        <v>412259.87</v>
      </c>
    </row>
    <row r="168" spans="29:47">
      <c r="AD168" s="2318" t="s">
        <v>1984</v>
      </c>
      <c r="AE168" s="2364">
        <f>SUM(AF168:AL168)</f>
        <v>0</v>
      </c>
      <c r="AF168" s="2353">
        <f>ROUND(AF41*AF83/100,2)</f>
        <v>0</v>
      </c>
      <c r="AG168" s="2353">
        <f>ROUND(AG41*AG83/100,2)</f>
        <v>0</v>
      </c>
      <c r="AH168" s="2353"/>
      <c r="AI168" s="2353">
        <f>ROUND(AI41*AI83/100,2)</f>
        <v>0</v>
      </c>
      <c r="AJ168" s="2353">
        <f>ROUND(AJ41*AJ83/100,2)</f>
        <v>0</v>
      </c>
      <c r="AK168" s="2353">
        <f>ROUND(AK41*AK83/100,2)</f>
        <v>0</v>
      </c>
      <c r="AL168" s="2353">
        <f>ROUND(AL41*AL83/100,2)</f>
        <v>0</v>
      </c>
    </row>
    <row r="169" spans="29:47">
      <c r="AE169" s="2363"/>
      <c r="AF169" s="2334"/>
      <c r="AG169" s="2334"/>
      <c r="AH169" s="2334"/>
      <c r="AI169" s="2334"/>
      <c r="AJ169" s="2334"/>
      <c r="AK169" s="2334"/>
      <c r="AL169" s="2334"/>
    </row>
    <row r="170" spans="29:47">
      <c r="AD170" s="2318" t="s">
        <v>2051</v>
      </c>
      <c r="AE170" s="2363">
        <f>IF(ROUND(SUM(AF170:AL170),3)&lt;&gt;ROUND(AE167+AE168,3),#VALUE!,SUM(AF170:AL170))</f>
        <v>127204829.74350001</v>
      </c>
      <c r="AF170" s="2334">
        <f t="shared" ref="AF170:AL170" si="35">AF167+AF168</f>
        <v>97354171.280000001</v>
      </c>
      <c r="AG170" s="2334">
        <f t="shared" si="35"/>
        <v>23818038.080000002</v>
      </c>
      <c r="AH170" s="2334">
        <f t="shared" si="35"/>
        <v>0</v>
      </c>
      <c r="AI170" s="2334">
        <f t="shared" si="35"/>
        <v>639376.75</v>
      </c>
      <c r="AJ170" s="2334">
        <f t="shared" si="35"/>
        <v>3733818.3734999993</v>
      </c>
      <c r="AK170" s="2334">
        <f t="shared" si="35"/>
        <v>1247165.3899999999</v>
      </c>
      <c r="AL170" s="2334">
        <f t="shared" si="35"/>
        <v>412259.87</v>
      </c>
    </row>
    <row r="171" spans="29:47">
      <c r="AE171" s="2363"/>
      <c r="AF171" s="2334"/>
      <c r="AG171" s="2334"/>
      <c r="AH171" s="2334"/>
      <c r="AI171" s="2334"/>
      <c r="AJ171" s="2334"/>
      <c r="AK171" s="2334"/>
      <c r="AL171" s="2334"/>
    </row>
    <row r="172" spans="29:47">
      <c r="AD172" s="2332" t="s">
        <v>1983</v>
      </c>
      <c r="AE172" s="2334"/>
      <c r="AF172" s="2334"/>
      <c r="AG172" s="2334"/>
      <c r="AH172" s="2334"/>
      <c r="AI172" s="2334"/>
      <c r="AJ172" s="2334"/>
      <c r="AK172" s="2334"/>
      <c r="AL172" s="2334"/>
    </row>
    <row r="173" spans="29:47">
      <c r="AD173" s="2361" t="s">
        <v>1982</v>
      </c>
      <c r="AE173" s="2335"/>
      <c r="AF173" s="2335"/>
      <c r="AG173" s="2335"/>
      <c r="AH173" s="2335"/>
      <c r="AI173" s="2334"/>
      <c r="AJ173" s="2334"/>
      <c r="AK173" s="2334"/>
      <c r="AL173" s="2334"/>
    </row>
    <row r="174" spans="29:47">
      <c r="AC174" s="2275"/>
      <c r="AD174" s="2360" t="s">
        <v>1981</v>
      </c>
      <c r="AE174" s="2335">
        <f>SUM(AF174:AL174)</f>
        <v>-543151</v>
      </c>
      <c r="AF174" s="2335">
        <f>AF126</f>
        <v>-480676</v>
      </c>
      <c r="AG174" s="2335">
        <f>AG126+AH126</f>
        <v>-62475</v>
      </c>
      <c r="AH174" s="2335">
        <v>0</v>
      </c>
      <c r="AI174" s="2275"/>
      <c r="AJ174" s="2275"/>
      <c r="AL174" s="2275"/>
      <c r="AM174" s="2275"/>
      <c r="AN174" s="2275"/>
      <c r="AO174" s="2275"/>
      <c r="AP174" s="2275"/>
      <c r="AQ174" s="2275"/>
      <c r="AR174" s="2275"/>
      <c r="AS174" s="2275"/>
      <c r="AT174" s="2275"/>
      <c r="AU174" s="2275"/>
    </row>
    <row r="175" spans="29:47">
      <c r="AD175" s="2359" t="s">
        <v>1980</v>
      </c>
      <c r="AE175" s="2333"/>
      <c r="AF175" s="2356">
        <f>AF83</f>
        <v>56.846274924802486</v>
      </c>
      <c r="AG175" s="2356">
        <f>AG83</f>
        <v>27.908527268096844</v>
      </c>
      <c r="AH175" s="2356"/>
      <c r="AI175" s="2356"/>
      <c r="AJ175" s="2356">
        <f>AJ83</f>
        <v>10.530620297010387</v>
      </c>
      <c r="AK175" s="2357"/>
      <c r="AL175" s="2362"/>
      <c r="AM175" s="2333"/>
      <c r="AN175" s="2333"/>
      <c r="AO175" s="2333"/>
      <c r="AP175" s="2333"/>
      <c r="AQ175" s="2333"/>
      <c r="AR175" s="2333"/>
      <c r="AS175" s="2333"/>
      <c r="AT175" s="2333"/>
      <c r="AU175" s="2333"/>
    </row>
    <row r="176" spans="29:47">
      <c r="AD176" s="2355" t="s">
        <v>1979</v>
      </c>
      <c r="AE176" s="2334">
        <f>SUM(AF176:AL176)</f>
        <v>-290682.25</v>
      </c>
      <c r="AF176" s="2334">
        <f>ROUND(AF174*AF175/100,2)</f>
        <v>-273246.40000000002</v>
      </c>
      <c r="AG176" s="2334">
        <f>ROUND(AG174*AG175/100,2)</f>
        <v>-17435.849999999999</v>
      </c>
      <c r="AH176" s="2334">
        <f>ROUND(AH174*AH175/100,2)</f>
        <v>0</v>
      </c>
      <c r="AI176" s="2334"/>
      <c r="AJ176" s="2334"/>
      <c r="AL176" s="2334"/>
      <c r="AM176" s="2334"/>
      <c r="AN176" s="2334"/>
      <c r="AO176" s="2334"/>
      <c r="AP176" s="2334"/>
      <c r="AQ176" s="2334"/>
      <c r="AR176" s="2334"/>
      <c r="AS176" s="2334"/>
      <c r="AT176" s="2334"/>
      <c r="AU176" s="2334"/>
    </row>
    <row r="177" spans="30:47">
      <c r="AD177" s="2355"/>
      <c r="AE177" s="2334"/>
      <c r="AF177" s="2334"/>
      <c r="AG177" s="2334"/>
      <c r="AH177" s="2334"/>
      <c r="AI177" s="2334"/>
      <c r="AJ177" s="2334"/>
      <c r="AL177" s="2334"/>
      <c r="AM177" s="2334"/>
      <c r="AN177" s="2334"/>
      <c r="AO177" s="2334"/>
      <c r="AP177" s="2334"/>
      <c r="AQ177" s="2334"/>
      <c r="AR177" s="2334"/>
      <c r="AS177" s="2334"/>
      <c r="AT177" s="2334"/>
      <c r="AU177" s="2334"/>
    </row>
    <row r="178" spans="30:47">
      <c r="AD178" s="2360" t="s">
        <v>1975</v>
      </c>
      <c r="AE178" s="2335">
        <f>SUM(AF178:AL178)</f>
        <v>0</v>
      </c>
      <c r="AF178" s="2335">
        <f>AF130</f>
        <v>0</v>
      </c>
      <c r="AG178" s="2335">
        <f>AG130</f>
        <v>0</v>
      </c>
      <c r="AH178" s="2335">
        <f>AH130</f>
        <v>0</v>
      </c>
      <c r="AI178" s="2275"/>
      <c r="AJ178" s="2275"/>
      <c r="AL178" s="2275"/>
      <c r="AM178" s="2275"/>
      <c r="AN178" s="2275"/>
      <c r="AO178" s="2275"/>
      <c r="AP178" s="2275"/>
      <c r="AQ178" s="2275"/>
      <c r="AR178" s="2275"/>
      <c r="AS178" s="2275"/>
      <c r="AT178" s="2275"/>
      <c r="AU178" s="2275"/>
    </row>
    <row r="179" spans="30:47">
      <c r="AD179" s="2359" t="s">
        <v>1974</v>
      </c>
      <c r="AE179" s="2333"/>
      <c r="AF179" s="2356">
        <f>AF77</f>
        <v>50.668999999999997</v>
      </c>
      <c r="AG179" s="2356">
        <f>AK244</f>
        <v>0</v>
      </c>
      <c r="AH179" s="2356">
        <f>AH83</f>
        <v>0</v>
      </c>
      <c r="AI179" s="2356"/>
      <c r="AJ179" s="2356"/>
      <c r="AK179" s="2357"/>
      <c r="AL179" s="2356"/>
      <c r="AM179" s="2333"/>
      <c r="AN179" s="2333"/>
      <c r="AO179" s="2333"/>
      <c r="AP179" s="2333"/>
      <c r="AQ179" s="2333"/>
      <c r="AR179" s="2333"/>
      <c r="AS179" s="2333"/>
      <c r="AT179" s="2333"/>
      <c r="AU179" s="2333"/>
    </row>
    <row r="180" spans="30:47">
      <c r="AD180" s="2355" t="s">
        <v>1973</v>
      </c>
      <c r="AE180" s="2334">
        <f>SUM(AF180:AL180)</f>
        <v>0</v>
      </c>
      <c r="AF180" s="2334">
        <f>ROUND(AF178*AF179/100,2)</f>
        <v>0</v>
      </c>
      <c r="AG180" s="2334">
        <f>ROUND(AG178*AG179/100,2)</f>
        <v>0</v>
      </c>
      <c r="AH180" s="2334">
        <f>ROUND(AH178*AH179/100,2)</f>
        <v>0</v>
      </c>
      <c r="AI180" s="2334"/>
      <c r="AJ180" s="2334"/>
      <c r="AL180" s="2334"/>
      <c r="AM180" s="2334"/>
      <c r="AN180" s="2334"/>
      <c r="AO180" s="2334"/>
      <c r="AP180" s="2334"/>
      <c r="AQ180" s="2334"/>
      <c r="AR180" s="2334"/>
      <c r="AS180" s="2334"/>
      <c r="AT180" s="2334"/>
      <c r="AU180" s="2334"/>
    </row>
    <row r="181" spans="30:47">
      <c r="AD181" s="2355"/>
      <c r="AE181" s="2334"/>
      <c r="AF181" s="2334"/>
      <c r="AG181" s="2334"/>
      <c r="AH181" s="2334"/>
      <c r="AI181" s="2334"/>
      <c r="AJ181" s="2334"/>
      <c r="AL181" s="2334"/>
      <c r="AM181" s="2334"/>
      <c r="AN181" s="2334"/>
      <c r="AO181" s="2334"/>
      <c r="AP181" s="2334"/>
      <c r="AQ181" s="2334"/>
      <c r="AR181" s="2334"/>
      <c r="AS181" s="2334"/>
      <c r="AT181" s="2334"/>
      <c r="AU181" s="2334"/>
    </row>
    <row r="182" spans="30:47">
      <c r="AD182" s="2360" t="s">
        <v>1978</v>
      </c>
      <c r="AE182" s="2335">
        <f>AE174+AE178</f>
        <v>-543151</v>
      </c>
      <c r="AF182" s="2335">
        <f>AF174+AF178</f>
        <v>-480676</v>
      </c>
      <c r="AG182" s="2335">
        <f>AG174+AG178</f>
        <v>-62475</v>
      </c>
      <c r="AH182" s="2335">
        <f>AH174+AH178</f>
        <v>0</v>
      </c>
      <c r="AI182" s="2275"/>
      <c r="AJ182" s="2275"/>
      <c r="AL182" s="2275"/>
      <c r="AM182" s="2275"/>
      <c r="AN182" s="2275"/>
      <c r="AO182" s="2275"/>
      <c r="AP182" s="2275"/>
      <c r="AQ182" s="2275"/>
      <c r="AR182" s="2275"/>
      <c r="AS182" s="2275"/>
      <c r="AT182" s="2275"/>
      <c r="AU182" s="2275"/>
    </row>
    <row r="183" spans="30:47">
      <c r="AD183" s="2355" t="s">
        <v>1977</v>
      </c>
      <c r="AE183" s="2334">
        <f>AE176+AE180</f>
        <v>-290682.25</v>
      </c>
      <c r="AF183" s="2334">
        <f>AF176+AF180</f>
        <v>-273246.40000000002</v>
      </c>
      <c r="AG183" s="2334">
        <f>AG176+AG180</f>
        <v>-17435.849999999999</v>
      </c>
      <c r="AH183" s="2334"/>
      <c r="AI183" s="2334"/>
      <c r="AJ183" s="2334"/>
      <c r="AL183" s="2334"/>
      <c r="AM183" s="2334"/>
      <c r="AN183" s="2334"/>
      <c r="AO183" s="2334"/>
      <c r="AP183" s="2334"/>
      <c r="AQ183" s="2334"/>
      <c r="AR183" s="2334"/>
      <c r="AS183" s="2334"/>
      <c r="AT183" s="2334"/>
      <c r="AU183" s="2334"/>
    </row>
    <row r="184" spans="30:47">
      <c r="AD184" s="2361" t="s">
        <v>1976</v>
      </c>
      <c r="AE184" s="2334"/>
      <c r="AF184" s="2334"/>
      <c r="AG184" s="2334"/>
      <c r="AH184" s="2334"/>
      <c r="AI184" s="2334"/>
      <c r="AJ184" s="2334"/>
      <c r="AL184" s="2334"/>
    </row>
    <row r="185" spans="30:47">
      <c r="AD185" s="2360" t="s">
        <v>1975</v>
      </c>
      <c r="AE185" s="2335">
        <f>SUM(AF185:AL185)</f>
        <v>163373</v>
      </c>
      <c r="AF185" s="2335">
        <f>AF137</f>
        <v>44136</v>
      </c>
      <c r="AG185" s="2335">
        <f>AG137+AH137</f>
        <v>119237</v>
      </c>
      <c r="AH185" s="2335">
        <v>0</v>
      </c>
      <c r="AI185" s="2275"/>
      <c r="AJ185" s="2275"/>
      <c r="AL185" s="2275"/>
      <c r="AM185" s="2275"/>
      <c r="AN185" s="2275"/>
      <c r="AO185" s="2275"/>
      <c r="AP185" s="2275"/>
      <c r="AQ185" s="2275"/>
      <c r="AR185" s="2275"/>
      <c r="AS185" s="2275"/>
      <c r="AT185" s="2275"/>
      <c r="AU185" s="2275"/>
    </row>
    <row r="186" spans="30:47">
      <c r="AD186" s="2359" t="s">
        <v>1974</v>
      </c>
      <c r="AE186" s="2334"/>
      <c r="AF186" s="2358">
        <f>AF78</f>
        <v>65.852999999999994</v>
      </c>
      <c r="AG186" s="2358">
        <f>AG83</f>
        <v>27.908527268096844</v>
      </c>
      <c r="AH186" s="2356"/>
      <c r="AI186" s="2356"/>
      <c r="AJ186" s="2356"/>
      <c r="AK186" s="2357"/>
      <c r="AL186" s="2356"/>
      <c r="AM186" s="2333"/>
      <c r="AN186" s="2333"/>
      <c r="AO186" s="2333"/>
      <c r="AP186" s="2333"/>
      <c r="AQ186" s="2333"/>
      <c r="AR186" s="2333"/>
      <c r="AS186" s="2333"/>
      <c r="AT186" s="2333"/>
      <c r="AU186" s="2333"/>
    </row>
    <row r="187" spans="30:47">
      <c r="AD187" s="2355" t="s">
        <v>1973</v>
      </c>
      <c r="AE187" s="2334">
        <f>SUM(AF187:AL187)</f>
        <v>62342.17</v>
      </c>
      <c r="AF187" s="2334">
        <f>ROUND(AF185*AF186/100,2)</f>
        <v>29064.880000000001</v>
      </c>
      <c r="AG187" s="2334">
        <f>ROUND(AG185*AG186/100,2)</f>
        <v>33277.29</v>
      </c>
      <c r="AH187" s="2334">
        <f>ROUND(AH185*AH186/100,2)</f>
        <v>0</v>
      </c>
      <c r="AI187" s="2334"/>
      <c r="AJ187" s="2334"/>
      <c r="AK187" s="2334"/>
      <c r="AL187" s="2334"/>
      <c r="AM187" s="2334"/>
      <c r="AN187" s="2334"/>
      <c r="AO187" s="2334"/>
      <c r="AP187" s="2334"/>
      <c r="AQ187" s="2334"/>
      <c r="AR187" s="2334"/>
      <c r="AS187" s="2334"/>
      <c r="AT187" s="2334"/>
      <c r="AU187" s="2334"/>
    </row>
    <row r="188" spans="30:47">
      <c r="AD188" s="2355" t="s">
        <v>1972</v>
      </c>
      <c r="AE188" s="2352"/>
      <c r="AF188" s="2352"/>
      <c r="AG188" s="2352"/>
      <c r="AH188" s="2352"/>
      <c r="AI188" s="2352"/>
      <c r="AJ188" s="2352"/>
      <c r="AK188" s="2352"/>
      <c r="AL188" s="2352"/>
      <c r="AM188" s="2334"/>
      <c r="AN188" s="2334"/>
      <c r="AO188" s="2334"/>
      <c r="AP188" s="2334"/>
      <c r="AQ188" s="2334"/>
      <c r="AR188" s="2334"/>
      <c r="AS188" s="2334"/>
      <c r="AT188" s="2334"/>
      <c r="AU188" s="2334"/>
    </row>
    <row r="189" spans="30:47">
      <c r="AE189" s="2354"/>
      <c r="AF189" s="2334"/>
      <c r="AG189" s="2334"/>
      <c r="AH189" s="2334"/>
      <c r="AI189" s="2334"/>
      <c r="AJ189" s="2334"/>
      <c r="AK189" s="2334"/>
      <c r="AL189" s="2334"/>
    </row>
    <row r="190" spans="30:47">
      <c r="AD190" s="2318" t="s">
        <v>1971</v>
      </c>
      <c r="AE190" s="2334">
        <f>SUM(AF190:AL190)</f>
        <v>-228340.08000000002</v>
      </c>
      <c r="AF190" s="2334">
        <f t="shared" ref="AF190:AL190" si="36">AF187+AF183</f>
        <v>-244181.52000000002</v>
      </c>
      <c r="AG190" s="2334">
        <f t="shared" si="36"/>
        <v>15841.440000000002</v>
      </c>
      <c r="AH190" s="2334">
        <f t="shared" si="36"/>
        <v>0</v>
      </c>
      <c r="AI190" s="2334">
        <f t="shared" si="36"/>
        <v>0</v>
      </c>
      <c r="AJ190" s="2334">
        <f t="shared" si="36"/>
        <v>0</v>
      </c>
      <c r="AK190" s="2334">
        <f t="shared" si="36"/>
        <v>0</v>
      </c>
      <c r="AL190" s="2334">
        <f t="shared" si="36"/>
        <v>0</v>
      </c>
    </row>
    <row r="191" spans="30:47">
      <c r="AD191" s="2318" t="s">
        <v>2051</v>
      </c>
      <c r="AE191" s="2353">
        <f>SUM(AF191:AL191)</f>
        <v>127204829.74350001</v>
      </c>
      <c r="AF191" s="2353">
        <f t="shared" ref="AF191:AL191" si="37">AF170</f>
        <v>97354171.280000001</v>
      </c>
      <c r="AG191" s="2353">
        <f t="shared" si="37"/>
        <v>23818038.080000002</v>
      </c>
      <c r="AH191" s="2353">
        <f t="shared" si="37"/>
        <v>0</v>
      </c>
      <c r="AI191" s="2353">
        <f t="shared" si="37"/>
        <v>639376.75</v>
      </c>
      <c r="AJ191" s="2353">
        <f t="shared" si="37"/>
        <v>3733818.3734999993</v>
      </c>
      <c r="AK191" s="2353">
        <f t="shared" si="37"/>
        <v>1247165.3899999999</v>
      </c>
      <c r="AL191" s="2353">
        <f t="shared" si="37"/>
        <v>412259.87</v>
      </c>
    </row>
    <row r="192" spans="30:47">
      <c r="AD192" s="2318" t="s">
        <v>1970</v>
      </c>
      <c r="AE192" s="2334">
        <f>SUM(AF192:AL192)</f>
        <v>126976489.66350001</v>
      </c>
      <c r="AF192" s="2334">
        <f t="shared" ref="AF192:AL192" si="38">AF190+AF191</f>
        <v>97109989.760000005</v>
      </c>
      <c r="AG192" s="2334">
        <f t="shared" si="38"/>
        <v>23833879.520000003</v>
      </c>
      <c r="AH192" s="2334">
        <f t="shared" si="38"/>
        <v>0</v>
      </c>
      <c r="AI192" s="2334">
        <f t="shared" si="38"/>
        <v>639376.75</v>
      </c>
      <c r="AJ192" s="2334">
        <f t="shared" si="38"/>
        <v>3733818.3734999993</v>
      </c>
      <c r="AK192" s="2334">
        <f t="shared" si="38"/>
        <v>1247165.3899999999</v>
      </c>
      <c r="AL192" s="2334">
        <f t="shared" si="38"/>
        <v>412259.87</v>
      </c>
    </row>
    <row r="193" spans="29:47">
      <c r="AD193" s="2318" t="s">
        <v>1969</v>
      </c>
      <c r="AE193" s="2352">
        <f>SUM(AF193:AL193)</f>
        <v>126976489.66350001</v>
      </c>
      <c r="AF193" s="2352">
        <f>AF145</f>
        <v>97109989.760000005</v>
      </c>
      <c r="AG193" s="2352">
        <f>AG145</f>
        <v>23833879.520000003</v>
      </c>
      <c r="AH193" s="2352"/>
      <c r="AI193" s="2352">
        <f>AI145</f>
        <v>639376.75</v>
      </c>
      <c r="AJ193" s="2352">
        <f>AJ145</f>
        <v>3733818.3734999993</v>
      </c>
      <c r="AK193" s="2352">
        <f>AK145</f>
        <v>1247165.3899999999</v>
      </c>
      <c r="AL193" s="2352">
        <f>AL145</f>
        <v>412259.87</v>
      </c>
    </row>
    <row r="195" spans="29:47">
      <c r="AC195" s="2350"/>
      <c r="AD195" s="2348" t="s">
        <v>1968</v>
      </c>
      <c r="AE195" s="2351">
        <f>SUM(AF195:AL195)</f>
        <v>0</v>
      </c>
      <c r="AF195" s="2351">
        <f>AF192-AF193</f>
        <v>0</v>
      </c>
      <c r="AG195" s="2351">
        <f>AG192-AG193-AH193</f>
        <v>0</v>
      </c>
      <c r="AH195" s="2351"/>
      <c r="AI195" s="2351">
        <f>AI192-AI193</f>
        <v>0</v>
      </c>
      <c r="AJ195" s="2351">
        <f>AJ192-AJ193</f>
        <v>0</v>
      </c>
      <c r="AK195" s="2351">
        <f>AK192-AK193</f>
        <v>0</v>
      </c>
      <c r="AL195" s="2351">
        <f>AL192-AL193</f>
        <v>0</v>
      </c>
      <c r="AM195" s="2348"/>
      <c r="AN195" s="2348"/>
      <c r="AO195" s="2348"/>
      <c r="AP195" s="2348"/>
      <c r="AQ195" s="2348"/>
      <c r="AR195" s="2348"/>
      <c r="AS195" s="2348"/>
      <c r="AT195" s="2348"/>
      <c r="AU195" s="2348"/>
    </row>
    <row r="196" spans="29:47">
      <c r="AC196" s="2350"/>
      <c r="AD196" s="2348" t="s">
        <v>1967</v>
      </c>
      <c r="AE196" s="2349">
        <f>AE195/AE193</f>
        <v>0</v>
      </c>
      <c r="AF196" s="2349">
        <f>AF195/AF193</f>
        <v>0</v>
      </c>
      <c r="AG196" s="2349">
        <f>AG195/AG193</f>
        <v>0</v>
      </c>
      <c r="AH196" s="2349"/>
      <c r="AI196" s="2349">
        <f>AI195/AI193</f>
        <v>0</v>
      </c>
      <c r="AJ196" s="2349">
        <f>AJ195/AJ193</f>
        <v>0</v>
      </c>
      <c r="AK196" s="2349">
        <f>AK195/AK193</f>
        <v>0</v>
      </c>
      <c r="AL196" s="2349">
        <f>AL195/AL193</f>
        <v>0</v>
      </c>
      <c r="AM196" s="2348"/>
      <c r="AN196" s="2348"/>
      <c r="AO196" s="2348"/>
      <c r="AP196" s="2348"/>
      <c r="AQ196" s="2348"/>
      <c r="AR196" s="2348"/>
      <c r="AS196" s="2348"/>
      <c r="AT196" s="2348"/>
      <c r="AU196" s="2348"/>
    </row>
    <row r="197" spans="29:47">
      <c r="AD197" s="2291"/>
      <c r="AE197" s="2346"/>
      <c r="AF197" s="2346"/>
      <c r="AG197" s="2347"/>
      <c r="AH197" s="2347"/>
      <c r="AI197" s="2347"/>
      <c r="AJ197" s="2347"/>
      <c r="AK197" s="2347"/>
      <c r="AL197" s="2347"/>
      <c r="AM197" s="2291"/>
      <c r="AN197" s="2291"/>
      <c r="AO197" s="2291"/>
      <c r="AP197" s="2291"/>
      <c r="AQ197" s="2291"/>
      <c r="AR197" s="2291"/>
      <c r="AS197" s="2291"/>
      <c r="AT197" s="2291"/>
      <c r="AU197" s="2291"/>
    </row>
    <row r="198" spans="29:47">
      <c r="AD198" s="2291"/>
      <c r="AE198" s="2346"/>
      <c r="AF198" s="2346"/>
      <c r="AG198" s="2346"/>
      <c r="AH198" s="2346"/>
      <c r="AI198" s="2346"/>
      <c r="AJ198" s="2346"/>
      <c r="AK198" s="2346"/>
      <c r="AL198" s="2346"/>
      <c r="AM198" s="2291"/>
      <c r="AN198" s="2291"/>
      <c r="AO198" s="2291"/>
      <c r="AP198" s="2291"/>
      <c r="AQ198" s="2291"/>
      <c r="AR198" s="2291"/>
      <c r="AS198" s="2291"/>
      <c r="AT198" s="2291"/>
      <c r="AU198" s="2291"/>
    </row>
    <row r="199" spans="29:47">
      <c r="AD199" s="2291"/>
      <c r="AE199" s="2346"/>
      <c r="AF199" s="2346"/>
      <c r="AG199" s="2346"/>
      <c r="AH199" s="2346"/>
      <c r="AI199" s="2346"/>
      <c r="AJ199" s="2346"/>
      <c r="AK199" s="2346"/>
      <c r="AL199" s="2346"/>
      <c r="AM199" s="2291"/>
      <c r="AN199" s="2291"/>
      <c r="AO199" s="2291"/>
      <c r="AP199" s="2291"/>
      <c r="AQ199" s="2291"/>
      <c r="AR199" s="2291"/>
      <c r="AS199" s="2291"/>
      <c r="AT199" s="2291"/>
      <c r="AU199" s="2291"/>
    </row>
    <row r="200" spans="29:47">
      <c r="AC200" s="2345" t="s">
        <v>1966</v>
      </c>
      <c r="AD200" s="2291"/>
      <c r="AE200" s="2291" t="s">
        <v>110</v>
      </c>
      <c r="AF200" s="2291" t="s">
        <v>198</v>
      </c>
      <c r="AG200" s="2291" t="s">
        <v>198</v>
      </c>
      <c r="AH200" s="2291" t="s">
        <v>1965</v>
      </c>
      <c r="AI200" s="2291" t="s">
        <v>1965</v>
      </c>
      <c r="AJ200" s="2291" t="s">
        <v>1964</v>
      </c>
      <c r="AK200" s="2291" t="s">
        <v>1964</v>
      </c>
      <c r="AL200" s="2291"/>
      <c r="AM200" s="2291"/>
      <c r="AN200" s="2291"/>
      <c r="AO200" s="2291"/>
      <c r="AP200" s="2291"/>
      <c r="AQ200" s="2291"/>
      <c r="AR200" s="2291"/>
      <c r="AS200" s="2291"/>
      <c r="AT200" s="2291"/>
      <c r="AU200" s="2291"/>
    </row>
    <row r="201" spans="29:47">
      <c r="AC201" s="2345" t="s">
        <v>1963</v>
      </c>
      <c r="AD201" s="2291"/>
      <c r="AE201" s="2344" t="s">
        <v>1962</v>
      </c>
      <c r="AF201" s="2344" t="s">
        <v>1960</v>
      </c>
      <c r="AG201" s="2344" t="s">
        <v>1959</v>
      </c>
      <c r="AH201" s="2344" t="s">
        <v>1961</v>
      </c>
      <c r="AI201" s="2344" t="s">
        <v>1959</v>
      </c>
      <c r="AJ201" s="2344" t="s">
        <v>1960</v>
      </c>
      <c r="AK201" s="2344" t="s">
        <v>1959</v>
      </c>
      <c r="AL201" s="2291"/>
      <c r="AM201" s="2291"/>
      <c r="AN201" s="2291"/>
      <c r="AO201" s="2291"/>
      <c r="AP201" s="2291"/>
      <c r="AQ201" s="2291"/>
      <c r="AR201" s="2291"/>
      <c r="AS201" s="2291"/>
      <c r="AT201" s="2291"/>
      <c r="AU201" s="2291"/>
    </row>
    <row r="202" spans="29:47">
      <c r="AD202" s="2338" t="s">
        <v>1954</v>
      </c>
    </row>
    <row r="203" spans="29:47">
      <c r="AD203" s="2318" t="s">
        <v>1958</v>
      </c>
    </row>
    <row r="204" spans="29:47">
      <c r="AD204" s="2322" t="s">
        <v>1957</v>
      </c>
      <c r="AE204" s="2333">
        <v>0</v>
      </c>
      <c r="AF204" s="2275">
        <v>0</v>
      </c>
      <c r="AG204" s="2334">
        <f>AE204*AF204/100</f>
        <v>0</v>
      </c>
      <c r="AH204" s="2337">
        <f>MIN(AF204,AH207)</f>
        <v>0</v>
      </c>
      <c r="AI204" s="2334">
        <f>AH204*AE204/100</f>
        <v>0</v>
      </c>
      <c r="AJ204" s="2275">
        <f>AF204-AH204</f>
        <v>0</v>
      </c>
      <c r="AK204" s="2334">
        <f>AJ204*AE204/100</f>
        <v>0</v>
      </c>
      <c r="AM204" s="2343" t="e">
        <f>AJ204/AJ207</f>
        <v>#DIV/0!</v>
      </c>
    </row>
    <row r="205" spans="29:47">
      <c r="AD205" s="2322" t="s">
        <v>1956</v>
      </c>
      <c r="AE205" s="2333">
        <v>0</v>
      </c>
      <c r="AF205" s="2275">
        <v>0</v>
      </c>
      <c r="AG205" s="2334">
        <f>AE205*AF205/100</f>
        <v>0</v>
      </c>
      <c r="AH205" s="2337">
        <f>MIN(AH207-AH204,AF205)</f>
        <v>0</v>
      </c>
      <c r="AI205" s="2334">
        <f>AH205*AE205/100</f>
        <v>0</v>
      </c>
      <c r="AJ205" s="2275">
        <f>AF205-AH205</f>
        <v>0</v>
      </c>
      <c r="AK205" s="2334">
        <f>AJ205*AE205/100</f>
        <v>0</v>
      </c>
      <c r="AM205" s="2343" t="e">
        <f>AJ205/AJ207</f>
        <v>#DIV/0!</v>
      </c>
    </row>
    <row r="206" spans="29:47">
      <c r="AF206" s="2336"/>
      <c r="AG206" s="2336"/>
      <c r="AH206" s="2336"/>
      <c r="AI206" s="2336"/>
      <c r="AJ206" s="2336"/>
      <c r="AK206" s="2340"/>
    </row>
    <row r="207" spans="29:47">
      <c r="AD207" s="2318" t="s">
        <v>198</v>
      </c>
      <c r="AF207" s="2275">
        <f>AF204+AF205</f>
        <v>0</v>
      </c>
      <c r="AG207" s="2334">
        <f>AG204+AG205</f>
        <v>0</v>
      </c>
      <c r="AH207" s="2339">
        <v>0</v>
      </c>
      <c r="AI207" s="2334">
        <f>AI204+AI205</f>
        <v>0</v>
      </c>
      <c r="AJ207" s="2275">
        <f>AJ204+AJ205</f>
        <v>0</v>
      </c>
      <c r="AK207" s="2334">
        <f>AK204+AK205</f>
        <v>0</v>
      </c>
    </row>
    <row r="208" spans="29:47">
      <c r="AD208" s="2318" t="s">
        <v>1946</v>
      </c>
      <c r="AG208" s="2333">
        <v>0</v>
      </c>
      <c r="AH208" s="2333"/>
      <c r="AI208" s="2333">
        <v>0</v>
      </c>
      <c r="AK208" s="2333">
        <v>0</v>
      </c>
    </row>
    <row r="211" spans="30:37">
      <c r="AD211" s="2338" t="s">
        <v>1953</v>
      </c>
    </row>
    <row r="212" spans="30:37">
      <c r="AD212" s="2318" t="s">
        <v>1958</v>
      </c>
    </row>
    <row r="213" spans="30:37">
      <c r="AD213" s="2322" t="s">
        <v>1957</v>
      </c>
      <c r="AE213" s="2333">
        <v>0</v>
      </c>
      <c r="AF213" s="2275">
        <v>0</v>
      </c>
      <c r="AG213" s="2334">
        <f>AE213*AF213/100</f>
        <v>0</v>
      </c>
      <c r="AH213" s="2337">
        <f>MIN(AF213,AH216)</f>
        <v>0</v>
      </c>
      <c r="AI213" s="2334">
        <f>AH213*AE213/100</f>
        <v>0</v>
      </c>
      <c r="AJ213" s="2275">
        <f>AF213-AH213</f>
        <v>0</v>
      </c>
      <c r="AK213" s="2334">
        <f>AJ213*AE213/100</f>
        <v>0</v>
      </c>
    </row>
    <row r="214" spans="30:37">
      <c r="AD214" s="2322" t="s">
        <v>1956</v>
      </c>
      <c r="AE214" s="2333">
        <v>0</v>
      </c>
      <c r="AF214" s="2275">
        <v>0</v>
      </c>
      <c r="AG214" s="2334">
        <f>AE214*AF214/100</f>
        <v>0</v>
      </c>
      <c r="AH214" s="2337">
        <f>MIN(AH216-AH213,AF214)</f>
        <v>0</v>
      </c>
      <c r="AI214" s="2334">
        <f>AH214*AE214/100</f>
        <v>0</v>
      </c>
      <c r="AJ214" s="2275">
        <f>AF214-AH214</f>
        <v>0</v>
      </c>
      <c r="AK214" s="2334">
        <f>AJ214*AE214/100</f>
        <v>0</v>
      </c>
    </row>
    <row r="215" spans="30:37">
      <c r="AF215" s="2336"/>
      <c r="AG215" s="2336"/>
      <c r="AH215" s="2336"/>
      <c r="AI215" s="2336"/>
      <c r="AJ215" s="2336"/>
      <c r="AK215" s="2336"/>
    </row>
    <row r="216" spans="30:37">
      <c r="AD216" s="2318" t="s">
        <v>198</v>
      </c>
      <c r="AF216" s="2275">
        <f>AF213+AF214</f>
        <v>0</v>
      </c>
      <c r="AG216" s="2334">
        <f>AG213+AG214</f>
        <v>0</v>
      </c>
      <c r="AH216" s="2335">
        <f>AH207</f>
        <v>0</v>
      </c>
      <c r="AI216" s="2334">
        <f>AI213+AI214</f>
        <v>0</v>
      </c>
      <c r="AJ216" s="2275">
        <f>AJ213+AJ214</f>
        <v>0</v>
      </c>
      <c r="AK216" s="2275">
        <f>AK212+AK213+AK214</f>
        <v>0</v>
      </c>
    </row>
    <row r="217" spans="30:37">
      <c r="AD217" s="2318" t="s">
        <v>1946</v>
      </c>
      <c r="AG217" s="2333">
        <v>0</v>
      </c>
      <c r="AH217" s="2333"/>
      <c r="AI217" s="2333">
        <v>0</v>
      </c>
      <c r="AK217" s="2333">
        <v>0</v>
      </c>
    </row>
    <row r="219" spans="30:37">
      <c r="AG219" s="2334"/>
    </row>
    <row r="220" spans="30:37">
      <c r="AD220" s="2341" t="s">
        <v>1955</v>
      </c>
      <c r="AE220" s="2341"/>
      <c r="AF220" s="2341"/>
      <c r="AG220" s="2341"/>
      <c r="AH220" s="2341"/>
      <c r="AI220" s="2341"/>
    </row>
    <row r="221" spans="30:37">
      <c r="AD221" s="2342" t="s">
        <v>2052</v>
      </c>
      <c r="AE221" s="2341"/>
      <c r="AF221" s="2341"/>
      <c r="AG221" s="2341"/>
      <c r="AH221" s="2341"/>
      <c r="AI221" s="2341"/>
    </row>
    <row r="223" spans="30:37">
      <c r="AD223" s="2338" t="s">
        <v>1954</v>
      </c>
    </row>
    <row r="224" spans="30:37">
      <c r="AD224" s="2318" t="s">
        <v>1952</v>
      </c>
    </row>
    <row r="225" spans="30:37">
      <c r="AD225" s="2322" t="s">
        <v>1951</v>
      </c>
      <c r="AE225" s="2333">
        <v>0</v>
      </c>
      <c r="AF225" s="2275">
        <v>0</v>
      </c>
      <c r="AG225" s="2334">
        <f>AE225*AF225/100</f>
        <v>0</v>
      </c>
      <c r="AH225" s="2337">
        <f>MIN(AF225,AH231)</f>
        <v>0</v>
      </c>
      <c r="AI225" s="2334">
        <f>AH225*AE225/100</f>
        <v>0</v>
      </c>
      <c r="AJ225" s="2275">
        <f>AF225-AH225</f>
        <v>0</v>
      </c>
      <c r="AK225" s="2334">
        <f>AJ225*AE225/100</f>
        <v>0</v>
      </c>
    </row>
    <row r="226" spans="30:37">
      <c r="AD226" s="2322" t="s">
        <v>1950</v>
      </c>
      <c r="AE226" s="2333">
        <v>0</v>
      </c>
      <c r="AF226" s="2275">
        <v>0</v>
      </c>
      <c r="AG226" s="2334">
        <f>AE226*AF226/100</f>
        <v>0</v>
      </c>
      <c r="AH226" s="2337">
        <f>MIN(AH231-AH225,AF226)</f>
        <v>0</v>
      </c>
      <c r="AI226" s="2334">
        <f>AH226*AE226/100</f>
        <v>0</v>
      </c>
      <c r="AJ226" s="2275">
        <f>AF226-AH226</f>
        <v>0</v>
      </c>
      <c r="AK226" s="2334">
        <f>AJ226*AE226/100</f>
        <v>0</v>
      </c>
    </row>
    <row r="227" spans="30:37">
      <c r="AD227" s="2322" t="s">
        <v>1949</v>
      </c>
      <c r="AE227" s="2333">
        <v>0</v>
      </c>
      <c r="AF227" s="2275">
        <v>0</v>
      </c>
      <c r="AG227" s="2334">
        <f>AE227*AF227/100</f>
        <v>0</v>
      </c>
      <c r="AH227" s="2337">
        <f>MIN(AH231-AH225-AH226,AF227)</f>
        <v>0</v>
      </c>
      <c r="AI227" s="2334">
        <f>AH227*AE227/100</f>
        <v>0</v>
      </c>
      <c r="AJ227" s="2275">
        <f>AF227-AH227</f>
        <v>0</v>
      </c>
      <c r="AK227" s="2334">
        <f>AJ227*AE227/100</f>
        <v>0</v>
      </c>
    </row>
    <row r="228" spans="30:37">
      <c r="AD228" s="2322" t="s">
        <v>1948</v>
      </c>
      <c r="AE228" s="2333">
        <v>0</v>
      </c>
      <c r="AF228" s="2275">
        <v>0</v>
      </c>
      <c r="AG228" s="2334">
        <f>AE228*AF228/100</f>
        <v>0</v>
      </c>
      <c r="AH228" s="2337">
        <f>MIN(AH231-AH225-AH226-AH227,AF228)</f>
        <v>0</v>
      </c>
      <c r="AI228" s="2334">
        <f>AH228*AE228/100</f>
        <v>0</v>
      </c>
      <c r="AJ228" s="2275">
        <f>AF228-AH228</f>
        <v>0</v>
      </c>
      <c r="AK228" s="2334">
        <f>AJ228*AE228/100</f>
        <v>0</v>
      </c>
    </row>
    <row r="229" spans="30:37">
      <c r="AD229" s="2322" t="s">
        <v>1947</v>
      </c>
      <c r="AE229" s="2333">
        <v>0</v>
      </c>
      <c r="AF229" s="2275">
        <v>0</v>
      </c>
      <c r="AG229" s="2334">
        <f>AE229*AF229/100</f>
        <v>0</v>
      </c>
      <c r="AH229" s="2337">
        <f>MIN(AH231-AH225-AH226-AH227-AH228,AF229)</f>
        <v>0</v>
      </c>
      <c r="AI229" s="2334">
        <f>AH229*AE229/100</f>
        <v>0</v>
      </c>
      <c r="AJ229" s="2275">
        <f>AF229-AH229</f>
        <v>0</v>
      </c>
      <c r="AK229" s="2334">
        <f>AJ229*AE229/100</f>
        <v>0</v>
      </c>
    </row>
    <row r="230" spans="30:37">
      <c r="AF230" s="2336"/>
      <c r="AG230" s="2336"/>
      <c r="AH230" s="2336"/>
      <c r="AI230" s="2336"/>
      <c r="AJ230" s="2336"/>
      <c r="AK230" s="2340"/>
    </row>
    <row r="231" spans="30:37">
      <c r="AD231" s="2318" t="s">
        <v>198</v>
      </c>
      <c r="AF231" s="2275">
        <f>AF225+AF226+AF229+AF227+AF228</f>
        <v>0</v>
      </c>
      <c r="AG231" s="2334">
        <f>AG225+AG226+AG229+AG227+AG228</f>
        <v>0</v>
      </c>
      <c r="AH231" s="2339">
        <v>0</v>
      </c>
      <c r="AI231" s="2334">
        <f>AI225+AI226+AI229</f>
        <v>0</v>
      </c>
      <c r="AJ231" s="2275">
        <f>AJ225+AJ226+AJ229+AJ227+AJ228</f>
        <v>0</v>
      </c>
      <c r="AK231" s="2334">
        <f>AK225+AK226+AK229+AK227+AK228</f>
        <v>0</v>
      </c>
    </row>
    <row r="232" spans="30:37">
      <c r="AD232" s="2318" t="s">
        <v>1946</v>
      </c>
      <c r="AG232" s="2333">
        <v>0</v>
      </c>
      <c r="AH232" s="2333"/>
      <c r="AI232" s="2333">
        <v>0</v>
      </c>
      <c r="AK232" s="2333">
        <v>0</v>
      </c>
    </row>
    <row r="235" spans="30:37">
      <c r="AD235" s="2338" t="s">
        <v>1953</v>
      </c>
    </row>
    <row r="236" spans="30:37">
      <c r="AD236" s="2318" t="s">
        <v>1952</v>
      </c>
    </row>
    <row r="237" spans="30:37">
      <c r="AD237" s="2322" t="s">
        <v>1951</v>
      </c>
      <c r="AE237" s="2333">
        <v>0</v>
      </c>
      <c r="AF237" s="2275">
        <v>0</v>
      </c>
      <c r="AG237" s="2334">
        <f>AE237*AF237/100</f>
        <v>0</v>
      </c>
      <c r="AH237" s="2337">
        <f>MIN(AF237,AH243)</f>
        <v>0</v>
      </c>
      <c r="AI237" s="2334">
        <f>AH237*AE237/100</f>
        <v>0</v>
      </c>
      <c r="AJ237" s="2275">
        <f>AF237-AH237</f>
        <v>0</v>
      </c>
      <c r="AK237" s="2334">
        <f>AJ237*AE237/100</f>
        <v>0</v>
      </c>
    </row>
    <row r="238" spans="30:37">
      <c r="AD238" s="2322" t="s">
        <v>1950</v>
      </c>
      <c r="AE238" s="2333">
        <v>0</v>
      </c>
      <c r="AF238" s="2275">
        <v>0</v>
      </c>
      <c r="AG238" s="2334">
        <f>AE238*AF238/100</f>
        <v>0</v>
      </c>
      <c r="AH238" s="2337">
        <f>MIN(AH243-AH237,AF238)</f>
        <v>0</v>
      </c>
      <c r="AI238" s="2334">
        <f>AH238*AE238/100</f>
        <v>0</v>
      </c>
      <c r="AJ238" s="2275">
        <f>AF238-AH238</f>
        <v>0</v>
      </c>
      <c r="AK238" s="2334">
        <f>AJ238*AE238/100</f>
        <v>0</v>
      </c>
    </row>
    <row r="239" spans="30:37">
      <c r="AD239" s="2322" t="s">
        <v>1949</v>
      </c>
      <c r="AE239" s="2333">
        <v>0</v>
      </c>
      <c r="AF239" s="2275">
        <v>0</v>
      </c>
      <c r="AG239" s="2334">
        <f>AE239*AF239/100</f>
        <v>0</v>
      </c>
      <c r="AH239" s="2337">
        <f>MIN(AH243-AH237-AH238,AF239)</f>
        <v>0</v>
      </c>
      <c r="AI239" s="2334">
        <f>AH239*AE239/100</f>
        <v>0</v>
      </c>
      <c r="AJ239" s="2275">
        <f>AF239-AH239</f>
        <v>0</v>
      </c>
      <c r="AK239" s="2334">
        <f>AJ239*AE239/100</f>
        <v>0</v>
      </c>
    </row>
    <row r="240" spans="30:37">
      <c r="AD240" s="2322" t="s">
        <v>1948</v>
      </c>
      <c r="AE240" s="2333">
        <v>0</v>
      </c>
      <c r="AF240" s="2275">
        <v>0</v>
      </c>
      <c r="AG240" s="2334">
        <f>AE240*AF240/100</f>
        <v>0</v>
      </c>
      <c r="AH240" s="2337">
        <f>MIN(AH243-AH237-AH238-AH239,AF240)</f>
        <v>0</v>
      </c>
      <c r="AI240" s="2334">
        <f>AH240*AE240/100</f>
        <v>0</v>
      </c>
      <c r="AJ240" s="2275">
        <f>AF240-AH240</f>
        <v>0</v>
      </c>
      <c r="AK240" s="2334">
        <f>AJ240*AE240/100</f>
        <v>0</v>
      </c>
    </row>
    <row r="241" spans="30:37">
      <c r="AD241" s="2322" t="s">
        <v>1947</v>
      </c>
      <c r="AE241" s="2333">
        <v>0</v>
      </c>
      <c r="AF241" s="2275">
        <v>0</v>
      </c>
      <c r="AG241" s="2334">
        <f>AE241*AF241/100</f>
        <v>0</v>
      </c>
      <c r="AH241" s="2337">
        <f>MIN(AH243-AH237-AH238-AH239-AH240,AF241)</f>
        <v>0</v>
      </c>
      <c r="AI241" s="2334">
        <f>AH241*AE241/100</f>
        <v>0</v>
      </c>
      <c r="AJ241" s="2275">
        <f>AF241-AH241</f>
        <v>0</v>
      </c>
      <c r="AK241" s="2334">
        <f>AJ241*AE241/100</f>
        <v>0</v>
      </c>
    </row>
    <row r="242" spans="30:37">
      <c r="AF242" s="2336"/>
      <c r="AG242" s="2336"/>
      <c r="AH242" s="2336"/>
      <c r="AI242" s="2336"/>
      <c r="AJ242" s="2336"/>
      <c r="AK242" s="2336"/>
    </row>
    <row r="243" spans="30:37">
      <c r="AD243" s="2318" t="s">
        <v>198</v>
      </c>
      <c r="AF243" s="2275">
        <f>AF237+AF238+AF239+AF240+AF241</f>
        <v>0</v>
      </c>
      <c r="AG243" s="2334">
        <f>AG237+AG238+AG239+AG240+AG241</f>
        <v>0</v>
      </c>
      <c r="AH243" s="2335">
        <f>AH231</f>
        <v>0</v>
      </c>
      <c r="AI243" s="2334">
        <f>AI237+AI238+AI239</f>
        <v>0</v>
      </c>
      <c r="AJ243" s="2275">
        <f>AJ237+AJ238+AJ239+AJ240+AJ241</f>
        <v>0</v>
      </c>
      <c r="AK243" s="2275">
        <f>AK236+AK237+AK238+AK239+AK240+AK241</f>
        <v>0</v>
      </c>
    </row>
    <row r="244" spans="30:37">
      <c r="AD244" s="2318" t="s">
        <v>1946</v>
      </c>
      <c r="AG244" s="2333">
        <v>0</v>
      </c>
      <c r="AH244" s="2333"/>
      <c r="AI244" s="2333">
        <v>0</v>
      </c>
      <c r="AK244" s="2333">
        <v>0</v>
      </c>
    </row>
    <row r="245" spans="30:37">
      <c r="AF245" s="2275"/>
      <c r="AG245" s="2275"/>
    </row>
    <row r="247" spans="30:37">
      <c r="AD247" s="2318" t="s">
        <v>1945</v>
      </c>
    </row>
    <row r="248" spans="30:37">
      <c r="AD248" s="2332" t="s">
        <v>2053</v>
      </c>
    </row>
  </sheetData>
  <mergeCells count="4">
    <mergeCell ref="B36:B37"/>
    <mergeCell ref="X8:Y16"/>
    <mergeCell ref="X32:Y36"/>
    <mergeCell ref="AS6:AU11"/>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1365-1441-4994-80B2-EC6B149F8553}">
  <dimension ref="A1:AK162"/>
  <sheetViews>
    <sheetView workbookViewId="0">
      <selection sqref="A1:K1"/>
    </sheetView>
  </sheetViews>
  <sheetFormatPr defaultRowHeight="12.75"/>
  <cols>
    <col min="1" max="1" width="35.5703125" style="477" customWidth="1"/>
    <col min="2" max="2" width="11.5703125" style="477" customWidth="1"/>
    <col min="3" max="3" width="11.140625" style="477" customWidth="1"/>
    <col min="4" max="4" width="12.28515625" style="477" bestFit="1" customWidth="1"/>
    <col min="5" max="6" width="11.42578125" style="477" customWidth="1"/>
    <col min="7" max="7" width="4.140625" style="954" customWidth="1"/>
    <col min="8" max="8" width="11.5703125" style="477" customWidth="1"/>
    <col min="9" max="9" width="11.42578125" style="477" customWidth="1"/>
    <col min="10" max="10" width="11.5703125" style="477" customWidth="1"/>
    <col min="11" max="11" width="10.5703125" style="477" customWidth="1"/>
    <col min="12" max="12" width="11.42578125" style="954" customWidth="1"/>
    <col min="13" max="13" width="11.42578125" style="477" bestFit="1" customWidth="1"/>
    <col min="14" max="14" width="4.85546875" style="477" customWidth="1"/>
    <col min="15" max="15" width="1.7109375" style="2142" customWidth="1"/>
    <col min="17" max="17" width="8.85546875" style="2412"/>
    <col min="18" max="18" width="9.5703125" style="2412" customWidth="1"/>
    <col min="19" max="19" width="9.7109375" style="2414" customWidth="1"/>
    <col min="20" max="20" width="9.42578125" style="2413" customWidth="1"/>
    <col min="21" max="21" width="18.140625" style="2413" customWidth="1"/>
    <col min="22" max="22" width="14.42578125" style="2413" customWidth="1"/>
    <col min="23" max="23" width="13.140625" style="2413" customWidth="1"/>
    <col min="24" max="29" width="12.7109375" style="2412" customWidth="1"/>
    <col min="30" max="32" width="12.7109375" style="2412" hidden="1" customWidth="1"/>
    <col min="33" max="35" width="8" style="2412"/>
    <col min="36" max="36" width="12.28515625" style="2412" customWidth="1"/>
    <col min="37" max="37" width="8.85546875" style="2412"/>
  </cols>
  <sheetData>
    <row r="1" spans="1:37" ht="15.75">
      <c r="A1" s="3763" t="s">
        <v>111</v>
      </c>
      <c r="B1" s="3763"/>
      <c r="C1" s="3763"/>
      <c r="D1" s="3763"/>
      <c r="E1" s="3763"/>
      <c r="F1" s="3763"/>
      <c r="G1" s="3763"/>
      <c r="H1" s="3763"/>
      <c r="I1" s="3763"/>
      <c r="J1" s="3763"/>
      <c r="K1" s="3763"/>
      <c r="S1" s="2418"/>
      <c r="T1" s="2419"/>
      <c r="U1" s="2417"/>
      <c r="V1" s="2416"/>
      <c r="W1" s="2416"/>
      <c r="X1" s="2444"/>
      <c r="Y1" s="2444"/>
      <c r="Z1" s="2444"/>
      <c r="AA1" s="2444"/>
      <c r="AB1" s="2444"/>
      <c r="AC1" s="2444"/>
      <c r="AD1" s="2444"/>
      <c r="AE1" s="2444"/>
      <c r="AF1" s="2444"/>
      <c r="AJ1" s="2415"/>
      <c r="AK1" s="2415"/>
    </row>
    <row r="2" spans="1:37" ht="15.75">
      <c r="A2" s="3763" t="s">
        <v>895</v>
      </c>
      <c r="B2" s="3763"/>
      <c r="C2" s="3763"/>
      <c r="D2" s="3763"/>
      <c r="E2" s="3763"/>
      <c r="F2" s="3763"/>
      <c r="G2" s="3763"/>
      <c r="H2" s="3763"/>
      <c r="I2" s="3763"/>
      <c r="J2" s="3763"/>
      <c r="K2" s="3763"/>
      <c r="S2" s="2418"/>
      <c r="T2" s="2419"/>
      <c r="U2" s="2417"/>
      <c r="V2" s="2416"/>
      <c r="W2" s="2416"/>
      <c r="X2" s="2444"/>
      <c r="Y2" s="2444"/>
      <c r="Z2" s="2444"/>
      <c r="AA2" s="2444"/>
      <c r="AB2" s="2444"/>
      <c r="AC2" s="2444"/>
      <c r="AD2" s="2444"/>
      <c r="AE2" s="2444"/>
      <c r="AF2" s="2444"/>
      <c r="AJ2" s="2415"/>
      <c r="AK2" s="2415"/>
    </row>
    <row r="3" spans="1:37" ht="15.75">
      <c r="A3" s="3763" t="s">
        <v>580</v>
      </c>
      <c r="B3" s="3763"/>
      <c r="C3" s="3763"/>
      <c r="D3" s="3763"/>
      <c r="E3" s="3763"/>
      <c r="F3" s="3763"/>
      <c r="G3" s="3763"/>
      <c r="H3" s="3763"/>
      <c r="I3" s="3763"/>
      <c r="J3" s="3763"/>
      <c r="K3" s="3763"/>
      <c r="S3" s="2457" t="s">
        <v>2079</v>
      </c>
      <c r="T3" s="2456"/>
      <c r="U3" s="2455"/>
      <c r="V3" s="2454"/>
      <c r="W3" s="2453" t="s">
        <v>2078</v>
      </c>
      <c r="X3" s="2444"/>
      <c r="Y3" s="2444"/>
      <c r="Z3" s="2444" t="s">
        <v>111</v>
      </c>
      <c r="AA3" s="2444"/>
      <c r="AB3" s="2444"/>
      <c r="AC3" s="2444"/>
      <c r="AD3" s="2444"/>
      <c r="AE3" s="2444"/>
      <c r="AF3" s="2444"/>
      <c r="AJ3" s="2415"/>
      <c r="AK3" s="2415"/>
    </row>
    <row r="4" spans="1:37" ht="15.75">
      <c r="S4" s="2452" t="s">
        <v>2077</v>
      </c>
      <c r="T4" s="2451"/>
      <c r="U4" s="2450"/>
      <c r="V4" s="2449"/>
      <c r="W4" s="2448" t="s">
        <v>2080</v>
      </c>
      <c r="X4" s="2444" t="s">
        <v>2081</v>
      </c>
      <c r="Y4" s="2444"/>
      <c r="Z4" s="2444"/>
      <c r="AA4" s="2444"/>
      <c r="AB4" s="2444"/>
      <c r="AC4" s="2444"/>
      <c r="AD4" s="2444"/>
      <c r="AE4" s="2444"/>
      <c r="AF4" s="2444"/>
      <c r="AJ4" s="2415"/>
      <c r="AK4" s="2415"/>
    </row>
    <row r="5" spans="1:37" ht="15.75">
      <c r="C5" s="3766" t="s">
        <v>18</v>
      </c>
      <c r="D5" s="3767"/>
      <c r="E5" s="3768"/>
      <c r="H5" s="3766" t="s">
        <v>11</v>
      </c>
      <c r="I5" s="3767"/>
      <c r="J5" s="3768"/>
      <c r="S5" s="2447" t="s">
        <v>2082</v>
      </c>
      <c r="T5" s="2416"/>
      <c r="U5" s="2416"/>
      <c r="V5" s="2446"/>
      <c r="W5" s="2445"/>
      <c r="X5" s="2444"/>
      <c r="Y5" s="2444"/>
      <c r="Z5" s="2444"/>
      <c r="AA5" s="2444"/>
      <c r="AB5" s="2444"/>
      <c r="AC5" s="2444"/>
      <c r="AD5" s="2444"/>
      <c r="AE5" s="2444"/>
      <c r="AF5" s="2444"/>
      <c r="AJ5" s="2415"/>
      <c r="AK5" s="2415"/>
    </row>
    <row r="6" spans="1:37" ht="26.25">
      <c r="A6" s="477" t="s">
        <v>70</v>
      </c>
      <c r="B6" s="944" t="s">
        <v>2065</v>
      </c>
      <c r="C6" s="1166" t="s">
        <v>2064</v>
      </c>
      <c r="D6" s="944" t="s">
        <v>887</v>
      </c>
      <c r="E6" s="1167" t="s">
        <v>19</v>
      </c>
      <c r="F6" s="944" t="s">
        <v>904</v>
      </c>
      <c r="G6" s="944"/>
      <c r="H6" s="1166" t="s">
        <v>2063</v>
      </c>
      <c r="I6" s="944" t="s">
        <v>885</v>
      </c>
      <c r="J6" s="1165" t="s">
        <v>19</v>
      </c>
      <c r="K6" s="944" t="s">
        <v>883</v>
      </c>
      <c r="M6" s="944" t="s">
        <v>882</v>
      </c>
      <c r="S6" s="2443" t="s">
        <v>916</v>
      </c>
      <c r="T6" s="2439"/>
      <c r="U6" s="2437"/>
      <c r="V6" s="2442"/>
      <c r="W6" s="2441"/>
      <c r="X6" s="3860" t="s">
        <v>2076</v>
      </c>
      <c r="Y6" s="3861"/>
      <c r="Z6" s="3861"/>
      <c r="AA6" s="3861" t="s">
        <v>2075</v>
      </c>
      <c r="AB6" s="3861"/>
      <c r="AC6" s="3861"/>
      <c r="AD6" s="3861" t="s">
        <v>2074</v>
      </c>
      <c r="AE6" s="3861"/>
      <c r="AF6" s="3861"/>
      <c r="AJ6" s="2415"/>
      <c r="AK6" s="2415"/>
    </row>
    <row r="7" spans="1:37" ht="15.75">
      <c r="C7" s="948"/>
      <c r="E7" s="946"/>
      <c r="H7" s="948"/>
      <c r="J7" s="946"/>
      <c r="M7" s="954"/>
      <c r="S7" s="2440" t="s">
        <v>2073</v>
      </c>
      <c r="T7" s="2439" t="s">
        <v>818</v>
      </c>
      <c r="U7" s="2438" t="s">
        <v>70</v>
      </c>
      <c r="V7" s="2437"/>
      <c r="W7" s="2437"/>
      <c r="X7" s="2436" t="s">
        <v>686</v>
      </c>
      <c r="Y7" s="2436" t="s">
        <v>809</v>
      </c>
      <c r="Z7" s="2436" t="s">
        <v>24</v>
      </c>
      <c r="AA7" s="2436" t="s">
        <v>686</v>
      </c>
      <c r="AB7" s="2436" t="s">
        <v>809</v>
      </c>
      <c r="AC7" s="2436" t="s">
        <v>24</v>
      </c>
      <c r="AD7" s="2436" t="s">
        <v>686</v>
      </c>
      <c r="AE7" s="2436" t="s">
        <v>809</v>
      </c>
      <c r="AF7" s="2436" t="s">
        <v>24</v>
      </c>
      <c r="AJ7" s="2415"/>
      <c r="AK7" s="2415"/>
    </row>
    <row r="8" spans="1:37" ht="15.75">
      <c r="C8" s="948"/>
      <c r="E8" s="946"/>
      <c r="H8" s="948"/>
      <c r="J8" s="946"/>
      <c r="M8" s="954"/>
      <c r="Q8" s="2412">
        <v>434726</v>
      </c>
      <c r="R8" s="2412">
        <v>434731</v>
      </c>
      <c r="S8" s="2418">
        <v>99</v>
      </c>
      <c r="T8" s="2423">
        <v>407230</v>
      </c>
      <c r="U8" s="2417" t="s">
        <v>450</v>
      </c>
      <c r="V8" s="2416"/>
      <c r="W8" s="2416"/>
      <c r="X8" s="2420">
        <f t="shared" ref="X8:X27" si="0">AA8+AD8</f>
        <v>-30596</v>
      </c>
      <c r="Y8" s="2422">
        <v>0</v>
      </c>
      <c r="Z8" s="2421">
        <f t="shared" ref="Z8:Z27" si="1">X8+Y8</f>
        <v>-30596</v>
      </c>
      <c r="AA8" s="2427">
        <v>-30596</v>
      </c>
      <c r="AB8" s="2427">
        <v>0</v>
      </c>
      <c r="AC8" s="2428">
        <f t="shared" ref="AC8:AC27" si="2">AA8+AB8</f>
        <v>-30596</v>
      </c>
      <c r="AD8" s="2427">
        <v>0</v>
      </c>
      <c r="AE8" s="2427">
        <v>0</v>
      </c>
      <c r="AF8" s="2420">
        <f t="shared" ref="AF8:AF27" si="3">AD8+AE8</f>
        <v>0</v>
      </c>
      <c r="AG8" s="2426" t="s">
        <v>2066</v>
      </c>
      <c r="AH8" s="2425"/>
      <c r="AI8" s="2425"/>
      <c r="AJ8" s="2415"/>
      <c r="AK8" s="2415"/>
    </row>
    <row r="9" spans="1:37" ht="15.75">
      <c r="A9" s="477" t="s">
        <v>363</v>
      </c>
      <c r="B9" s="954">
        <v>10</v>
      </c>
      <c r="C9" s="1186">
        <v>0</v>
      </c>
      <c r="D9" s="1181">
        <v>0</v>
      </c>
      <c r="E9" s="1185">
        <f>C9-D9</f>
        <v>0</v>
      </c>
      <c r="F9" s="515" t="s">
        <v>876</v>
      </c>
      <c r="G9" s="1180"/>
      <c r="H9" s="1186">
        <v>0</v>
      </c>
      <c r="I9" s="1181">
        <v>0</v>
      </c>
      <c r="J9" s="1185">
        <f>H9-I9</f>
        <v>0</v>
      </c>
      <c r="M9" s="954" t="s">
        <v>903</v>
      </c>
      <c r="Q9" s="2412">
        <v>439679</v>
      </c>
      <c r="R9" s="2412">
        <v>439684</v>
      </c>
      <c r="S9" s="2418">
        <v>99</v>
      </c>
      <c r="T9" s="2423">
        <v>407302</v>
      </c>
      <c r="U9" s="2417" t="s">
        <v>451</v>
      </c>
      <c r="V9" s="2416"/>
      <c r="W9" s="2416"/>
      <c r="X9" s="2420">
        <f t="shared" si="0"/>
        <v>2037268</v>
      </c>
      <c r="Y9" s="2422">
        <v>0</v>
      </c>
      <c r="Z9" s="2421">
        <f t="shared" si="1"/>
        <v>2037268</v>
      </c>
      <c r="AA9" s="2427">
        <v>2037268</v>
      </c>
      <c r="AB9" s="2427">
        <v>0</v>
      </c>
      <c r="AC9" s="2428">
        <f t="shared" si="2"/>
        <v>2037268</v>
      </c>
      <c r="AD9" s="2433">
        <v>0</v>
      </c>
      <c r="AE9" s="2433">
        <v>0</v>
      </c>
      <c r="AF9" s="2432">
        <f t="shared" si="3"/>
        <v>0</v>
      </c>
      <c r="AG9" s="2426" t="s">
        <v>2066</v>
      </c>
      <c r="AH9" s="2425"/>
      <c r="AI9" s="2425"/>
      <c r="AJ9" s="2415"/>
      <c r="AK9" s="2415"/>
    </row>
    <row r="10" spans="1:37" ht="15.75">
      <c r="B10" s="954"/>
      <c r="C10" s="1186"/>
      <c r="D10" s="1181"/>
      <c r="E10" s="1185"/>
      <c r="F10" s="515"/>
      <c r="G10" s="1180"/>
      <c r="H10" s="1186"/>
      <c r="I10" s="1181"/>
      <c r="J10" s="1185"/>
      <c r="M10" s="954"/>
      <c r="Q10" s="2412">
        <v>451710</v>
      </c>
      <c r="R10" s="2412">
        <v>451715</v>
      </c>
      <c r="S10" s="2418">
        <v>99</v>
      </c>
      <c r="T10" s="2423">
        <v>407305</v>
      </c>
      <c r="U10" s="2417" t="s">
        <v>463</v>
      </c>
      <c r="V10" s="2416"/>
      <c r="W10" s="2416"/>
      <c r="X10" s="2420">
        <f t="shared" si="0"/>
        <v>0</v>
      </c>
      <c r="Y10" s="2422">
        <v>0</v>
      </c>
      <c r="Z10" s="2421">
        <f t="shared" si="1"/>
        <v>0</v>
      </c>
      <c r="AA10" s="2427">
        <v>0</v>
      </c>
      <c r="AB10" s="2427">
        <v>0</v>
      </c>
      <c r="AC10" s="2421">
        <f t="shared" si="2"/>
        <v>0</v>
      </c>
      <c r="AD10" s="2427">
        <v>0</v>
      </c>
      <c r="AE10" s="2427">
        <v>0</v>
      </c>
      <c r="AF10" s="2420">
        <f t="shared" si="3"/>
        <v>0</v>
      </c>
      <c r="AJ10" s="2415"/>
      <c r="AK10" s="2415"/>
    </row>
    <row r="11" spans="1:37" ht="15.75">
      <c r="A11" s="477" t="s">
        <v>364</v>
      </c>
      <c r="B11" s="954">
        <v>11</v>
      </c>
      <c r="C11" s="1184">
        <v>-1377.32</v>
      </c>
      <c r="D11" s="1183">
        <v>-1377</v>
      </c>
      <c r="E11" s="1182">
        <f>C11-D11</f>
        <v>-0.31999999999993634</v>
      </c>
      <c r="F11" s="515" t="s">
        <v>876</v>
      </c>
      <c r="G11" s="1180"/>
      <c r="H11" s="1184">
        <v>64.319999999999993</v>
      </c>
      <c r="I11" s="1183">
        <v>64.319999999999993</v>
      </c>
      <c r="J11" s="1182">
        <f>H11-I11</f>
        <v>0</v>
      </c>
      <c r="K11" s="477">
        <v>905000</v>
      </c>
      <c r="L11" s="954" t="s">
        <v>875</v>
      </c>
      <c r="M11" s="954" t="s">
        <v>902</v>
      </c>
      <c r="Q11" s="2412">
        <v>465294</v>
      </c>
      <c r="R11" s="2412">
        <v>465299</v>
      </c>
      <c r="S11" s="2418">
        <v>99</v>
      </c>
      <c r="T11" s="2423">
        <v>407306</v>
      </c>
      <c r="U11" s="2417" t="s">
        <v>586</v>
      </c>
      <c r="V11" s="2416"/>
      <c r="W11" s="2416"/>
      <c r="X11" s="2420">
        <f t="shared" si="0"/>
        <v>846808</v>
      </c>
      <c r="Y11" s="2422">
        <f>AB11+AE11</f>
        <v>0</v>
      </c>
      <c r="Z11" s="2421">
        <f t="shared" si="1"/>
        <v>846808</v>
      </c>
      <c r="AA11" s="2427">
        <v>846808</v>
      </c>
      <c r="AB11" s="2427">
        <v>0</v>
      </c>
      <c r="AC11" s="2421">
        <f t="shared" si="2"/>
        <v>846808</v>
      </c>
      <c r="AD11" s="2427">
        <v>0</v>
      </c>
      <c r="AE11" s="2427">
        <v>0</v>
      </c>
      <c r="AF11" s="2420">
        <f t="shared" si="3"/>
        <v>0</v>
      </c>
      <c r="AG11" s="2412" t="s">
        <v>2070</v>
      </c>
      <c r="AJ11" s="2415"/>
      <c r="AK11" s="2415"/>
    </row>
    <row r="12" spans="1:37" ht="15.75">
      <c r="B12" s="954"/>
      <c r="C12" s="1186"/>
      <c r="D12" s="1181"/>
      <c r="E12" s="1185"/>
      <c r="F12" s="515"/>
      <c r="G12" s="1180"/>
      <c r="H12" s="1186"/>
      <c r="I12" s="1181"/>
      <c r="J12" s="1185"/>
      <c r="M12" s="954"/>
      <c r="Q12" s="2412">
        <v>465280</v>
      </c>
      <c r="R12" s="2412">
        <v>465285</v>
      </c>
      <c r="S12" s="2418">
        <v>99</v>
      </c>
      <c r="T12" s="2423">
        <v>407307</v>
      </c>
      <c r="U12" s="2417" t="s">
        <v>587</v>
      </c>
      <c r="V12" s="2416"/>
      <c r="W12" s="2416"/>
      <c r="X12" s="2420">
        <f t="shared" si="0"/>
        <v>337810</v>
      </c>
      <c r="Y12" s="2422">
        <f>AB12+AE12</f>
        <v>0</v>
      </c>
      <c r="Z12" s="2421">
        <f t="shared" si="1"/>
        <v>337810</v>
      </c>
      <c r="AA12" s="2427">
        <v>337810</v>
      </c>
      <c r="AB12" s="2427">
        <v>0</v>
      </c>
      <c r="AC12" s="2421">
        <f t="shared" si="2"/>
        <v>337810</v>
      </c>
      <c r="AD12" s="2427">
        <v>0</v>
      </c>
      <c r="AE12" s="2427">
        <v>0</v>
      </c>
      <c r="AF12" s="2420">
        <f t="shared" si="3"/>
        <v>0</v>
      </c>
      <c r="AG12" s="2412" t="s">
        <v>2070</v>
      </c>
      <c r="AJ12" s="2415"/>
      <c r="AK12" s="2415"/>
    </row>
    <row r="13" spans="1:37" ht="15.75">
      <c r="A13" s="2102" t="s">
        <v>2062</v>
      </c>
      <c r="B13" s="954"/>
      <c r="C13" s="1186"/>
      <c r="D13" s="1181"/>
      <c r="E13" s="1185"/>
      <c r="F13" s="515"/>
      <c r="G13" s="1180"/>
      <c r="H13" s="1186"/>
      <c r="I13" s="1181"/>
      <c r="J13" s="1185"/>
      <c r="M13" s="954"/>
      <c r="Q13" s="2412">
        <v>445084</v>
      </c>
      <c r="R13" s="2412">
        <v>445089</v>
      </c>
      <c r="S13" s="2418">
        <v>99</v>
      </c>
      <c r="T13" s="2423">
        <v>407311</v>
      </c>
      <c r="U13" s="2417" t="s">
        <v>452</v>
      </c>
      <c r="V13" s="2416"/>
      <c r="W13" s="2416"/>
      <c r="X13" s="2420">
        <f t="shared" si="0"/>
        <v>59647</v>
      </c>
      <c r="Y13" s="2422">
        <f>AB13+AE13</f>
        <v>225445</v>
      </c>
      <c r="Z13" s="2421">
        <f t="shared" si="1"/>
        <v>285092</v>
      </c>
      <c r="AA13" s="2427">
        <v>47548</v>
      </c>
      <c r="AB13" s="2427">
        <v>160350</v>
      </c>
      <c r="AC13" s="2421">
        <f t="shared" si="2"/>
        <v>207898</v>
      </c>
      <c r="AD13" s="2427">
        <v>12099</v>
      </c>
      <c r="AE13" s="2427">
        <v>65095</v>
      </c>
      <c r="AF13" s="2420">
        <f t="shared" si="3"/>
        <v>77194</v>
      </c>
      <c r="AG13" s="2434" t="s">
        <v>2072</v>
      </c>
      <c r="AJ13" s="2415"/>
      <c r="AK13" s="2415"/>
    </row>
    <row r="14" spans="1:37" ht="15.75">
      <c r="A14" s="477" t="s">
        <v>2061</v>
      </c>
      <c r="B14" s="954"/>
      <c r="C14" s="1186"/>
      <c r="D14" s="1181"/>
      <c r="E14" s="1185"/>
      <c r="F14" s="515"/>
      <c r="G14" s="1180"/>
      <c r="H14" s="1186">
        <v>0</v>
      </c>
      <c r="I14" s="1181">
        <f>'G-3.02 PF Def DR&amp;CR'!AC8</f>
        <v>-30596</v>
      </c>
      <c r="J14" s="1185">
        <f t="shared" ref="J14:J20" si="4">H14-I14</f>
        <v>30596</v>
      </c>
      <c r="K14" s="477">
        <v>407230</v>
      </c>
      <c r="M14" s="954"/>
      <c r="Q14" s="2412">
        <v>452690</v>
      </c>
      <c r="R14" s="2412">
        <v>452695</v>
      </c>
      <c r="S14" s="2418">
        <v>99</v>
      </c>
      <c r="T14" s="2423">
        <v>407314</v>
      </c>
      <c r="U14" s="2417" t="s">
        <v>501</v>
      </c>
      <c r="V14" s="2416"/>
      <c r="W14" s="2416"/>
      <c r="X14" s="2420">
        <f t="shared" si="0"/>
        <v>158334</v>
      </c>
      <c r="Y14" s="2422">
        <f>AB14+AE14</f>
        <v>0</v>
      </c>
      <c r="Z14" s="2421">
        <f t="shared" si="1"/>
        <v>158334</v>
      </c>
      <c r="AA14" s="2427">
        <v>0</v>
      </c>
      <c r="AB14" s="2427">
        <v>0</v>
      </c>
      <c r="AC14" s="2421">
        <f t="shared" si="2"/>
        <v>0</v>
      </c>
      <c r="AD14" s="2427">
        <v>158334</v>
      </c>
      <c r="AE14" s="2427">
        <v>0</v>
      </c>
      <c r="AF14" s="2420">
        <f t="shared" si="3"/>
        <v>158334</v>
      </c>
      <c r="AJ14" s="2415"/>
      <c r="AK14" s="2415"/>
    </row>
    <row r="15" spans="1:37" ht="15.75">
      <c r="A15" s="477" t="s">
        <v>2060</v>
      </c>
      <c r="B15" s="954"/>
      <c r="C15" s="1186"/>
      <c r="D15" s="1181"/>
      <c r="E15" s="1185"/>
      <c r="F15" s="515"/>
      <c r="G15" s="1180"/>
      <c r="H15" s="1186">
        <v>0</v>
      </c>
      <c r="I15" s="1181">
        <f>'G-3.02 PF Def DR&amp;CR'!AC9</f>
        <v>2037268</v>
      </c>
      <c r="J15" s="1185">
        <f t="shared" si="4"/>
        <v>-2037268</v>
      </c>
      <c r="K15" s="477">
        <v>407302</v>
      </c>
      <c r="M15" s="954"/>
      <c r="Q15" s="2412">
        <v>445070</v>
      </c>
      <c r="R15" s="2412">
        <v>445075</v>
      </c>
      <c r="S15" s="2418">
        <v>99</v>
      </c>
      <c r="T15" s="2423">
        <v>407319</v>
      </c>
      <c r="U15" s="2417" t="s">
        <v>453</v>
      </c>
      <c r="V15" s="2416"/>
      <c r="W15" s="2416"/>
      <c r="X15" s="2420">
        <f t="shared" si="0"/>
        <v>0</v>
      </c>
      <c r="Y15" s="2422">
        <v>0</v>
      </c>
      <c r="Z15" s="2421">
        <f t="shared" si="1"/>
        <v>0</v>
      </c>
      <c r="AA15" s="2427">
        <v>0</v>
      </c>
      <c r="AB15" s="2427">
        <v>0</v>
      </c>
      <c r="AC15" s="2421">
        <f t="shared" si="2"/>
        <v>0</v>
      </c>
      <c r="AD15" s="2427">
        <v>0</v>
      </c>
      <c r="AE15" s="2427">
        <v>0</v>
      </c>
      <c r="AF15" s="2420">
        <f t="shared" si="3"/>
        <v>0</v>
      </c>
      <c r="AJ15" s="2415"/>
      <c r="AK15" s="2415"/>
    </row>
    <row r="16" spans="1:37" ht="15.75">
      <c r="A16" s="477" t="s">
        <v>2059</v>
      </c>
      <c r="B16" s="954"/>
      <c r="C16" s="1186"/>
      <c r="D16" s="1181"/>
      <c r="E16" s="1185"/>
      <c r="F16" s="515"/>
      <c r="G16" s="1180"/>
      <c r="H16" s="1186">
        <v>0</v>
      </c>
      <c r="I16" s="1181">
        <f>'G-3.02 PF Def DR&amp;CR'!AC18</f>
        <v>48374</v>
      </c>
      <c r="J16" s="1185">
        <f t="shared" si="4"/>
        <v>-48374</v>
      </c>
      <c r="K16" s="477">
        <v>407381</v>
      </c>
      <c r="M16" s="954"/>
      <c r="Q16" s="2412">
        <v>442081</v>
      </c>
      <c r="R16" s="2412">
        <v>442086</v>
      </c>
      <c r="S16" s="2418">
        <v>99</v>
      </c>
      <c r="T16" s="2423">
        <v>407332</v>
      </c>
      <c r="U16" s="2417" t="s">
        <v>454</v>
      </c>
      <c r="V16" s="2416"/>
      <c r="W16" s="2416"/>
      <c r="X16" s="2420">
        <f t="shared" si="0"/>
        <v>0</v>
      </c>
      <c r="Y16" s="2422">
        <v>0</v>
      </c>
      <c r="Z16" s="2421">
        <f t="shared" si="1"/>
        <v>0</v>
      </c>
      <c r="AA16" s="2427">
        <v>0</v>
      </c>
      <c r="AB16" s="2427">
        <v>0</v>
      </c>
      <c r="AC16" s="2421">
        <f t="shared" si="2"/>
        <v>0</v>
      </c>
      <c r="AD16" s="2427">
        <v>0</v>
      </c>
      <c r="AE16" s="2427">
        <v>0</v>
      </c>
      <c r="AF16" s="2420">
        <f t="shared" si="3"/>
        <v>0</v>
      </c>
      <c r="AJ16" s="2415"/>
      <c r="AK16" s="2415"/>
    </row>
    <row r="17" spans="1:37" ht="15.75">
      <c r="A17" s="477" t="s">
        <v>2058</v>
      </c>
      <c r="B17" s="954"/>
      <c r="C17" s="1186"/>
      <c r="D17" s="1181"/>
      <c r="E17" s="1185"/>
      <c r="F17" s="515"/>
      <c r="G17" s="1180"/>
      <c r="H17" s="1186">
        <v>0</v>
      </c>
      <c r="I17" s="1181">
        <f>'G-3.02 PF Def DR&amp;CR'!AC24</f>
        <v>-37628</v>
      </c>
      <c r="J17" s="1185">
        <f t="shared" si="4"/>
        <v>37628</v>
      </c>
      <c r="K17" s="477">
        <v>407452</v>
      </c>
      <c r="M17" s="954"/>
      <c r="Q17" s="2412">
        <v>459519</v>
      </c>
      <c r="R17" s="2412">
        <v>459524</v>
      </c>
      <c r="S17" s="2418">
        <v>99</v>
      </c>
      <c r="T17" s="2429" t="s">
        <v>502</v>
      </c>
      <c r="U17" s="2417" t="s">
        <v>503</v>
      </c>
      <c r="V17" s="2416"/>
      <c r="W17" s="2416"/>
      <c r="X17" s="2420">
        <f t="shared" si="0"/>
        <v>0</v>
      </c>
      <c r="Y17" s="2422">
        <f t="shared" ref="Y17:Y27" si="5">AB17+AE17</f>
        <v>0</v>
      </c>
      <c r="Z17" s="2421">
        <f t="shared" si="1"/>
        <v>0</v>
      </c>
      <c r="AA17" s="2427">
        <v>0</v>
      </c>
      <c r="AB17" s="2427">
        <v>0</v>
      </c>
      <c r="AC17" s="2421">
        <f t="shared" si="2"/>
        <v>0</v>
      </c>
      <c r="AD17" s="2427">
        <v>0</v>
      </c>
      <c r="AE17" s="2427">
        <v>0</v>
      </c>
      <c r="AF17" s="2420">
        <f t="shared" si="3"/>
        <v>0</v>
      </c>
      <c r="AJ17" s="2415"/>
      <c r="AK17" s="2415"/>
    </row>
    <row r="18" spans="1:37" ht="15.75">
      <c r="A18" s="477" t="s">
        <v>2057</v>
      </c>
      <c r="B18" s="954"/>
      <c r="C18" s="1186"/>
      <c r="D18" s="1181"/>
      <c r="E18" s="1185"/>
      <c r="F18" s="515"/>
      <c r="G18" s="1180"/>
      <c r="H18" s="1186">
        <v>0</v>
      </c>
      <c r="I18" s="1181">
        <f>'G-3.02 PF Def DR&amp;CR'!AC26</f>
        <v>-8413</v>
      </c>
      <c r="J18" s="1185">
        <f t="shared" si="4"/>
        <v>8413</v>
      </c>
      <c r="K18" s="477">
        <v>407459</v>
      </c>
      <c r="M18" s="954"/>
      <c r="Q18" s="2412">
        <v>470870</v>
      </c>
      <c r="R18" s="2412">
        <v>470875</v>
      </c>
      <c r="S18" s="2418">
        <v>99</v>
      </c>
      <c r="T18" s="2429" t="s">
        <v>588</v>
      </c>
      <c r="U18" s="2417" t="s">
        <v>589</v>
      </c>
      <c r="V18" s="2416"/>
      <c r="W18" s="2416"/>
      <c r="X18" s="2420">
        <f t="shared" si="0"/>
        <v>53773</v>
      </c>
      <c r="Y18" s="2422">
        <f t="shared" si="5"/>
        <v>0</v>
      </c>
      <c r="Z18" s="2421">
        <f t="shared" si="1"/>
        <v>53773</v>
      </c>
      <c r="AA18" s="2427">
        <v>48374</v>
      </c>
      <c r="AB18" s="2427">
        <v>0</v>
      </c>
      <c r="AC18" s="2428">
        <f t="shared" si="2"/>
        <v>48374</v>
      </c>
      <c r="AD18" s="2435">
        <v>5399</v>
      </c>
      <c r="AE18" s="2435">
        <v>0</v>
      </c>
      <c r="AF18" s="2435">
        <f t="shared" si="3"/>
        <v>5399</v>
      </c>
      <c r="AG18" s="2426" t="s">
        <v>2066</v>
      </c>
      <c r="AH18" s="2425"/>
      <c r="AI18" s="2425"/>
      <c r="AJ18" s="2415"/>
      <c r="AK18" s="2415"/>
    </row>
    <row r="19" spans="1:37" ht="15.75">
      <c r="A19" s="477" t="s">
        <v>2056</v>
      </c>
      <c r="B19" s="954"/>
      <c r="C19" s="1186"/>
      <c r="D19" s="1181"/>
      <c r="E19" s="1185"/>
      <c r="F19" s="515"/>
      <c r="G19" s="1180"/>
      <c r="H19" s="1186">
        <v>0</v>
      </c>
      <c r="I19" s="1181">
        <f>'G-3.02 PF Def DR&amp;CR'!AC27</f>
        <v>-34010</v>
      </c>
      <c r="J19" s="1185">
        <f t="shared" si="4"/>
        <v>34010</v>
      </c>
      <c r="K19" s="477">
        <v>407493</v>
      </c>
      <c r="M19" s="954"/>
      <c r="Q19" s="2412">
        <v>464884</v>
      </c>
      <c r="R19" s="2412">
        <v>464889</v>
      </c>
      <c r="S19" s="2418">
        <v>99</v>
      </c>
      <c r="T19" s="2429" t="s">
        <v>504</v>
      </c>
      <c r="U19" s="2417" t="s">
        <v>505</v>
      </c>
      <c r="V19" s="2416"/>
      <c r="W19" s="2416"/>
      <c r="X19" s="2420">
        <f t="shared" si="0"/>
        <v>-23742</v>
      </c>
      <c r="Y19" s="2422">
        <f t="shared" si="5"/>
        <v>0</v>
      </c>
      <c r="Z19" s="2421">
        <f t="shared" si="1"/>
        <v>-23742</v>
      </c>
      <c r="AA19" s="2427">
        <v>0</v>
      </c>
      <c r="AB19" s="2427">
        <v>0</v>
      </c>
      <c r="AC19" s="2421">
        <f t="shared" si="2"/>
        <v>0</v>
      </c>
      <c r="AD19" s="2427">
        <v>-23742</v>
      </c>
      <c r="AE19" s="2427">
        <v>0</v>
      </c>
      <c r="AF19" s="2420">
        <f t="shared" si="3"/>
        <v>-23742</v>
      </c>
      <c r="AG19" s="2434" t="s">
        <v>2071</v>
      </c>
      <c r="AJ19" s="2415"/>
      <c r="AK19" s="2415"/>
    </row>
    <row r="20" spans="1:37" ht="15.75">
      <c r="A20" s="477" t="s">
        <v>2055</v>
      </c>
      <c r="B20" s="954"/>
      <c r="C20" s="1186"/>
      <c r="D20" s="1181"/>
      <c r="E20" s="1185"/>
      <c r="F20" s="516"/>
      <c r="G20" s="2411"/>
      <c r="H20" s="1186">
        <v>0</v>
      </c>
      <c r="I20" s="1181">
        <f>'G-3.02 PF Def DR&amp;CR'!AC25</f>
        <v>-1731369</v>
      </c>
      <c r="J20" s="1185">
        <f t="shared" si="4"/>
        <v>1731369</v>
      </c>
      <c r="K20" s="477">
        <v>407454</v>
      </c>
      <c r="L20" s="3862" t="s">
        <v>2054</v>
      </c>
      <c r="M20" s="3862"/>
      <c r="Q20" s="2412">
        <v>464898</v>
      </c>
      <c r="R20" s="2412">
        <v>464903</v>
      </c>
      <c r="S20" s="2418">
        <v>99</v>
      </c>
      <c r="T20" s="2429" t="s">
        <v>506</v>
      </c>
      <c r="U20" s="2417" t="s">
        <v>507</v>
      </c>
      <c r="V20" s="2416"/>
      <c r="W20" s="2416"/>
      <c r="X20" s="2420">
        <f t="shared" si="0"/>
        <v>-119254</v>
      </c>
      <c r="Y20" s="2422">
        <f t="shared" si="5"/>
        <v>0</v>
      </c>
      <c r="Z20" s="2421">
        <f t="shared" si="1"/>
        <v>-119254</v>
      </c>
      <c r="AA20" s="2427">
        <v>-48910</v>
      </c>
      <c r="AB20" s="2427">
        <v>0</v>
      </c>
      <c r="AC20" s="2421">
        <f t="shared" si="2"/>
        <v>-48910</v>
      </c>
      <c r="AD20" s="2427">
        <v>-70344</v>
      </c>
      <c r="AE20" s="2427">
        <v>0</v>
      </c>
      <c r="AF20" s="2420">
        <f t="shared" si="3"/>
        <v>-70344</v>
      </c>
      <c r="AG20" s="2434" t="s">
        <v>2071</v>
      </c>
      <c r="AJ20" s="2415"/>
      <c r="AK20" s="2415"/>
    </row>
    <row r="21" spans="1:37" ht="16.5" thickBot="1">
      <c r="C21" s="2410"/>
      <c r="D21" s="1183"/>
      <c r="E21" s="1177"/>
      <c r="F21" s="515"/>
      <c r="G21" s="1180"/>
      <c r="H21" s="2410"/>
      <c r="I21" s="2409"/>
      <c r="J21" s="1185"/>
      <c r="L21" s="3862"/>
      <c r="M21" s="3862"/>
      <c r="Q21" s="2412">
        <v>433084</v>
      </c>
      <c r="R21" s="2412">
        <v>433089</v>
      </c>
      <c r="S21" s="2418">
        <v>99</v>
      </c>
      <c r="T21" s="2429" t="s">
        <v>455</v>
      </c>
      <c r="U21" s="2417" t="s">
        <v>464</v>
      </c>
      <c r="V21" s="2416"/>
      <c r="W21" s="2416"/>
      <c r="X21" s="2420">
        <f t="shared" si="0"/>
        <v>0</v>
      </c>
      <c r="Y21" s="2422">
        <f t="shared" si="5"/>
        <v>0</v>
      </c>
      <c r="Z21" s="2421">
        <f t="shared" si="1"/>
        <v>0</v>
      </c>
      <c r="AA21" s="2427">
        <v>0</v>
      </c>
      <c r="AB21" s="2427">
        <v>0</v>
      </c>
      <c r="AC21" s="2421">
        <f t="shared" si="2"/>
        <v>0</v>
      </c>
      <c r="AD21" s="2427">
        <v>0</v>
      </c>
      <c r="AE21" s="2427">
        <v>0</v>
      </c>
      <c r="AF21" s="2420">
        <f t="shared" si="3"/>
        <v>0</v>
      </c>
      <c r="AG21" s="2412" t="s">
        <v>2070</v>
      </c>
      <c r="AJ21" s="2415"/>
      <c r="AK21" s="2415"/>
    </row>
    <row r="22" spans="1:37" ht="17.25" thickTop="1" thickBot="1">
      <c r="A22" s="477" t="s">
        <v>871</v>
      </c>
      <c r="C22" s="1150">
        <f>SUM(C9:C11)</f>
        <v>-1377.32</v>
      </c>
      <c r="D22" s="1149">
        <f>SUM(D8:D11)</f>
        <v>-1377</v>
      </c>
      <c r="E22" s="1176">
        <f>SUM(E8:E11)</f>
        <v>-0.31999999999993634</v>
      </c>
      <c r="H22" s="1150">
        <f>SUM(H9:H21)</f>
        <v>64.319999999999993</v>
      </c>
      <c r="I22" s="1150">
        <f>SUM(I9:I21)</f>
        <v>243690.32000000007</v>
      </c>
      <c r="J22" s="1176">
        <f>SUM(J9:J21)</f>
        <v>-243626</v>
      </c>
      <c r="L22" s="3862"/>
      <c r="M22" s="3862"/>
      <c r="Q22" s="2412">
        <v>455686</v>
      </c>
      <c r="R22" s="2412">
        <v>455691</v>
      </c>
      <c r="S22" s="2418">
        <v>99</v>
      </c>
      <c r="T22" s="2429" t="s">
        <v>590</v>
      </c>
      <c r="U22" s="2417" t="s">
        <v>591</v>
      </c>
      <c r="V22" s="2416"/>
      <c r="W22" s="2416"/>
      <c r="X22" s="2420">
        <f t="shared" si="0"/>
        <v>-278685</v>
      </c>
      <c r="Y22" s="2422">
        <f t="shared" si="5"/>
        <v>0</v>
      </c>
      <c r="Z22" s="2421">
        <f t="shared" si="1"/>
        <v>-278685</v>
      </c>
      <c r="AA22" s="2427">
        <v>-278685</v>
      </c>
      <c r="AB22" s="2427">
        <v>0</v>
      </c>
      <c r="AC22" s="2421">
        <f t="shared" si="2"/>
        <v>-278685</v>
      </c>
      <c r="AD22" s="2427">
        <v>0</v>
      </c>
      <c r="AE22" s="2427">
        <v>0</v>
      </c>
      <c r="AF22" s="2420">
        <f t="shared" si="3"/>
        <v>0</v>
      </c>
      <c r="AG22" s="2434" t="s">
        <v>2069</v>
      </c>
      <c r="AJ22" s="2415"/>
      <c r="AK22" s="2415"/>
    </row>
    <row r="23" spans="1:37" ht="16.5" thickTop="1">
      <c r="Q23" s="2412">
        <v>457523</v>
      </c>
      <c r="R23" s="2412">
        <v>457528</v>
      </c>
      <c r="S23" s="2418">
        <v>99</v>
      </c>
      <c r="T23" s="2429" t="s">
        <v>508</v>
      </c>
      <c r="U23" s="2417" t="s">
        <v>509</v>
      </c>
      <c r="V23" s="2416"/>
      <c r="W23" s="2416"/>
      <c r="X23" s="2420">
        <f t="shared" si="0"/>
        <v>303710</v>
      </c>
      <c r="Y23" s="2422">
        <f t="shared" si="5"/>
        <v>0</v>
      </c>
      <c r="Z23" s="2421">
        <f t="shared" si="1"/>
        <v>303710</v>
      </c>
      <c r="AA23" s="2427">
        <v>303710</v>
      </c>
      <c r="AB23" s="2427">
        <v>0</v>
      </c>
      <c r="AC23" s="2421">
        <f t="shared" si="2"/>
        <v>303710</v>
      </c>
      <c r="AD23" s="2427">
        <v>0</v>
      </c>
      <c r="AE23" s="2427">
        <v>0</v>
      </c>
      <c r="AF23" s="2420">
        <f t="shared" si="3"/>
        <v>0</v>
      </c>
      <c r="AG23" s="2434" t="s">
        <v>2068</v>
      </c>
      <c r="AJ23" s="2415"/>
      <c r="AK23" s="2415"/>
    </row>
    <row r="24" spans="1:37" ht="15.75">
      <c r="A24" s="477" t="s">
        <v>901</v>
      </c>
      <c r="B24" s="954">
        <v>3</v>
      </c>
      <c r="D24" s="516">
        <v>3425834</v>
      </c>
      <c r="Q24" s="2412">
        <v>475712</v>
      </c>
      <c r="R24" s="2412">
        <v>475717</v>
      </c>
      <c r="S24" s="2418">
        <v>99</v>
      </c>
      <c r="T24" s="2429" t="s">
        <v>592</v>
      </c>
      <c r="U24" s="2417" t="s">
        <v>593</v>
      </c>
      <c r="V24" s="2416"/>
      <c r="W24" s="2416"/>
      <c r="X24" s="2420">
        <f t="shared" si="0"/>
        <v>-37628</v>
      </c>
      <c r="Y24" s="2422">
        <f t="shared" si="5"/>
        <v>0</v>
      </c>
      <c r="Z24" s="2421">
        <f t="shared" si="1"/>
        <v>-37628</v>
      </c>
      <c r="AA24" s="2427">
        <v>-37628</v>
      </c>
      <c r="AB24" s="2427">
        <v>0</v>
      </c>
      <c r="AC24" s="2428">
        <f t="shared" si="2"/>
        <v>-37628</v>
      </c>
      <c r="AD24" s="2433">
        <v>0</v>
      </c>
      <c r="AE24" s="2433">
        <v>0</v>
      </c>
      <c r="AF24" s="2432">
        <f t="shared" si="3"/>
        <v>0</v>
      </c>
      <c r="AG24" s="2426" t="s">
        <v>2066</v>
      </c>
      <c r="AH24" s="2425"/>
      <c r="AI24" s="2425"/>
      <c r="AJ24" s="2415"/>
      <c r="AK24" s="2415"/>
    </row>
    <row r="25" spans="1:37" ht="15.75">
      <c r="A25" s="477" t="s">
        <v>900</v>
      </c>
      <c r="B25" s="954">
        <v>1</v>
      </c>
      <c r="C25" s="515"/>
      <c r="D25" s="1175">
        <v>3922913</v>
      </c>
      <c r="J25" s="888"/>
      <c r="Q25" s="2412">
        <v>471885</v>
      </c>
      <c r="R25" s="2412">
        <v>471890</v>
      </c>
      <c r="S25" s="2418">
        <v>99</v>
      </c>
      <c r="T25" s="2429" t="s">
        <v>594</v>
      </c>
      <c r="U25" s="2417" t="s">
        <v>595</v>
      </c>
      <c r="V25" s="2416"/>
      <c r="W25" s="2416"/>
      <c r="X25" s="2420">
        <f t="shared" si="0"/>
        <v>-2392484</v>
      </c>
      <c r="Y25" s="2422">
        <f t="shared" si="5"/>
        <v>0</v>
      </c>
      <c r="Z25" s="2421">
        <f t="shared" si="1"/>
        <v>-2392484</v>
      </c>
      <c r="AA25" s="2427">
        <v>-1731369</v>
      </c>
      <c r="AB25" s="2427">
        <v>0</v>
      </c>
      <c r="AC25" s="2428">
        <f t="shared" si="2"/>
        <v>-1731369</v>
      </c>
      <c r="AD25" s="2427">
        <v>-661115</v>
      </c>
      <c r="AE25" s="2427">
        <v>0</v>
      </c>
      <c r="AF25" s="2420">
        <f t="shared" si="3"/>
        <v>-661115</v>
      </c>
      <c r="AG25" s="2431" t="s">
        <v>2067</v>
      </c>
      <c r="AH25" s="2430"/>
      <c r="AI25" s="2430"/>
      <c r="AJ25" s="2415"/>
      <c r="AK25" s="2415"/>
    </row>
    <row r="26" spans="1:37" ht="15.75">
      <c r="A26" s="477" t="s">
        <v>899</v>
      </c>
      <c r="B26" s="954">
        <v>2</v>
      </c>
      <c r="C26" s="515"/>
      <c r="D26" s="516">
        <v>15628895</v>
      </c>
      <c r="J26" s="888"/>
      <c r="Q26" s="2412">
        <v>473084</v>
      </c>
      <c r="R26" s="2412">
        <v>473089</v>
      </c>
      <c r="S26" s="2418">
        <v>99</v>
      </c>
      <c r="T26" s="2429" t="s">
        <v>596</v>
      </c>
      <c r="U26" s="2417" t="s">
        <v>597</v>
      </c>
      <c r="V26" s="2416"/>
      <c r="W26" s="2416"/>
      <c r="X26" s="2420">
        <f t="shared" si="0"/>
        <v>-8413</v>
      </c>
      <c r="Y26" s="2422">
        <f t="shared" si="5"/>
        <v>0</v>
      </c>
      <c r="Z26" s="2421">
        <f t="shared" si="1"/>
        <v>-8413</v>
      </c>
      <c r="AA26" s="2427">
        <v>-8413</v>
      </c>
      <c r="AB26" s="2427">
        <v>0</v>
      </c>
      <c r="AC26" s="2428">
        <f t="shared" si="2"/>
        <v>-8413</v>
      </c>
      <c r="AD26" s="2427">
        <v>0</v>
      </c>
      <c r="AE26" s="2427">
        <v>0</v>
      </c>
      <c r="AF26" s="2420">
        <f t="shared" si="3"/>
        <v>0</v>
      </c>
      <c r="AG26" s="2426" t="s">
        <v>2066</v>
      </c>
      <c r="AH26" s="2425"/>
      <c r="AI26" s="2425"/>
      <c r="AJ26" s="2415"/>
      <c r="AK26" s="2415"/>
    </row>
    <row r="27" spans="1:37" ht="15.75">
      <c r="A27" s="477" t="s">
        <v>869</v>
      </c>
      <c r="B27" s="954"/>
      <c r="C27" s="515"/>
      <c r="D27" s="516">
        <v>-13533894</v>
      </c>
      <c r="J27" s="888"/>
      <c r="Q27" s="2412">
        <v>456298</v>
      </c>
      <c r="R27" s="2412">
        <v>456303</v>
      </c>
      <c r="S27" s="2418">
        <v>99</v>
      </c>
      <c r="T27" s="2429" t="s">
        <v>510</v>
      </c>
      <c r="U27" s="2417" t="s">
        <v>598</v>
      </c>
      <c r="V27" s="2416"/>
      <c r="W27" s="2416"/>
      <c r="X27" s="2420">
        <f t="shared" si="0"/>
        <v>-34010</v>
      </c>
      <c r="Y27" s="2422">
        <f t="shared" si="5"/>
        <v>0</v>
      </c>
      <c r="Z27" s="2421">
        <f t="shared" si="1"/>
        <v>-34010</v>
      </c>
      <c r="AA27" s="2427">
        <v>-34010</v>
      </c>
      <c r="AB27" s="2427">
        <v>0</v>
      </c>
      <c r="AC27" s="2428">
        <f t="shared" si="2"/>
        <v>-34010</v>
      </c>
      <c r="AD27" s="2427">
        <v>0</v>
      </c>
      <c r="AE27" s="2427">
        <v>0</v>
      </c>
      <c r="AF27" s="2420">
        <f t="shared" si="3"/>
        <v>0</v>
      </c>
      <c r="AG27" s="2426" t="s">
        <v>2066</v>
      </c>
      <c r="AH27" s="2425"/>
      <c r="AI27" s="2425"/>
      <c r="AJ27" s="2415"/>
      <c r="AK27" s="2415"/>
    </row>
    <row r="28" spans="1:37">
      <c r="A28" s="477" t="s">
        <v>365</v>
      </c>
      <c r="B28" s="954">
        <v>12</v>
      </c>
      <c r="C28" s="515"/>
      <c r="D28" s="516">
        <v>15046912</v>
      </c>
      <c r="J28" s="888"/>
      <c r="AJ28" s="2415"/>
      <c r="AK28" s="2415"/>
    </row>
    <row r="29" spans="1:37">
      <c r="A29" s="477" t="s">
        <v>870</v>
      </c>
      <c r="B29" s="954"/>
      <c r="D29" s="516">
        <v>1594372</v>
      </c>
      <c r="J29" s="888"/>
      <c r="AJ29" s="2415"/>
      <c r="AK29" s="2415"/>
    </row>
    <row r="30" spans="1:37">
      <c r="A30" s="182" t="s">
        <v>898</v>
      </c>
      <c r="B30" s="954"/>
      <c r="C30" s="954"/>
      <c r="D30" s="516">
        <v>9458359</v>
      </c>
      <c r="J30" s="888"/>
      <c r="AA30" s="2415"/>
      <c r="AJ30" s="2415"/>
      <c r="AK30" s="2415"/>
    </row>
    <row r="31" spans="1:37" ht="15">
      <c r="A31" s="477" t="s">
        <v>897</v>
      </c>
      <c r="B31" s="954"/>
      <c r="D31" s="1174">
        <f>SUM(D22:D30)</f>
        <v>35542014</v>
      </c>
      <c r="AJ31" s="2415"/>
      <c r="AK31" s="2415"/>
    </row>
    <row r="32" spans="1:37">
      <c r="D32" s="888"/>
      <c r="AJ32" s="2415"/>
      <c r="AK32" s="2415"/>
    </row>
    <row r="33" spans="9:37">
      <c r="AJ33" s="2415"/>
      <c r="AK33" s="2415"/>
    </row>
    <row r="34" spans="9:37">
      <c r="J34" s="888"/>
      <c r="AJ34" s="2415"/>
      <c r="AK34" s="2415"/>
    </row>
    <row r="35" spans="9:37">
      <c r="I35" s="1144"/>
      <c r="J35" s="888"/>
      <c r="AJ35" s="2415"/>
      <c r="AK35" s="2415"/>
    </row>
    <row r="36" spans="9:37">
      <c r="AJ36" s="2415"/>
      <c r="AK36" s="2415"/>
    </row>
    <row r="37" spans="9:37">
      <c r="J37" s="888"/>
      <c r="AJ37" s="2415"/>
      <c r="AK37" s="2415"/>
    </row>
    <row r="38" spans="9:37">
      <c r="AJ38" s="2415"/>
      <c r="AK38" s="2415"/>
    </row>
    <row r="39" spans="9:37">
      <c r="AJ39" s="2415"/>
      <c r="AK39" s="2415"/>
    </row>
    <row r="40" spans="9:37">
      <c r="AJ40" s="2415"/>
      <c r="AK40" s="2415"/>
    </row>
    <row r="41" spans="9:37">
      <c r="AJ41" s="2415"/>
      <c r="AK41" s="2415"/>
    </row>
    <row r="42" spans="9:37">
      <c r="AJ42" s="2415"/>
      <c r="AK42" s="2415"/>
    </row>
    <row r="43" spans="9:37">
      <c r="AJ43" s="2415"/>
      <c r="AK43" s="2415"/>
    </row>
    <row r="44" spans="9:37">
      <c r="AJ44" s="2415"/>
      <c r="AK44" s="2415"/>
    </row>
    <row r="45" spans="9:37">
      <c r="AJ45" s="2415"/>
      <c r="AK45" s="2415"/>
    </row>
    <row r="46" spans="9:37">
      <c r="AJ46" s="2415"/>
      <c r="AK46" s="2415"/>
    </row>
    <row r="47" spans="9:37">
      <c r="AJ47" s="2415"/>
      <c r="AK47" s="2415"/>
    </row>
    <row r="48" spans="9:37">
      <c r="AJ48" s="2415"/>
      <c r="AK48" s="2415"/>
    </row>
    <row r="49" spans="36:37">
      <c r="AJ49" s="2415"/>
      <c r="AK49" s="2415"/>
    </row>
    <row r="50" spans="36:37">
      <c r="AJ50" s="2415"/>
      <c r="AK50" s="2415"/>
    </row>
    <row r="51" spans="36:37">
      <c r="AJ51" s="2415"/>
      <c r="AK51" s="2415"/>
    </row>
    <row r="52" spans="36:37">
      <c r="AJ52" s="2415"/>
      <c r="AK52" s="2415"/>
    </row>
    <row r="53" spans="36:37">
      <c r="AJ53" s="2415"/>
      <c r="AK53" s="2415"/>
    </row>
    <row r="54" spans="36:37">
      <c r="AJ54" s="2415"/>
      <c r="AK54" s="2415"/>
    </row>
    <row r="55" spans="36:37">
      <c r="AJ55" s="2415"/>
      <c r="AK55" s="2415"/>
    </row>
    <row r="56" spans="36:37">
      <c r="AJ56" s="2415"/>
      <c r="AK56" s="2415"/>
    </row>
    <row r="57" spans="36:37">
      <c r="AJ57" s="2415"/>
      <c r="AK57" s="2415"/>
    </row>
    <row r="58" spans="36:37">
      <c r="AJ58" s="2415"/>
      <c r="AK58" s="2415"/>
    </row>
    <row r="59" spans="36:37">
      <c r="AJ59" s="2415"/>
      <c r="AK59" s="2415"/>
    </row>
    <row r="60" spans="36:37">
      <c r="AJ60" s="2415"/>
      <c r="AK60" s="2415"/>
    </row>
    <row r="61" spans="36:37">
      <c r="AJ61" s="2415"/>
      <c r="AK61" s="2415"/>
    </row>
    <row r="62" spans="36:37">
      <c r="AJ62" s="2415"/>
      <c r="AK62" s="2415"/>
    </row>
    <row r="63" spans="36:37">
      <c r="AJ63" s="2415"/>
      <c r="AK63" s="2415"/>
    </row>
    <row r="64" spans="36:37">
      <c r="AJ64" s="2415"/>
      <c r="AK64" s="2415"/>
    </row>
    <row r="65" spans="36:37">
      <c r="AJ65" s="2415"/>
      <c r="AK65" s="2415"/>
    </row>
    <row r="66" spans="36:37">
      <c r="AJ66" s="2415"/>
      <c r="AK66" s="2415"/>
    </row>
    <row r="67" spans="36:37">
      <c r="AJ67" s="2415"/>
      <c r="AK67" s="2415"/>
    </row>
    <row r="68" spans="36:37">
      <c r="AJ68" s="2415"/>
      <c r="AK68" s="2415"/>
    </row>
    <row r="69" spans="36:37">
      <c r="AJ69" s="2415"/>
      <c r="AK69" s="2415"/>
    </row>
    <row r="70" spans="36:37">
      <c r="AJ70" s="2415"/>
      <c r="AK70" s="2415"/>
    </row>
    <row r="71" spans="36:37">
      <c r="AJ71" s="2415"/>
      <c r="AK71" s="2415"/>
    </row>
    <row r="72" spans="36:37">
      <c r="AJ72" s="2415"/>
      <c r="AK72" s="2415"/>
    </row>
    <row r="73" spans="36:37">
      <c r="AJ73" s="2415"/>
      <c r="AK73" s="2415"/>
    </row>
    <row r="74" spans="36:37">
      <c r="AJ74" s="2415"/>
      <c r="AK74" s="2415"/>
    </row>
    <row r="75" spans="36:37">
      <c r="AJ75" s="2415"/>
      <c r="AK75" s="2415"/>
    </row>
    <row r="76" spans="36:37">
      <c r="AJ76" s="2415"/>
      <c r="AK76" s="2415"/>
    </row>
    <row r="77" spans="36:37">
      <c r="AJ77" s="2415"/>
      <c r="AK77" s="2415"/>
    </row>
    <row r="78" spans="36:37">
      <c r="AJ78" s="2415"/>
      <c r="AK78" s="2415"/>
    </row>
    <row r="79" spans="36:37">
      <c r="AJ79" s="2415"/>
      <c r="AK79" s="2415"/>
    </row>
    <row r="80" spans="36:37">
      <c r="AJ80" s="2415"/>
      <c r="AK80" s="2415"/>
    </row>
    <row r="81" spans="36:37">
      <c r="AJ81" s="2415"/>
      <c r="AK81" s="2415"/>
    </row>
    <row r="82" spans="36:37">
      <c r="AJ82" s="2415"/>
      <c r="AK82" s="2415"/>
    </row>
    <row r="83" spans="36:37">
      <c r="AJ83" s="2415"/>
      <c r="AK83" s="2415"/>
    </row>
    <row r="84" spans="36:37">
      <c r="AJ84" s="2415"/>
      <c r="AK84" s="2415"/>
    </row>
    <row r="85" spans="36:37">
      <c r="AJ85" s="2415"/>
      <c r="AK85" s="2415"/>
    </row>
    <row r="86" spans="36:37">
      <c r="AJ86" s="2415"/>
      <c r="AK86" s="2415"/>
    </row>
    <row r="87" spans="36:37">
      <c r="AJ87" s="2415"/>
      <c r="AK87" s="2415"/>
    </row>
    <row r="88" spans="36:37">
      <c r="AJ88" s="2415"/>
      <c r="AK88" s="2415"/>
    </row>
    <row r="89" spans="36:37">
      <c r="AJ89" s="2415"/>
      <c r="AK89" s="2415"/>
    </row>
    <row r="90" spans="36:37">
      <c r="AJ90" s="2415"/>
      <c r="AK90" s="2415"/>
    </row>
    <row r="91" spans="36:37">
      <c r="AJ91" s="2415"/>
      <c r="AK91" s="2415"/>
    </row>
    <row r="92" spans="36:37">
      <c r="AJ92" s="2415"/>
      <c r="AK92" s="2415"/>
    </row>
    <row r="93" spans="36:37">
      <c r="AJ93" s="2415"/>
      <c r="AK93" s="2415"/>
    </row>
    <row r="94" spans="36:37">
      <c r="AJ94" s="2415"/>
      <c r="AK94" s="2415"/>
    </row>
    <row r="95" spans="36:37">
      <c r="AJ95" s="2415"/>
      <c r="AK95" s="2415"/>
    </row>
    <row r="96" spans="36:37">
      <c r="AJ96" s="2415"/>
      <c r="AK96" s="2415"/>
    </row>
    <row r="97" spans="36:37">
      <c r="AJ97" s="2415"/>
      <c r="AK97" s="2415"/>
    </row>
    <row r="98" spans="36:37">
      <c r="AJ98" s="2415"/>
      <c r="AK98" s="2415"/>
    </row>
    <row r="99" spans="36:37">
      <c r="AJ99" s="2415"/>
      <c r="AK99" s="2415"/>
    </row>
    <row r="100" spans="36:37">
      <c r="AJ100" s="2415"/>
      <c r="AK100" s="2415"/>
    </row>
    <row r="101" spans="36:37">
      <c r="AJ101" s="2415"/>
      <c r="AK101" s="2415"/>
    </row>
    <row r="102" spans="36:37">
      <c r="AJ102" s="2415"/>
      <c r="AK102" s="2415"/>
    </row>
    <row r="103" spans="36:37">
      <c r="AJ103" s="2415"/>
      <c r="AK103" s="2415"/>
    </row>
    <row r="104" spans="36:37">
      <c r="AJ104" s="2415"/>
      <c r="AK104" s="2415"/>
    </row>
    <row r="105" spans="36:37">
      <c r="AJ105" s="2415"/>
      <c r="AK105" s="2415"/>
    </row>
    <row r="106" spans="36:37">
      <c r="AJ106" s="2415"/>
      <c r="AK106" s="2415"/>
    </row>
    <row r="107" spans="36:37">
      <c r="AJ107" s="2415"/>
      <c r="AK107" s="2415"/>
    </row>
    <row r="108" spans="36:37">
      <c r="AJ108" s="2415"/>
      <c r="AK108" s="2415"/>
    </row>
    <row r="109" spans="36:37">
      <c r="AJ109" s="2415"/>
      <c r="AK109" s="2415"/>
    </row>
    <row r="110" spans="36:37">
      <c r="AJ110" s="2415"/>
      <c r="AK110" s="2415"/>
    </row>
    <row r="111" spans="36:37">
      <c r="AJ111" s="2415"/>
      <c r="AK111" s="2415"/>
    </row>
    <row r="112" spans="36:37">
      <c r="AJ112" s="2415"/>
      <c r="AK112" s="2415"/>
    </row>
    <row r="113" spans="36:37">
      <c r="AJ113" s="2415"/>
      <c r="AK113" s="2415"/>
    </row>
    <row r="114" spans="36:37">
      <c r="AJ114" s="2415"/>
      <c r="AK114" s="2415"/>
    </row>
    <row r="115" spans="36:37">
      <c r="AJ115" s="2415"/>
      <c r="AK115" s="2415"/>
    </row>
    <row r="116" spans="36:37">
      <c r="AJ116" s="2415"/>
      <c r="AK116" s="2415"/>
    </row>
    <row r="117" spans="36:37">
      <c r="AJ117" s="2415"/>
      <c r="AK117" s="2415"/>
    </row>
    <row r="118" spans="36:37">
      <c r="AJ118" s="2415"/>
      <c r="AK118" s="2415"/>
    </row>
    <row r="119" spans="36:37">
      <c r="AJ119" s="2415"/>
      <c r="AK119" s="2415"/>
    </row>
    <row r="120" spans="36:37">
      <c r="AJ120" s="2415"/>
      <c r="AK120" s="2415"/>
    </row>
    <row r="121" spans="36:37">
      <c r="AJ121" s="2424"/>
      <c r="AK121" s="2415"/>
    </row>
    <row r="122" spans="36:37">
      <c r="AJ122" s="2424"/>
      <c r="AK122" s="2415"/>
    </row>
    <row r="123" spans="36:37">
      <c r="AJ123" s="2415"/>
      <c r="AK123" s="2415"/>
    </row>
    <row r="124" spans="36:37">
      <c r="AJ124" s="2415"/>
      <c r="AK124" s="2415"/>
    </row>
    <row r="125" spans="36:37">
      <c r="AJ125" s="2415"/>
      <c r="AK125" s="2415"/>
    </row>
    <row r="126" spans="36:37">
      <c r="AJ126" s="2415"/>
      <c r="AK126" s="2415"/>
    </row>
    <row r="127" spans="36:37">
      <c r="AJ127" s="2415"/>
      <c r="AK127" s="2415"/>
    </row>
    <row r="128" spans="36:37">
      <c r="AJ128" s="2415"/>
      <c r="AK128" s="2415"/>
    </row>
    <row r="129" spans="36:37">
      <c r="AJ129" s="2415"/>
      <c r="AK129" s="2415"/>
    </row>
    <row r="130" spans="36:37">
      <c r="AJ130" s="2415"/>
      <c r="AK130" s="2415"/>
    </row>
    <row r="131" spans="36:37">
      <c r="AJ131" s="2424"/>
      <c r="AK131" s="2415"/>
    </row>
    <row r="132" spans="36:37">
      <c r="AJ132" s="2415"/>
      <c r="AK132" s="2415"/>
    </row>
    <row r="133" spans="36:37">
      <c r="AJ133" s="2415"/>
      <c r="AK133" s="2415"/>
    </row>
    <row r="134" spans="36:37">
      <c r="AJ134" s="2415"/>
      <c r="AK134" s="2415"/>
    </row>
    <row r="135" spans="36:37">
      <c r="AJ135" s="2415"/>
      <c r="AK135" s="2415"/>
    </row>
    <row r="136" spans="36:37">
      <c r="AJ136" s="2415"/>
      <c r="AK136" s="2415"/>
    </row>
    <row r="137" spans="36:37">
      <c r="AJ137" s="2424"/>
      <c r="AK137" s="2415"/>
    </row>
    <row r="138" spans="36:37">
      <c r="AJ138" s="2415"/>
      <c r="AK138" s="2415"/>
    </row>
    <row r="139" spans="36:37">
      <c r="AJ139" s="2424"/>
      <c r="AK139" s="2415"/>
    </row>
    <row r="140" spans="36:37">
      <c r="AJ140" s="2424"/>
      <c r="AK140" s="2415"/>
    </row>
    <row r="141" spans="36:37">
      <c r="AJ141" s="2415"/>
      <c r="AK141" s="2415"/>
    </row>
    <row r="142" spans="36:37">
      <c r="AJ142" s="2415"/>
      <c r="AK142" s="2415"/>
    </row>
    <row r="143" spans="36:37">
      <c r="AJ143" s="2415"/>
      <c r="AK143" s="2415"/>
    </row>
    <row r="144" spans="36:37">
      <c r="AJ144" s="2415"/>
      <c r="AK144" s="2415"/>
    </row>
    <row r="145" spans="36:37">
      <c r="AJ145" s="2415"/>
      <c r="AK145" s="2415"/>
    </row>
    <row r="146" spans="36:37">
      <c r="AJ146" s="2415"/>
      <c r="AK146" s="2415"/>
    </row>
    <row r="147" spans="36:37">
      <c r="AJ147" s="2415"/>
      <c r="AK147" s="2415"/>
    </row>
    <row r="148" spans="36:37">
      <c r="AJ148" s="2415"/>
      <c r="AK148" s="2415"/>
    </row>
    <row r="149" spans="36:37">
      <c r="AJ149" s="2415"/>
      <c r="AK149" s="2415"/>
    </row>
    <row r="150" spans="36:37">
      <c r="AJ150" s="2415"/>
      <c r="AK150" s="2415"/>
    </row>
    <row r="151" spans="36:37">
      <c r="AJ151" s="2415"/>
      <c r="AK151" s="2415"/>
    </row>
    <row r="152" spans="36:37">
      <c r="AJ152" s="2415"/>
      <c r="AK152" s="2415"/>
    </row>
    <row r="153" spans="36:37">
      <c r="AJ153" s="2415"/>
      <c r="AK153" s="2415"/>
    </row>
    <row r="154" spans="36:37">
      <c r="AJ154" s="2415"/>
      <c r="AK154" s="2415"/>
    </row>
    <row r="155" spans="36:37">
      <c r="AJ155" s="2415"/>
      <c r="AK155" s="2415"/>
    </row>
    <row r="156" spans="36:37">
      <c r="AJ156" s="2415"/>
      <c r="AK156" s="2415"/>
    </row>
    <row r="157" spans="36:37">
      <c r="AJ157" s="2415"/>
      <c r="AK157" s="2415"/>
    </row>
    <row r="158" spans="36:37">
      <c r="AJ158" s="2415"/>
      <c r="AK158" s="2415"/>
    </row>
    <row r="159" spans="36:37">
      <c r="AJ159" s="2415"/>
      <c r="AK159" s="2415"/>
    </row>
    <row r="160" spans="36:37">
      <c r="AJ160" s="2415"/>
      <c r="AK160" s="2415"/>
    </row>
    <row r="161" spans="36:37">
      <c r="AJ161" s="2415"/>
      <c r="AK161" s="2415"/>
    </row>
    <row r="162" spans="36:37">
      <c r="AJ162" s="2415"/>
      <c r="AK162" s="2415"/>
    </row>
  </sheetData>
  <mergeCells count="9">
    <mergeCell ref="X6:Z6"/>
    <mergeCell ref="AA6:AC6"/>
    <mergeCell ref="AD6:AF6"/>
    <mergeCell ref="L20:M22"/>
    <mergeCell ref="A1:K1"/>
    <mergeCell ref="A2:K2"/>
    <mergeCell ref="A3:K3"/>
    <mergeCell ref="C5:E5"/>
    <mergeCell ref="H5:J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04F95-CD3D-4EAC-B17D-FA4AAFD40A70}">
  <dimension ref="B1:V92"/>
  <sheetViews>
    <sheetView workbookViewId="0"/>
  </sheetViews>
  <sheetFormatPr defaultColWidth="8.85546875" defaultRowHeight="15"/>
  <cols>
    <col min="1" max="1" width="3.42578125" style="477" customWidth="1"/>
    <col min="2" max="2" width="52.7109375" style="477" bestFit="1" customWidth="1"/>
    <col min="3" max="3" width="14.140625" style="477" bestFit="1" customWidth="1"/>
    <col min="4" max="5" width="13.28515625" style="477" bestFit="1" customWidth="1"/>
    <col min="6" max="7" width="11.7109375" style="477" bestFit="1" customWidth="1"/>
    <col min="8" max="8" width="14.28515625" style="477" bestFit="1" customWidth="1"/>
    <col min="9" max="9" width="0.85546875" style="477" customWidth="1"/>
    <col min="10" max="11" width="11.28515625" style="477" bestFit="1" customWidth="1"/>
    <col min="12" max="12" width="10.28515625" style="477" bestFit="1" customWidth="1"/>
    <col min="13" max="13" width="12.28515625" style="477" bestFit="1" customWidth="1"/>
    <col min="14" max="14" width="4.7109375" style="477" customWidth="1"/>
    <col min="15" max="15" width="1.7109375" style="1008" customWidth="1"/>
    <col min="16" max="16" width="8.85546875" style="477"/>
    <col min="17" max="17" width="28.42578125" style="2459" bestFit="1" customWidth="1"/>
    <col min="18" max="18" width="4.28515625" style="2459" customWidth="1"/>
    <col min="19" max="19" width="15.5703125" style="2459" bestFit="1" customWidth="1"/>
    <col min="20" max="22" width="13.7109375" style="2459" bestFit="1" customWidth="1"/>
    <col min="23" max="16384" width="8.85546875" style="477"/>
  </cols>
  <sheetData>
    <row r="1" spans="2:22">
      <c r="B1" s="1230" t="s">
        <v>1204</v>
      </c>
      <c r="Q1" s="2458" t="s">
        <v>2083</v>
      </c>
      <c r="S1" s="2460">
        <v>2023</v>
      </c>
      <c r="T1" s="2460">
        <v>2024</v>
      </c>
      <c r="U1" s="2460">
        <v>2025</v>
      </c>
      <c r="V1" s="2460">
        <v>2026</v>
      </c>
    </row>
    <row r="2" spans="2:22">
      <c r="B2" s="1230" t="s">
        <v>2084</v>
      </c>
      <c r="Q2" s="2458" t="s">
        <v>2085</v>
      </c>
      <c r="S2" s="2461" t="s">
        <v>2086</v>
      </c>
      <c r="T2" s="2461" t="s">
        <v>2086</v>
      </c>
      <c r="U2" s="2461" t="s">
        <v>2086</v>
      </c>
      <c r="V2" s="2461" t="s">
        <v>2086</v>
      </c>
    </row>
    <row r="3" spans="2:22">
      <c r="B3" s="1230" t="s">
        <v>2087</v>
      </c>
      <c r="Q3" s="2458"/>
      <c r="S3" s="2461" t="s">
        <v>2088</v>
      </c>
      <c r="T3" s="2461" t="s">
        <v>2088</v>
      </c>
      <c r="U3" s="2461" t="s">
        <v>2088</v>
      </c>
      <c r="V3" s="2461" t="s">
        <v>2088</v>
      </c>
    </row>
    <row r="4" spans="2:22">
      <c r="B4" s="1230"/>
      <c r="Q4" s="2458"/>
    </row>
    <row r="5" spans="2:22" ht="30">
      <c r="C5" s="1192" t="s">
        <v>2089</v>
      </c>
      <c r="D5" s="1192" t="s">
        <v>2090</v>
      </c>
      <c r="E5" s="1192" t="s">
        <v>68</v>
      </c>
      <c r="F5" s="1192" t="s">
        <v>2091</v>
      </c>
      <c r="G5" s="1192" t="s">
        <v>2092</v>
      </c>
      <c r="H5" s="1192" t="s">
        <v>2093</v>
      </c>
      <c r="Q5" s="2459" t="s">
        <v>2094</v>
      </c>
      <c r="R5" s="2459" t="s">
        <v>678</v>
      </c>
      <c r="S5" s="2462">
        <v>0</v>
      </c>
      <c r="T5" s="2462">
        <v>0</v>
      </c>
      <c r="U5" s="2462">
        <v>0</v>
      </c>
      <c r="V5" s="2462">
        <v>0</v>
      </c>
    </row>
    <row r="6" spans="2:22">
      <c r="B6" s="477" t="s">
        <v>2095</v>
      </c>
      <c r="Q6" s="2459" t="s">
        <v>2096</v>
      </c>
      <c r="R6" s="2459" t="s">
        <v>696</v>
      </c>
      <c r="S6" s="2462">
        <v>-73551.136152761988</v>
      </c>
      <c r="T6" s="2462">
        <v>-68685.569626091499</v>
      </c>
      <c r="U6" s="2462">
        <v>-68685.569626091499</v>
      </c>
      <c r="V6" s="2462">
        <v>-68685.569626091499</v>
      </c>
    </row>
    <row r="7" spans="2:22">
      <c r="B7" s="516" t="s">
        <v>2146</v>
      </c>
      <c r="C7" s="516">
        <v>-6023760.3061791752</v>
      </c>
      <c r="D7" s="516">
        <v>-3004440.8863970251</v>
      </c>
      <c r="E7" s="516">
        <v>-1249066.8472932875</v>
      </c>
      <c r="F7" s="516">
        <v>-484416.50996551267</v>
      </c>
      <c r="G7" s="516">
        <v>-819066.83016500005</v>
      </c>
      <c r="H7" s="516">
        <f>SUM(C7:G7)</f>
        <v>-11580751.380000001</v>
      </c>
      <c r="Q7" s="2459" t="s">
        <v>2097</v>
      </c>
      <c r="R7" s="2459" t="s">
        <v>678</v>
      </c>
      <c r="S7" s="2462">
        <v>-57933.605319529153</v>
      </c>
      <c r="T7" s="2462">
        <v>-60013.474405394249</v>
      </c>
      <c r="U7" s="2462">
        <v>-60013.474405394249</v>
      </c>
      <c r="V7" s="2462">
        <v>-60013.474405394249</v>
      </c>
    </row>
    <row r="8" spans="2:22">
      <c r="J8" s="2463" t="s">
        <v>729</v>
      </c>
      <c r="K8" s="2463" t="s">
        <v>786</v>
      </c>
      <c r="L8" s="2463" t="s">
        <v>965</v>
      </c>
      <c r="M8" s="2464"/>
      <c r="Q8" s="2459" t="s">
        <v>2098</v>
      </c>
      <c r="R8" s="2459" t="s">
        <v>696</v>
      </c>
      <c r="S8" s="2462">
        <v>-133485.51166666666</v>
      </c>
      <c r="T8" s="2462">
        <v>-266971.02333333332</v>
      </c>
      <c r="U8" s="2462">
        <v>-266971.02333333332</v>
      </c>
      <c r="V8" s="2462">
        <v>0</v>
      </c>
    </row>
    <row r="9" spans="2:22">
      <c r="B9" s="477" t="s">
        <v>2099</v>
      </c>
      <c r="C9" s="2409">
        <f>J9*D23</f>
        <v>-5931833.8867771076</v>
      </c>
      <c r="D9" s="2409">
        <f>J9*E23</f>
        <v>-2929188.0076362109</v>
      </c>
      <c r="E9" s="2409">
        <f>K9*F23</f>
        <v>-1113202.8307283374</v>
      </c>
      <c r="F9" s="2409">
        <f>K9*G23</f>
        <v>-438385.87209598371</v>
      </c>
      <c r="G9" s="2409">
        <f>L9</f>
        <v>-809931.02185005299</v>
      </c>
      <c r="H9" s="2409">
        <f>SUM(C9:G9)</f>
        <v>-11222541.619087692</v>
      </c>
      <c r="J9" s="515">
        <f>'G-3.03 PF EDIT'!T80</f>
        <v>-8861021.8944133185</v>
      </c>
      <c r="K9" s="515">
        <f>'G-3.03 PF EDIT'!U80</f>
        <v>-1551588.7028243211</v>
      </c>
      <c r="L9" s="515">
        <f>'G-3.03 PF EDIT'!V80</f>
        <v>-809931.02185005299</v>
      </c>
      <c r="M9" s="888">
        <f>SUM(J9:L9)</f>
        <v>-11222541.619087692</v>
      </c>
      <c r="Q9" s="2459" t="s">
        <v>2100</v>
      </c>
      <c r="R9" s="2459" t="s">
        <v>696</v>
      </c>
      <c r="S9" s="2462">
        <v>-266272.44500000001</v>
      </c>
      <c r="T9" s="2462">
        <v>-266272.44499999995</v>
      </c>
      <c r="U9" s="2462">
        <v>-266272.44499999995</v>
      </c>
      <c r="V9" s="2462">
        <v>0</v>
      </c>
    </row>
    <row r="10" spans="2:22" ht="15.75" thickBot="1">
      <c r="M10" s="888">
        <f>M9-'G-3.03 PF EDIT'!S80</f>
        <v>0</v>
      </c>
      <c r="Q10" s="2459" t="s">
        <v>2101</v>
      </c>
      <c r="R10" s="2459" t="s">
        <v>696</v>
      </c>
      <c r="S10" s="2462">
        <v>-131867.93333333332</v>
      </c>
      <c r="T10" s="2462">
        <v>-263735.86666666664</v>
      </c>
      <c r="U10" s="2462">
        <v>-263735.86666666664</v>
      </c>
      <c r="V10" s="2462">
        <v>0</v>
      </c>
    </row>
    <row r="11" spans="2:22" ht="16.5" thickTop="1" thickBot="1">
      <c r="B11" s="477" t="s">
        <v>2102</v>
      </c>
      <c r="C11" s="2465">
        <f t="shared" ref="C11:H11" si="0">C9-C7</f>
        <v>91926.41940206755</v>
      </c>
      <c r="D11" s="888">
        <f t="shared" si="0"/>
        <v>75252.878760814201</v>
      </c>
      <c r="E11" s="2465">
        <f t="shared" si="0"/>
        <v>135864.01656495011</v>
      </c>
      <c r="F11" s="888">
        <f t="shared" si="0"/>
        <v>46030.63786952896</v>
      </c>
      <c r="G11" s="888">
        <f t="shared" si="0"/>
        <v>9135.8083149470622</v>
      </c>
      <c r="H11" s="888">
        <f t="shared" si="0"/>
        <v>358209.76091230847</v>
      </c>
      <c r="Q11" s="2459" t="s">
        <v>2103</v>
      </c>
      <c r="R11" s="2459" t="s">
        <v>696</v>
      </c>
      <c r="S11" s="2462">
        <v>-349053.99249999999</v>
      </c>
      <c r="T11" s="2462">
        <v>-349053.99250000005</v>
      </c>
      <c r="U11" s="2462">
        <v>-349053.99250000005</v>
      </c>
      <c r="V11" s="2462">
        <v>0</v>
      </c>
    </row>
    <row r="12" spans="2:22" ht="15.75" thickTop="1">
      <c r="J12" s="2463" t="s">
        <v>729</v>
      </c>
      <c r="K12" s="2463" t="s">
        <v>786</v>
      </c>
      <c r="L12" s="2463" t="s">
        <v>965</v>
      </c>
      <c r="M12" s="2464"/>
      <c r="Q12" s="2459" t="s">
        <v>2104</v>
      </c>
      <c r="R12" s="2459" t="s">
        <v>696</v>
      </c>
      <c r="S12" s="2462">
        <v>-2487.3327355022338</v>
      </c>
      <c r="T12" s="2462">
        <v>-2874.1653056676691</v>
      </c>
      <c r="U12" s="2462">
        <v>-2874.1653056676691</v>
      </c>
      <c r="V12" s="2462">
        <v>-2874.1653056676691</v>
      </c>
    </row>
    <row r="13" spans="2:22">
      <c r="B13" s="477" t="s">
        <v>2105</v>
      </c>
      <c r="C13" s="2409">
        <f>J13*D23</f>
        <v>-5164644.7963487823</v>
      </c>
      <c r="D13" s="2409">
        <f>J13*E23</f>
        <v>-2550343.7705645356</v>
      </c>
      <c r="E13" s="2409">
        <f>K13*F23</f>
        <v>-1113202.8307283374</v>
      </c>
      <c r="F13" s="2409">
        <f>K13*G23</f>
        <v>-438385.87209598371</v>
      </c>
      <c r="G13" s="2409">
        <f>L13</f>
        <v>-809931.02185005299</v>
      </c>
      <c r="H13" s="2409">
        <f>SUM(C13:G13)</f>
        <v>-10076508.291587692</v>
      </c>
      <c r="J13" s="515">
        <f>'G-3.03 PF EDIT'!T90</f>
        <v>-7714988.5669133179</v>
      </c>
      <c r="K13" s="515">
        <f>'G-3.03 PF EDIT'!U90</f>
        <v>-1551588.7028243211</v>
      </c>
      <c r="L13" s="515">
        <f>'G-3.03 PF EDIT'!V90</f>
        <v>-809931.02185005299</v>
      </c>
      <c r="M13" s="888">
        <f>SUM(J13:L13)</f>
        <v>-10076508.291587692</v>
      </c>
      <c r="Q13" s="2459" t="s">
        <v>2106</v>
      </c>
      <c r="R13" s="2459" t="s">
        <v>696</v>
      </c>
      <c r="S13" s="2462">
        <v>-17103.905024215837</v>
      </c>
      <c r="T13" s="2462">
        <v>-19763.922096297258</v>
      </c>
      <c r="U13" s="2462">
        <v>-19763.922096297258</v>
      </c>
      <c r="V13" s="2462">
        <v>-19763.922096297258</v>
      </c>
    </row>
    <row r="14" spans="2:22" ht="15.75" thickBot="1">
      <c r="M14" s="888">
        <f>M13-'G-3.03 PF EDIT'!S90</f>
        <v>0</v>
      </c>
      <c r="Q14" s="2459" t="s">
        <v>2107</v>
      </c>
      <c r="R14" s="2459" t="s">
        <v>678</v>
      </c>
      <c r="S14" s="2462">
        <v>0</v>
      </c>
      <c r="T14" s="2462">
        <v>0</v>
      </c>
      <c r="U14" s="2462">
        <v>0</v>
      </c>
      <c r="V14" s="2462">
        <v>0</v>
      </c>
    </row>
    <row r="15" spans="2:22" ht="16.5" thickTop="1" thickBot="1">
      <c r="B15" s="477" t="s">
        <v>2108</v>
      </c>
      <c r="C15" s="2465">
        <f t="shared" ref="C15:H15" si="1">C13-C9</f>
        <v>767189.09042832535</v>
      </c>
      <c r="D15" s="888">
        <f t="shared" si="1"/>
        <v>378844.23707167525</v>
      </c>
      <c r="E15" s="2465">
        <f t="shared" si="1"/>
        <v>0</v>
      </c>
      <c r="F15" s="888">
        <f t="shared" si="1"/>
        <v>0</v>
      </c>
      <c r="G15" s="888">
        <f t="shared" si="1"/>
        <v>0</v>
      </c>
      <c r="H15" s="888">
        <f t="shared" si="1"/>
        <v>1146033.3275000006</v>
      </c>
      <c r="Q15" s="2459" t="s">
        <v>2109</v>
      </c>
      <c r="R15" s="2459" t="s">
        <v>696</v>
      </c>
      <c r="S15" s="2462">
        <v>-599626.26493689884</v>
      </c>
      <c r="T15" s="2462">
        <v>-562437.09741693421</v>
      </c>
      <c r="U15" s="2462">
        <v>-562437.09741693421</v>
      </c>
      <c r="V15" s="2462">
        <v>-562437.09741693421</v>
      </c>
    </row>
    <row r="16" spans="2:22" ht="15.75" thickTop="1">
      <c r="Q16" s="2459" t="s">
        <v>2110</v>
      </c>
      <c r="R16" s="2459" t="s">
        <v>696</v>
      </c>
      <c r="S16" s="2462">
        <v>0</v>
      </c>
      <c r="T16" s="2462">
        <v>0</v>
      </c>
      <c r="U16" s="2462">
        <v>0</v>
      </c>
      <c r="V16" s="2462">
        <v>0</v>
      </c>
    </row>
    <row r="17" spans="2:22">
      <c r="Q17" s="2459" t="s">
        <v>2111</v>
      </c>
      <c r="R17" s="2459" t="s">
        <v>696</v>
      </c>
      <c r="S17" s="2462">
        <v>-2113752.8177702436</v>
      </c>
      <c r="T17" s="2462">
        <v>-2371867.4589507901</v>
      </c>
      <c r="U17" s="2462">
        <v>-2371867.4589507901</v>
      </c>
      <c r="V17" s="2462">
        <v>-2371867.4589507901</v>
      </c>
    </row>
    <row r="18" spans="2:22">
      <c r="B18" s="477" t="s">
        <v>2112</v>
      </c>
      <c r="Q18" s="2466" t="s">
        <v>2113</v>
      </c>
      <c r="R18" s="2466" t="s">
        <v>2114</v>
      </c>
      <c r="S18" s="2462">
        <v>-1016331.6655042091</v>
      </c>
      <c r="T18" s="2462">
        <v>-1048414.97602252</v>
      </c>
      <c r="U18" s="2462">
        <v>-1048414.97602252</v>
      </c>
      <c r="V18" s="2462">
        <v>-1048414.97602252</v>
      </c>
    </row>
    <row r="19" spans="2:22">
      <c r="Q19" s="2459" t="s">
        <v>2115</v>
      </c>
      <c r="R19" s="2459" t="s">
        <v>678</v>
      </c>
      <c r="S19" s="2462">
        <v>-389746.29027622112</v>
      </c>
      <c r="T19" s="2462">
        <v>-357171.02755238768</v>
      </c>
      <c r="U19" s="2462">
        <v>-357171.02755238768</v>
      </c>
      <c r="V19" s="2462">
        <v>-357171.02755238768</v>
      </c>
    </row>
    <row r="20" spans="2:22">
      <c r="Q20" s="2459" t="s">
        <v>2116</v>
      </c>
      <c r="R20" s="2459" t="s">
        <v>678</v>
      </c>
      <c r="S20" s="2462">
        <v>-2158506.4500933788</v>
      </c>
      <c r="T20" s="2462">
        <v>-1224199.3380791394</v>
      </c>
      <c r="U20" s="2462">
        <v>-1224199.3380791394</v>
      </c>
      <c r="V20" s="2462">
        <v>-1224199.3380791394</v>
      </c>
    </row>
    <row r="21" spans="2:22">
      <c r="Q21" s="2459" t="s">
        <v>2117</v>
      </c>
      <c r="R21" s="2459" t="s">
        <v>696</v>
      </c>
      <c r="S21" s="2462">
        <v>-1109954.9564576508</v>
      </c>
      <c r="T21" s="2462">
        <v>-1185813.8051129784</v>
      </c>
      <c r="U21" s="2462">
        <v>-1185813.8051129784</v>
      </c>
      <c r="V21" s="2462">
        <v>-1185813.8051129784</v>
      </c>
    </row>
    <row r="22" spans="2:22" ht="23.25">
      <c r="D22" s="2467" t="s">
        <v>2089</v>
      </c>
      <c r="E22" s="2467" t="s">
        <v>2090</v>
      </c>
      <c r="F22" s="2467" t="s">
        <v>68</v>
      </c>
      <c r="G22" s="2467" t="s">
        <v>2091</v>
      </c>
      <c r="H22" s="2467"/>
      <c r="Q22" s="2459" t="s">
        <v>2118</v>
      </c>
      <c r="R22" s="2459" t="s">
        <v>696</v>
      </c>
      <c r="S22" s="2462">
        <v>-11704.135848457989</v>
      </c>
      <c r="T22" s="2462">
        <v>-11704.135848457989</v>
      </c>
      <c r="U22" s="2462">
        <v>-11704.135848457989</v>
      </c>
      <c r="V22" s="2462">
        <v>-11704.135848457989</v>
      </c>
    </row>
    <row r="23" spans="2:22">
      <c r="B23" s="2468" t="s">
        <v>2119</v>
      </c>
      <c r="C23" s="2468"/>
      <c r="D23" s="2469">
        <v>0.66942999999999997</v>
      </c>
      <c r="E23" s="2469">
        <v>0.33057000000000003</v>
      </c>
      <c r="F23" s="2469">
        <v>0.71745999999999999</v>
      </c>
      <c r="G23" s="2469">
        <v>0.28254000000000001</v>
      </c>
      <c r="Q23" s="2459" t="s">
        <v>2120</v>
      </c>
      <c r="R23" s="2459" t="s">
        <v>678</v>
      </c>
      <c r="S23" s="2462">
        <v>-886313.66017899511</v>
      </c>
      <c r="T23" s="2462">
        <v>-785041.42665082938</v>
      </c>
      <c r="U23" s="2462">
        <v>-785041.42665082938</v>
      </c>
      <c r="V23" s="2462">
        <v>-785041.42665082938</v>
      </c>
    </row>
    <row r="24" spans="2:22">
      <c r="Q24" s="2459" t="s">
        <v>2121</v>
      </c>
      <c r="R24" s="2459" t="s">
        <v>696</v>
      </c>
      <c r="S24" s="2462">
        <v>-332453.31186214578</v>
      </c>
      <c r="T24" s="2462">
        <v>-261025.92303541666</v>
      </c>
      <c r="U24" s="2462">
        <v>-261025.92303541666</v>
      </c>
      <c r="V24" s="2462">
        <v>-261025.92303541666</v>
      </c>
    </row>
    <row r="25" spans="2:22">
      <c r="Q25" s="2459" t="s">
        <v>2122</v>
      </c>
      <c r="R25" s="2459" t="s">
        <v>696</v>
      </c>
      <c r="S25" s="2462">
        <v>-31913.432953218478</v>
      </c>
      <c r="T25" s="2462">
        <v>-15102.751651162727</v>
      </c>
      <c r="U25" s="2462">
        <v>-15102.751651162727</v>
      </c>
      <c r="V25" s="2462">
        <v>-15102.751651162727</v>
      </c>
    </row>
    <row r="26" spans="2:22">
      <c r="Q26" s="2459" t="s">
        <v>2123</v>
      </c>
      <c r="R26" s="2459" t="s">
        <v>678</v>
      </c>
      <c r="S26" s="2462">
        <v>-2682.0197793311781</v>
      </c>
      <c r="T26" s="2462">
        <v>-3426.6108561995466</v>
      </c>
      <c r="U26" s="2462">
        <v>-3426.6108561995466</v>
      </c>
      <c r="V26" s="2462">
        <v>-3426.6108561995466</v>
      </c>
    </row>
    <row r="27" spans="2:22">
      <c r="Q27" s="2459" t="s">
        <v>2124</v>
      </c>
      <c r="R27" s="2459" t="s">
        <v>678</v>
      </c>
      <c r="S27" s="2462">
        <v>0</v>
      </c>
      <c r="T27" s="2462">
        <v>0</v>
      </c>
      <c r="U27" s="2462">
        <v>0</v>
      </c>
      <c r="V27" s="2462">
        <v>0</v>
      </c>
    </row>
    <row r="28" spans="2:22">
      <c r="Q28" s="2466" t="s">
        <v>2125</v>
      </c>
      <c r="R28" s="2466" t="s">
        <v>2126</v>
      </c>
      <c r="S28" s="2462">
        <v>-499220.33736097091</v>
      </c>
      <c r="T28" s="2462">
        <v>-586870.61949151836</v>
      </c>
      <c r="U28" s="2462">
        <v>-586870.61949151836</v>
      </c>
      <c r="V28" s="2462">
        <v>-586870.61949151836</v>
      </c>
    </row>
    <row r="29" spans="2:22">
      <c r="Q29" s="2459" t="s">
        <v>2127</v>
      </c>
      <c r="R29" s="2459" t="s">
        <v>696</v>
      </c>
      <c r="S29" s="2462">
        <v>-65927.411558100765</v>
      </c>
      <c r="T29" s="2462">
        <v>-61155.082783642829</v>
      </c>
      <c r="U29" s="2462">
        <v>-61155.082783642829</v>
      </c>
      <c r="V29" s="2462">
        <v>-61155.082783642829</v>
      </c>
    </row>
    <row r="30" spans="2:22">
      <c r="Q30" s="2459" t="s">
        <v>2128</v>
      </c>
      <c r="R30" s="2459" t="s">
        <v>696</v>
      </c>
      <c r="S30" s="2462">
        <v>-334064.79485660227</v>
      </c>
      <c r="T30" s="2462">
        <v>-309419.62902373925</v>
      </c>
      <c r="U30" s="2462">
        <v>-309419.62902373925</v>
      </c>
      <c r="V30" s="2462">
        <v>-309419.62902373925</v>
      </c>
    </row>
    <row r="31" spans="2:22">
      <c r="Q31" s="2459" t="s">
        <v>2129</v>
      </c>
      <c r="R31" s="2459" t="s">
        <v>678</v>
      </c>
      <c r="S31" s="2462">
        <v>0</v>
      </c>
      <c r="T31" s="2462">
        <v>0</v>
      </c>
      <c r="U31" s="2462">
        <v>0</v>
      </c>
      <c r="V31" s="2462">
        <v>0</v>
      </c>
    </row>
    <row r="32" spans="2:22">
      <c r="Q32" s="2459" t="s">
        <v>2130</v>
      </c>
      <c r="R32" s="2459" t="s">
        <v>696</v>
      </c>
      <c r="S32" s="2462">
        <v>0</v>
      </c>
      <c r="T32" s="2462">
        <v>0</v>
      </c>
      <c r="U32" s="2462">
        <v>0</v>
      </c>
      <c r="V32" s="2462">
        <v>0</v>
      </c>
    </row>
    <row r="33" spans="17:22">
      <c r="Q33" s="2459" t="s">
        <v>2131</v>
      </c>
      <c r="R33" s="2459" t="s">
        <v>2114</v>
      </c>
      <c r="S33" s="2462">
        <v>0</v>
      </c>
      <c r="T33" s="2462">
        <v>0</v>
      </c>
      <c r="U33" s="2462">
        <v>0</v>
      </c>
      <c r="V33" s="2462">
        <v>0</v>
      </c>
    </row>
    <row r="34" spans="17:22">
      <c r="Q34" s="2459" t="s">
        <v>2132</v>
      </c>
      <c r="R34" s="2459" t="s">
        <v>696</v>
      </c>
      <c r="S34" s="2462">
        <v>-2871.1690750870421</v>
      </c>
      <c r="T34" s="2462">
        <v>-3059.5280304045868</v>
      </c>
      <c r="U34" s="2462">
        <v>-3059.5280304045868</v>
      </c>
      <c r="V34" s="2462">
        <v>-3059.5280304045868</v>
      </c>
    </row>
    <row r="35" spans="17:22">
      <c r="Q35" s="2459" t="s">
        <v>2133</v>
      </c>
      <c r="R35" s="2459" t="s">
        <v>678</v>
      </c>
      <c r="S35" s="2462">
        <v>0</v>
      </c>
      <c r="T35" s="2462">
        <v>0</v>
      </c>
      <c r="U35" s="2462">
        <v>0</v>
      </c>
      <c r="V35" s="2462">
        <v>0</v>
      </c>
    </row>
    <row r="36" spans="17:22">
      <c r="Q36" s="2459" t="s">
        <v>2134</v>
      </c>
      <c r="R36" s="2459" t="s">
        <v>696</v>
      </c>
      <c r="S36" s="2462">
        <v>0</v>
      </c>
      <c r="T36" s="2462">
        <v>0</v>
      </c>
      <c r="U36" s="2462">
        <v>0</v>
      </c>
      <c r="V36" s="2462">
        <v>0</v>
      </c>
    </row>
    <row r="37" spans="17:22">
      <c r="Q37" s="2459" t="s">
        <v>2135</v>
      </c>
      <c r="R37" s="2459" t="s">
        <v>2114</v>
      </c>
      <c r="S37" s="2462">
        <v>0</v>
      </c>
      <c r="T37" s="2462">
        <v>0</v>
      </c>
      <c r="U37" s="2462">
        <v>0</v>
      </c>
      <c r="V37" s="2462">
        <v>0</v>
      </c>
    </row>
    <row r="38" spans="17:22">
      <c r="Q38" s="2459" t="s">
        <v>664</v>
      </c>
      <c r="R38" s="2459" t="s">
        <v>696</v>
      </c>
      <c r="S38" s="2462">
        <v>-985236.7128755342</v>
      </c>
      <c r="T38" s="2462">
        <v>-1138461.7496481203</v>
      </c>
      <c r="U38" s="2462">
        <v>-1138461.7496481203</v>
      </c>
      <c r="V38" s="2462">
        <v>-1138461.7496481203</v>
      </c>
    </row>
    <row r="40" spans="17:22">
      <c r="Q40" s="2459" t="s">
        <v>24</v>
      </c>
      <c r="S40" s="2462">
        <f>SUM(S5:S38)</f>
        <v>-11572061.293119056</v>
      </c>
      <c r="T40" s="2462">
        <f>SUM(T5:T38)</f>
        <v>-11222541.619087692</v>
      </c>
      <c r="U40" s="2462">
        <f>SUM(U5:U38)</f>
        <v>-11222541.619087692</v>
      </c>
      <c r="V40" s="2462">
        <f>SUM(V5:V38)</f>
        <v>-10076508.291587694</v>
      </c>
    </row>
    <row r="41" spans="17:22">
      <c r="Q41" s="2470" t="s">
        <v>2136</v>
      </c>
      <c r="S41" s="2462"/>
      <c r="T41" s="2471"/>
      <c r="U41" s="2471"/>
      <c r="V41" s="2471"/>
    </row>
    <row r="42" spans="17:22">
      <c r="S42" s="2462"/>
    </row>
    <row r="43" spans="17:22">
      <c r="Q43" s="2472" t="s">
        <v>2137</v>
      </c>
      <c r="S43" s="2462"/>
    </row>
    <row r="44" spans="17:22">
      <c r="Q44" s="2459" t="s">
        <v>2138</v>
      </c>
      <c r="S44" s="2473">
        <f>SUM(T44:V44)</f>
        <v>0.99999999999999989</v>
      </c>
      <c r="T44" s="2474">
        <v>0.70111999999999997</v>
      </c>
      <c r="U44" s="2474">
        <v>0.20707999999999999</v>
      </c>
      <c r="V44" s="2474">
        <v>9.1800000000000007E-2</v>
      </c>
    </row>
    <row r="45" spans="17:22">
      <c r="Q45" s="2475"/>
      <c r="S45" s="2462"/>
    </row>
    <row r="46" spans="17:22">
      <c r="Q46" s="2459" t="s">
        <v>729</v>
      </c>
      <c r="R46" s="2476" t="s">
        <v>696</v>
      </c>
      <c r="S46" s="2462">
        <f t="shared" ref="S46:V49" si="2">SUMIFS(S$5:S$38,$R$5:$R$38,$R46)</f>
        <v>-6561327.264606419</v>
      </c>
      <c r="T46" s="2462">
        <f t="shared" si="2"/>
        <v>-7157404.1460297033</v>
      </c>
      <c r="U46" s="2462">
        <f t="shared" si="2"/>
        <v>-7157404.1460297033</v>
      </c>
      <c r="V46" s="2462">
        <f t="shared" si="2"/>
        <v>-6011370.8185297037</v>
      </c>
    </row>
    <row r="47" spans="17:22">
      <c r="Q47" s="2459" t="s">
        <v>786</v>
      </c>
      <c r="R47" s="2476" t="s">
        <v>2114</v>
      </c>
      <c r="S47" s="2462">
        <f t="shared" si="2"/>
        <v>-1016331.6655042091</v>
      </c>
      <c r="T47" s="2462">
        <f t="shared" si="2"/>
        <v>-1048414.97602252</v>
      </c>
      <c r="U47" s="2462">
        <f t="shared" si="2"/>
        <v>-1048414.97602252</v>
      </c>
      <c r="V47" s="2462">
        <f t="shared" si="2"/>
        <v>-1048414.97602252</v>
      </c>
    </row>
    <row r="48" spans="17:22">
      <c r="Q48" s="2459" t="s">
        <v>2139</v>
      </c>
      <c r="R48" s="2477" t="s">
        <v>2126</v>
      </c>
      <c r="S48" s="2462">
        <f t="shared" si="2"/>
        <v>-499220.33736097091</v>
      </c>
      <c r="T48" s="2462">
        <f t="shared" si="2"/>
        <v>-586870.61949151836</v>
      </c>
      <c r="U48" s="2462">
        <f t="shared" si="2"/>
        <v>-586870.61949151836</v>
      </c>
      <c r="V48" s="2462">
        <f t="shared" si="2"/>
        <v>-586870.61949151836</v>
      </c>
    </row>
    <row r="49" spans="17:22">
      <c r="Q49" s="2459" t="s">
        <v>2140</v>
      </c>
      <c r="R49" s="2476" t="s">
        <v>678</v>
      </c>
      <c r="S49" s="2462">
        <f t="shared" si="2"/>
        <v>-3495182.0256474554</v>
      </c>
      <c r="T49" s="2462">
        <f t="shared" si="2"/>
        <v>-2429851.8775439505</v>
      </c>
      <c r="U49" s="2462">
        <f t="shared" si="2"/>
        <v>-2429851.8775439505</v>
      </c>
      <c r="V49" s="2462">
        <f t="shared" si="2"/>
        <v>-2429851.8775439505</v>
      </c>
    </row>
    <row r="50" spans="17:22">
      <c r="S50" s="2462"/>
      <c r="T50" s="2462"/>
      <c r="U50" s="2462"/>
      <c r="V50" s="2462"/>
    </row>
    <row r="51" spans="17:22">
      <c r="Q51" s="2459" t="s">
        <v>2141</v>
      </c>
      <c r="R51" s="2462"/>
      <c r="S51" s="2462">
        <f>SUM(S46:S49)</f>
        <v>-11572061.293119054</v>
      </c>
      <c r="T51" s="2462">
        <f>SUM(T46:T49)</f>
        <v>-11222541.619087692</v>
      </c>
      <c r="U51" s="2462">
        <f>SUM(U46:U49)</f>
        <v>-11222541.619087692</v>
      </c>
      <c r="V51" s="2462">
        <f>SUM(V46:V49)</f>
        <v>-10076508.291587692</v>
      </c>
    </row>
    <row r="52" spans="17:22">
      <c r="Q52" s="2476"/>
      <c r="S52" s="2462">
        <f>S40-S51</f>
        <v>0</v>
      </c>
      <c r="T52" s="2462">
        <f>T40-T51</f>
        <v>0</v>
      </c>
      <c r="U52" s="2462">
        <f>U40-U51</f>
        <v>0</v>
      </c>
      <c r="V52" s="2462">
        <f>V40-V51</f>
        <v>0</v>
      </c>
    </row>
    <row r="53" spans="17:22">
      <c r="S53" s="2462"/>
    </row>
    <row r="54" spans="17:22">
      <c r="Q54" s="2478">
        <v>2023</v>
      </c>
      <c r="S54" s="2479" t="s">
        <v>24</v>
      </c>
      <c r="T54" s="2479" t="s">
        <v>729</v>
      </c>
      <c r="U54" s="2479" t="s">
        <v>786</v>
      </c>
      <c r="V54" s="2479" t="s">
        <v>965</v>
      </c>
    </row>
    <row r="55" spans="17:22">
      <c r="Q55" s="2459" t="s">
        <v>729</v>
      </c>
      <c r="R55" s="2476" t="s">
        <v>696</v>
      </c>
      <c r="S55" s="2462">
        <f>SUMIFS(S$5:S$38,$R$5:$R$38,$R55)</f>
        <v>-6561327.264606419</v>
      </c>
      <c r="T55" s="2480">
        <f>S55</f>
        <v>-6561327.264606419</v>
      </c>
      <c r="U55" s="2480"/>
      <c r="V55" s="2481"/>
    </row>
    <row r="56" spans="17:22">
      <c r="Q56" s="2459" t="s">
        <v>78</v>
      </c>
      <c r="R56" s="2476" t="s">
        <v>2114</v>
      </c>
      <c r="S56" s="2462">
        <f>SUMIFS(S$5:S$38,$R$5:$R$38,$R56)</f>
        <v>-1016331.6655042091</v>
      </c>
      <c r="T56" s="2480"/>
      <c r="U56" s="2480">
        <f>S56</f>
        <v>-1016331.6655042091</v>
      </c>
      <c r="V56" s="2481"/>
    </row>
    <row r="57" spans="17:22">
      <c r="Q57" s="2459" t="s">
        <v>2142</v>
      </c>
      <c r="R57" s="2477" t="s">
        <v>2126</v>
      </c>
      <c r="S57" s="2462">
        <f>SUMIFS(S$5:S$38,$R$5:$R$38,$R57)</f>
        <v>-499220.33736097091</v>
      </c>
      <c r="T57" s="2480"/>
      <c r="U57" s="2480"/>
      <c r="V57" s="2482">
        <f>S57</f>
        <v>-499220.33736097091</v>
      </c>
    </row>
    <row r="58" spans="17:22">
      <c r="Q58" s="2459" t="s">
        <v>2143</v>
      </c>
      <c r="R58" s="2476" t="s">
        <v>678</v>
      </c>
      <c r="S58" s="2462">
        <f>SUMIFS(S$5:S$38,$R$5:$R$38,$R58)</f>
        <v>-3495182.0256474554</v>
      </c>
      <c r="T58" s="2480">
        <f>S58*$T$44</f>
        <v>-2450542.0218219436</v>
      </c>
      <c r="U58" s="2480">
        <f>S58*$U$44</f>
        <v>-723782.29387107503</v>
      </c>
      <c r="V58" s="2480">
        <f>S58*$V$44</f>
        <v>-320857.7099544364</v>
      </c>
    </row>
    <row r="59" spans="17:22">
      <c r="S59" s="2483"/>
      <c r="T59" s="2480"/>
      <c r="U59" s="2480"/>
      <c r="V59" s="2481"/>
    </row>
    <row r="60" spans="17:22">
      <c r="Q60" s="2459" t="s">
        <v>2141</v>
      </c>
      <c r="S60" s="2484">
        <f>SUM(S55:S58)</f>
        <v>-11572061.293119054</v>
      </c>
      <c r="T60" s="2484">
        <f>SUM(T55:T58)</f>
        <v>-9011869.2864283621</v>
      </c>
      <c r="U60" s="2484">
        <f>SUM(U55:U58)</f>
        <v>-1740113.9593752841</v>
      </c>
      <c r="V60" s="2484">
        <f>SUM(V55:V58)</f>
        <v>-820078.04731540731</v>
      </c>
    </row>
    <row r="61" spans="17:22">
      <c r="Q61" s="2476" t="s">
        <v>2144</v>
      </c>
      <c r="S61" s="2485">
        <f>S40-S60</f>
        <v>0</v>
      </c>
    </row>
    <row r="62" spans="17:22">
      <c r="Q62" s="2476" t="s">
        <v>2145</v>
      </c>
      <c r="S62" s="2485">
        <f>S60-T60-U60-V60</f>
        <v>0</v>
      </c>
      <c r="T62" s="2485"/>
      <c r="U62" s="2485"/>
    </row>
    <row r="64" spans="17:22">
      <c r="Q64" s="2478">
        <v>2024</v>
      </c>
      <c r="S64" s="2479" t="s">
        <v>24</v>
      </c>
      <c r="T64" s="2479" t="s">
        <v>729</v>
      </c>
      <c r="U64" s="2479" t="s">
        <v>786</v>
      </c>
      <c r="V64" s="2479" t="s">
        <v>965</v>
      </c>
    </row>
    <row r="65" spans="17:22">
      <c r="Q65" s="2459" t="s">
        <v>729</v>
      </c>
      <c r="R65" s="2476" t="s">
        <v>696</v>
      </c>
      <c r="S65" s="2462">
        <f>SUMIFS(T$5:T$38,$R$5:$R$38,$R65)</f>
        <v>-7157404.1460297033</v>
      </c>
      <c r="T65" s="2480">
        <f>S65</f>
        <v>-7157404.1460297033</v>
      </c>
      <c r="U65" s="2480"/>
      <c r="V65" s="2481"/>
    </row>
    <row r="66" spans="17:22">
      <c r="Q66" s="2459" t="s">
        <v>78</v>
      </c>
      <c r="R66" s="2476" t="s">
        <v>2114</v>
      </c>
      <c r="S66" s="2462">
        <f>SUMIFS(T$5:T$38,$R$5:$R$38,$R66)</f>
        <v>-1048414.97602252</v>
      </c>
      <c r="T66" s="2480"/>
      <c r="U66" s="2480">
        <f>S66</f>
        <v>-1048414.97602252</v>
      </c>
      <c r="V66" s="2481"/>
    </row>
    <row r="67" spans="17:22">
      <c r="Q67" s="2459" t="s">
        <v>2142</v>
      </c>
      <c r="R67" s="2477" t="s">
        <v>2126</v>
      </c>
      <c r="S67" s="2462">
        <f>SUMIFS(T$5:T$38,$R$5:$R$38,$R67)</f>
        <v>-586870.61949151836</v>
      </c>
      <c r="T67" s="2480"/>
      <c r="U67" s="2480"/>
      <c r="V67" s="2482">
        <f>S67</f>
        <v>-586870.61949151836</v>
      </c>
    </row>
    <row r="68" spans="17:22">
      <c r="Q68" s="2459" t="s">
        <v>2143</v>
      </c>
      <c r="R68" s="2476" t="s">
        <v>678</v>
      </c>
      <c r="S68" s="2462">
        <f>SUMIFS(T$5:T$38,$R$5:$R$38,$R68)</f>
        <v>-2429851.8775439505</v>
      </c>
      <c r="T68" s="2480">
        <f>S68*$T$44</f>
        <v>-1703617.7483836145</v>
      </c>
      <c r="U68" s="2480">
        <f>S68*$U$44</f>
        <v>-503173.72680180124</v>
      </c>
      <c r="V68" s="2480">
        <f>S68*$V$44</f>
        <v>-223060.40235853466</v>
      </c>
    </row>
    <row r="69" spans="17:22">
      <c r="S69" s="2483"/>
      <c r="T69" s="2480"/>
      <c r="U69" s="2480"/>
      <c r="V69" s="2481"/>
    </row>
    <row r="70" spans="17:22">
      <c r="Q70" s="2459" t="s">
        <v>2141</v>
      </c>
      <c r="S70" s="2484">
        <f>SUM(S65:S68)</f>
        <v>-11222541.619087692</v>
      </c>
      <c r="T70" s="2484">
        <f>SUM(T65:T68)</f>
        <v>-8861021.8944133185</v>
      </c>
      <c r="U70" s="2484">
        <f>SUM(U65:U68)</f>
        <v>-1551588.7028243211</v>
      </c>
      <c r="V70" s="2484">
        <f>SUM(V65:V68)</f>
        <v>-809931.02185005299</v>
      </c>
    </row>
    <row r="71" spans="17:22">
      <c r="Q71" s="2476" t="s">
        <v>2144</v>
      </c>
      <c r="S71" s="2485">
        <f>T51-S70</f>
        <v>0</v>
      </c>
    </row>
    <row r="72" spans="17:22">
      <c r="Q72" s="2476" t="s">
        <v>2145</v>
      </c>
      <c r="S72" s="2485">
        <f>S70-T70-U70-V70</f>
        <v>0</v>
      </c>
      <c r="T72" s="2485"/>
      <c r="U72" s="2485"/>
    </row>
    <row r="74" spans="17:22">
      <c r="Q74" s="2478">
        <v>2025</v>
      </c>
      <c r="S74" s="2479" t="s">
        <v>24</v>
      </c>
      <c r="T74" s="2479" t="s">
        <v>729</v>
      </c>
      <c r="U74" s="2479" t="s">
        <v>786</v>
      </c>
      <c r="V74" s="2479" t="s">
        <v>965</v>
      </c>
    </row>
    <row r="75" spans="17:22">
      <c r="Q75" s="2459" t="s">
        <v>729</v>
      </c>
      <c r="R75" s="2476" t="s">
        <v>696</v>
      </c>
      <c r="S75" s="2462">
        <f>SUMIFS(U$5:U$38,$R$5:$R$38,$R75)</f>
        <v>-7157404.1460297033</v>
      </c>
      <c r="T75" s="2480">
        <f>S75</f>
        <v>-7157404.1460297033</v>
      </c>
      <c r="U75" s="2480"/>
      <c r="V75" s="2481"/>
    </row>
    <row r="76" spans="17:22">
      <c r="Q76" s="2459" t="s">
        <v>78</v>
      </c>
      <c r="R76" s="2476" t="s">
        <v>2114</v>
      </c>
      <c r="S76" s="2462">
        <f>SUMIFS(U$5:U$38,$R$5:$R$38,$R76)</f>
        <v>-1048414.97602252</v>
      </c>
      <c r="T76" s="2480"/>
      <c r="U76" s="2480">
        <f>S76</f>
        <v>-1048414.97602252</v>
      </c>
      <c r="V76" s="2481"/>
    </row>
    <row r="77" spans="17:22">
      <c r="Q77" s="2459" t="s">
        <v>2142</v>
      </c>
      <c r="R77" s="2477" t="s">
        <v>2126</v>
      </c>
      <c r="S77" s="2462">
        <f>SUMIFS(U$5:U$38,$R$5:$R$38,$R77)</f>
        <v>-586870.61949151836</v>
      </c>
      <c r="T77" s="2480"/>
      <c r="U77" s="2480"/>
      <c r="V77" s="2482">
        <f>S77</f>
        <v>-586870.61949151836</v>
      </c>
    </row>
    <row r="78" spans="17:22">
      <c r="Q78" s="2459" t="s">
        <v>2143</v>
      </c>
      <c r="R78" s="2476" t="s">
        <v>678</v>
      </c>
      <c r="S78" s="2462">
        <f>SUMIFS(U$5:U$38,$R$5:$R$38,$R78)</f>
        <v>-2429851.8775439505</v>
      </c>
      <c r="T78" s="2480">
        <f>S78*$T$44</f>
        <v>-1703617.7483836145</v>
      </c>
      <c r="U78" s="2480">
        <f>S78*$U$44</f>
        <v>-503173.72680180124</v>
      </c>
      <c r="V78" s="2480">
        <f>S78*$V$44</f>
        <v>-223060.40235853466</v>
      </c>
    </row>
    <row r="79" spans="17:22">
      <c r="S79" s="2483"/>
      <c r="T79" s="2480"/>
      <c r="U79" s="2480"/>
      <c r="V79" s="2481"/>
    </row>
    <row r="80" spans="17:22">
      <c r="Q80" s="2459" t="s">
        <v>2141</v>
      </c>
      <c r="S80" s="2484">
        <f>SUM(S75:S78)</f>
        <v>-11222541.619087692</v>
      </c>
      <c r="T80" s="2484">
        <f>SUM(T75:T78)</f>
        <v>-8861021.8944133185</v>
      </c>
      <c r="U80" s="2484">
        <f>SUM(U75:U78)</f>
        <v>-1551588.7028243211</v>
      </c>
      <c r="V80" s="2484">
        <f>SUM(V75:V78)</f>
        <v>-809931.02185005299</v>
      </c>
    </row>
    <row r="81" spans="17:22">
      <c r="Q81" s="2476" t="s">
        <v>2144</v>
      </c>
      <c r="S81" s="2485">
        <f>U51-S80</f>
        <v>0</v>
      </c>
    </row>
    <row r="82" spans="17:22">
      <c r="Q82" s="2476" t="s">
        <v>2145</v>
      </c>
      <c r="S82" s="2485">
        <f>S80-T80-U80-V80</f>
        <v>0</v>
      </c>
      <c r="T82" s="2485"/>
      <c r="U82" s="2485"/>
    </row>
    <row r="84" spans="17:22">
      <c r="Q84" s="2478">
        <v>2026</v>
      </c>
      <c r="S84" s="2479" t="s">
        <v>24</v>
      </c>
      <c r="T84" s="2479" t="s">
        <v>729</v>
      </c>
      <c r="U84" s="2479" t="s">
        <v>786</v>
      </c>
      <c r="V84" s="2479" t="s">
        <v>965</v>
      </c>
    </row>
    <row r="85" spans="17:22">
      <c r="Q85" s="2459" t="s">
        <v>729</v>
      </c>
      <c r="R85" s="2476" t="s">
        <v>696</v>
      </c>
      <c r="S85" s="2462">
        <f>SUMIFS(V$5:V$38,$R$5:$R$38,$R85)</f>
        <v>-6011370.8185297037</v>
      </c>
      <c r="T85" s="2480">
        <f>S85</f>
        <v>-6011370.8185297037</v>
      </c>
      <c r="U85" s="2480"/>
      <c r="V85" s="2481"/>
    </row>
    <row r="86" spans="17:22">
      <c r="Q86" s="2459" t="s">
        <v>78</v>
      </c>
      <c r="R86" s="2476" t="s">
        <v>2114</v>
      </c>
      <c r="S86" s="2462">
        <f>SUMIFS(V$5:V$38,$R$5:$R$38,$R86)</f>
        <v>-1048414.97602252</v>
      </c>
      <c r="T86" s="2480"/>
      <c r="U86" s="2480">
        <f>S86</f>
        <v>-1048414.97602252</v>
      </c>
      <c r="V86" s="2481"/>
    </row>
    <row r="87" spans="17:22">
      <c r="Q87" s="2459" t="s">
        <v>2142</v>
      </c>
      <c r="R87" s="2477" t="s">
        <v>2126</v>
      </c>
      <c r="S87" s="2462">
        <f>SUMIFS(V$5:V$38,$R$5:$R$38,$R87)</f>
        <v>-586870.61949151836</v>
      </c>
      <c r="T87" s="2480"/>
      <c r="U87" s="2480"/>
      <c r="V87" s="2482">
        <f>S87</f>
        <v>-586870.61949151836</v>
      </c>
    </row>
    <row r="88" spans="17:22">
      <c r="Q88" s="2459" t="s">
        <v>2143</v>
      </c>
      <c r="R88" s="2476" t="s">
        <v>678</v>
      </c>
      <c r="S88" s="2462">
        <f>SUMIFS(V$5:V$38,$R$5:$R$38,$R88)</f>
        <v>-2429851.8775439505</v>
      </c>
      <c r="T88" s="2480">
        <f>S88*$T$44</f>
        <v>-1703617.7483836145</v>
      </c>
      <c r="U88" s="2480">
        <f>S88*$U$44</f>
        <v>-503173.72680180124</v>
      </c>
      <c r="V88" s="2480">
        <f>S88*$V$44</f>
        <v>-223060.40235853466</v>
      </c>
    </row>
    <row r="89" spans="17:22">
      <c r="S89" s="2483"/>
      <c r="T89" s="2480"/>
      <c r="U89" s="2480"/>
      <c r="V89" s="2481"/>
    </row>
    <row r="90" spans="17:22">
      <c r="Q90" s="2459" t="s">
        <v>2141</v>
      </c>
      <c r="S90" s="2484">
        <f>SUM(S85:S88)</f>
        <v>-10076508.291587692</v>
      </c>
      <c r="T90" s="2484">
        <f>SUM(T85:T88)</f>
        <v>-7714988.5669133179</v>
      </c>
      <c r="U90" s="2484">
        <f>SUM(U85:U88)</f>
        <v>-1551588.7028243211</v>
      </c>
      <c r="V90" s="2484">
        <f>SUM(V85:V88)</f>
        <v>-809931.02185005299</v>
      </c>
    </row>
    <row r="91" spans="17:22">
      <c r="Q91" s="2476" t="s">
        <v>2144</v>
      </c>
      <c r="S91" s="2485">
        <f>V51-S90</f>
        <v>0</v>
      </c>
    </row>
    <row r="92" spans="17:22">
      <c r="Q92" s="2476" t="s">
        <v>2145</v>
      </c>
      <c r="S92" s="2485">
        <f>S90-T90-U90-V90</f>
        <v>0</v>
      </c>
      <c r="T92" s="2485"/>
      <c r="U92" s="2485"/>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1B19-CE0E-484B-BDFA-907E79F95105}">
  <dimension ref="A1:BU188"/>
  <sheetViews>
    <sheetView workbookViewId="0"/>
  </sheetViews>
  <sheetFormatPr defaultColWidth="8.85546875" defaultRowHeight="12.75"/>
  <cols>
    <col min="1" max="1" width="66.28515625" style="477" customWidth="1"/>
    <col min="2" max="2" width="50" style="477" customWidth="1"/>
    <col min="3" max="3" width="12.28515625" style="477" bestFit="1" customWidth="1"/>
    <col min="4" max="4" width="11.5703125" style="477" bestFit="1" customWidth="1"/>
    <col min="5" max="6" width="8.85546875" style="477"/>
    <col min="7" max="7" width="1.7109375" style="1008" customWidth="1"/>
    <col min="8" max="8" width="8.85546875" style="477"/>
    <col min="9" max="9" width="23.42578125" style="477" bestFit="1" customWidth="1"/>
    <col min="10" max="12" width="13.7109375" style="477" bestFit="1" customWidth="1"/>
    <col min="13" max="13" width="13.28515625" style="477" bestFit="1" customWidth="1"/>
    <col min="14" max="14" width="14.28515625" style="477" customWidth="1"/>
    <col min="15" max="15" width="14.140625" style="477" customWidth="1"/>
    <col min="16" max="16" width="15.7109375" style="477" bestFit="1" customWidth="1"/>
    <col min="17" max="17" width="16.7109375" style="477" customWidth="1"/>
    <col min="18" max="18" width="11.5703125" style="477" bestFit="1" customWidth="1"/>
    <col min="19" max="19" width="12.28515625" style="477" bestFit="1" customWidth="1"/>
    <col min="20" max="20" width="14" style="477" customWidth="1"/>
    <col min="21" max="21" width="12.5703125" style="477" customWidth="1"/>
    <col min="22" max="22" width="14.28515625" style="477" customWidth="1"/>
    <col min="23" max="23" width="1.7109375" style="1008" customWidth="1"/>
    <col min="24" max="24" width="8.85546875" style="477"/>
    <col min="25" max="25" width="7" style="477" bestFit="1" customWidth="1"/>
    <col min="26" max="26" width="26.85546875" style="477" bestFit="1" customWidth="1"/>
    <col min="27" max="27" width="14.28515625" style="477" bestFit="1" customWidth="1"/>
    <col min="28" max="28" width="13.7109375" style="477" customWidth="1"/>
    <col min="29" max="29" width="14.28515625" style="477" bestFit="1" customWidth="1"/>
    <col min="30" max="30" width="13.7109375" style="477" customWidth="1"/>
    <col min="31" max="31" width="14.28515625" style="477" bestFit="1" customWidth="1"/>
    <col min="32" max="32" width="3.140625" style="477" customWidth="1"/>
    <col min="33" max="33" width="13.7109375" style="477" bestFit="1" customWidth="1"/>
    <col min="34" max="34" width="11.28515625" style="477" bestFit="1" customWidth="1"/>
    <col min="35" max="35" width="13.28515625" style="477" bestFit="1" customWidth="1"/>
    <col min="36" max="36" width="12.28515625" style="477" bestFit="1" customWidth="1"/>
    <col min="37" max="37" width="14.28515625" style="477" bestFit="1" customWidth="1"/>
    <col min="38" max="38" width="8.85546875" style="477"/>
    <col min="39" max="39" width="1.7109375" style="1008" customWidth="1"/>
    <col min="40" max="40" width="8.85546875" style="477"/>
    <col min="41" max="41" width="46.140625" style="477" bestFit="1" customWidth="1"/>
    <col min="42" max="42" width="12.5703125" style="2492" bestFit="1" customWidth="1"/>
    <col min="43" max="43" width="12" style="477" bestFit="1" customWidth="1"/>
    <col min="44" max="44" width="12.28515625" style="477" bestFit="1" customWidth="1"/>
    <col min="45" max="45" width="8.85546875" style="477"/>
    <col min="46" max="46" width="1.7109375" style="1008" customWidth="1"/>
    <col min="47" max="47" width="8.85546875" style="477"/>
    <col min="48" max="48" width="28.28515625" style="477" bestFit="1" customWidth="1"/>
    <col min="49" max="49" width="32.28515625" style="477" bestFit="1" customWidth="1"/>
    <col min="50" max="51" width="13.140625" style="477" bestFit="1" customWidth="1"/>
    <col min="52" max="53" width="9.28515625" style="477" bestFit="1" customWidth="1"/>
    <col min="54" max="58" width="10.85546875" style="477" bestFit="1" customWidth="1"/>
    <col min="59" max="72" width="12" style="477" bestFit="1" customWidth="1"/>
    <col min="73" max="73" width="10.85546875" style="477" bestFit="1" customWidth="1"/>
    <col min="74" max="16384" width="8.85546875" style="477"/>
  </cols>
  <sheetData>
    <row r="1" spans="1:73" ht="15.75" thickBot="1">
      <c r="A1" s="2486" t="s">
        <v>2147</v>
      </c>
      <c r="B1" s="1230"/>
      <c r="C1" s="2101" t="s">
        <v>729</v>
      </c>
      <c r="D1" s="2101" t="s">
        <v>787</v>
      </c>
      <c r="I1" s="3863" t="s">
        <v>2148</v>
      </c>
      <c r="J1" s="3864"/>
      <c r="K1" s="3864"/>
      <c r="L1" s="3864"/>
      <c r="M1" s="3864"/>
      <c r="N1" s="3865"/>
      <c r="O1" s="2083"/>
      <c r="P1" s="3863" t="s">
        <v>2149</v>
      </c>
      <c r="Q1" s="3864"/>
      <c r="R1" s="3864"/>
      <c r="S1" s="3864"/>
      <c r="T1" s="3864"/>
      <c r="U1" s="3865"/>
      <c r="V1" s="2083"/>
      <c r="Z1" s="477" t="s">
        <v>2150</v>
      </c>
      <c r="AA1" s="2487">
        <v>21307531</v>
      </c>
      <c r="AB1" s="2487">
        <v>2267372</v>
      </c>
      <c r="AC1" s="2487">
        <v>29765007.130000003</v>
      </c>
      <c r="AD1" s="2487">
        <v>-2257284</v>
      </c>
      <c r="AE1" s="2487">
        <f>SUM(AA1:AD1)</f>
        <v>51082626.130000003</v>
      </c>
      <c r="AG1" s="2488">
        <v>4410569</v>
      </c>
      <c r="AH1" s="2488">
        <v>826169</v>
      </c>
      <c r="AI1" s="2488">
        <v>10360807.609999999</v>
      </c>
      <c r="AJ1" s="2488">
        <v>-151495</v>
      </c>
      <c r="AK1" s="888">
        <f>SUM(AG1:AJ1)</f>
        <v>15446050.609999999</v>
      </c>
      <c r="AP1" s="2489" t="s">
        <v>443</v>
      </c>
    </row>
    <row r="2" spans="1:73" ht="15.75" thickBot="1">
      <c r="C2" s="2488"/>
      <c r="D2" s="2488"/>
      <c r="E2" s="2488"/>
      <c r="I2" s="2083"/>
      <c r="J2" s="2083" t="s">
        <v>411</v>
      </c>
      <c r="K2" s="2083" t="s">
        <v>2151</v>
      </c>
      <c r="L2" s="2083" t="s">
        <v>2152</v>
      </c>
      <c r="M2" s="2083" t="s">
        <v>2153</v>
      </c>
      <c r="N2" s="2083" t="s">
        <v>2154</v>
      </c>
      <c r="O2" s="2083"/>
      <c r="P2" s="2083"/>
      <c r="Q2" s="2083" t="s">
        <v>411</v>
      </c>
      <c r="R2" s="2083" t="s">
        <v>2151</v>
      </c>
      <c r="S2" s="2083" t="s">
        <v>2152</v>
      </c>
      <c r="T2" s="2083" t="s">
        <v>2153</v>
      </c>
      <c r="U2" s="2083" t="s">
        <v>2154</v>
      </c>
      <c r="V2" s="2083"/>
      <c r="AP2" s="2489" t="s">
        <v>2155</v>
      </c>
      <c r="AQ2" s="2083" t="s">
        <v>2148</v>
      </c>
      <c r="AR2" s="2083" t="s">
        <v>2149</v>
      </c>
      <c r="BB2" s="2490">
        <v>2862618.4027386275</v>
      </c>
      <c r="BC2" s="477" t="s">
        <v>2156</v>
      </c>
    </row>
    <row r="3" spans="1:73" ht="15.75" thickBot="1">
      <c r="A3" s="2102" t="s">
        <v>2157</v>
      </c>
      <c r="B3" s="1230" t="s">
        <v>2158</v>
      </c>
      <c r="C3" s="2491">
        <f>'G-3.04,5.01 PF AMI'!M149</f>
        <v>31962210.333651185</v>
      </c>
      <c r="D3" s="2491">
        <f>'G-3.04,5.01 PF AMI'!T149</f>
        <v>9063052.6096567865</v>
      </c>
      <c r="E3" s="2488"/>
      <c r="I3" s="477" t="s">
        <v>744</v>
      </c>
      <c r="J3" s="2488"/>
      <c r="K3" s="2488">
        <f>'G-3.04,5.01 PF AMI'!AE6</f>
        <v>45754371.030000001</v>
      </c>
      <c r="L3" s="2488"/>
      <c r="M3" s="2488">
        <f t="shared" ref="M3:M66" si="0">K3*-0.21</f>
        <v>-9608417.9163000006</v>
      </c>
      <c r="P3" s="477" t="s">
        <v>744</v>
      </c>
      <c r="Q3" s="2488"/>
      <c r="R3" s="2488">
        <f>'G-3.04,5.01 PF AMI'!AK6</f>
        <v>13064525.09</v>
      </c>
      <c r="S3" s="2488"/>
      <c r="T3" s="2488">
        <f t="shared" ref="T3:T66" si="1">R3*-0.21</f>
        <v>-2743550.2689</v>
      </c>
      <c r="AA3" s="3863" t="s">
        <v>729</v>
      </c>
      <c r="AB3" s="3864"/>
      <c r="AC3" s="3864"/>
      <c r="AD3" s="3864"/>
      <c r="AE3" s="3865"/>
      <c r="AF3" s="2083"/>
      <c r="AG3" s="3863" t="s">
        <v>434</v>
      </c>
      <c r="AH3" s="3864"/>
      <c r="AI3" s="3864"/>
      <c r="AJ3" s="3864"/>
      <c r="AK3" s="3865"/>
      <c r="AV3" s="2493" t="s">
        <v>2159</v>
      </c>
      <c r="AW3" s="2493"/>
      <c r="AX3" s="2493"/>
      <c r="AY3" s="2493"/>
      <c r="AZ3" s="2493"/>
      <c r="BA3" s="2493"/>
    </row>
    <row r="4" spans="1:73" ht="15">
      <c r="A4" s="477" t="s">
        <v>2160</v>
      </c>
      <c r="C4" s="2488"/>
      <c r="D4" s="2488"/>
      <c r="E4" s="2488"/>
      <c r="I4" s="2494">
        <v>44500</v>
      </c>
      <c r="J4" s="2488">
        <f>-'G-3.04,5.01 PF AMI'!AE45</f>
        <v>-357221.16174825176</v>
      </c>
      <c r="K4" s="2488">
        <f t="shared" ref="K4:K67" si="2">J4+K3</f>
        <v>45397149.868251748</v>
      </c>
      <c r="L4" s="2488"/>
      <c r="M4" s="2488">
        <f t="shared" si="0"/>
        <v>-9533401.4723328669</v>
      </c>
      <c r="P4" s="2494">
        <v>44500</v>
      </c>
      <c r="Q4" s="2488">
        <f>-'G-3.04,5.01 PF AMI'!AK45</f>
        <v>-108014.33993006992</v>
      </c>
      <c r="R4" s="2488">
        <f t="shared" ref="R4:R67" si="3">Q4+R3</f>
        <v>12956510.750069929</v>
      </c>
      <c r="S4" s="2488"/>
      <c r="T4" s="2488">
        <f t="shared" si="1"/>
        <v>-2720867.2575146849</v>
      </c>
      <c r="AA4" s="2083">
        <v>182331</v>
      </c>
      <c r="AB4" s="2083">
        <v>182336</v>
      </c>
      <c r="AC4" s="2083">
        <v>182337</v>
      </c>
      <c r="AD4" s="2083">
        <v>254332</v>
      </c>
      <c r="AE4" s="2083"/>
      <c r="AF4" s="2083"/>
      <c r="AG4" s="2083">
        <v>182331</v>
      </c>
      <c r="AH4" s="2083">
        <v>182336</v>
      </c>
      <c r="AI4" s="2083">
        <v>182337</v>
      </c>
      <c r="AJ4" s="2083">
        <v>254332</v>
      </c>
      <c r="AK4" s="2083"/>
      <c r="AO4" s="477" t="s">
        <v>2161</v>
      </c>
      <c r="AP4" s="2492">
        <f>'G-3.04,5.01 PF AMI'!BF55</f>
        <v>6516474.2251543403</v>
      </c>
    </row>
    <row r="5" spans="1:73" ht="90">
      <c r="A5" s="477" t="s">
        <v>2162</v>
      </c>
      <c r="C5" s="2488"/>
      <c r="D5" s="2488"/>
      <c r="E5" s="2488"/>
      <c r="I5" s="2494">
        <v>44530</v>
      </c>
      <c r="J5" s="2488">
        <f>-'G-3.04,5.01 PF AMI'!AE46</f>
        <v>-357221.16174825176</v>
      </c>
      <c r="K5" s="2488">
        <f t="shared" si="2"/>
        <v>45039928.706503496</v>
      </c>
      <c r="L5" s="2488"/>
      <c r="M5" s="2488">
        <f t="shared" si="0"/>
        <v>-9458385.0283657331</v>
      </c>
      <c r="P5" s="2494">
        <v>44530</v>
      </c>
      <c r="Q5" s="2488">
        <f>-'G-3.04,5.01 PF AMI'!AK46</f>
        <v>-108014.33993006992</v>
      </c>
      <c r="R5" s="2488">
        <f t="shared" si="3"/>
        <v>12848496.410139859</v>
      </c>
      <c r="S5" s="2488"/>
      <c r="T5" s="2488">
        <f t="shared" si="1"/>
        <v>-2698184.2461293703</v>
      </c>
      <c r="Y5" s="944"/>
      <c r="Z5" s="944"/>
      <c r="AA5" s="1192" t="s">
        <v>2163</v>
      </c>
      <c r="AB5" s="1192" t="s">
        <v>2164</v>
      </c>
      <c r="AC5" s="1192" t="s">
        <v>2165</v>
      </c>
      <c r="AD5" s="1192" t="s">
        <v>2166</v>
      </c>
      <c r="AE5" s="1192" t="s">
        <v>198</v>
      </c>
      <c r="AF5" s="1192"/>
      <c r="AG5" s="1192" t="s">
        <v>2167</v>
      </c>
      <c r="AH5" s="1192" t="s">
        <v>2164</v>
      </c>
      <c r="AI5" s="1192" t="s">
        <v>2165</v>
      </c>
      <c r="AJ5" s="1192" t="s">
        <v>2166</v>
      </c>
      <c r="AK5" s="1192" t="s">
        <v>198</v>
      </c>
      <c r="AO5" s="477" t="s">
        <v>2168</v>
      </c>
      <c r="AP5" s="2492">
        <f>'G-3.04,5.01 PF AMI'!BG55</f>
        <v>9126478.2411252502</v>
      </c>
      <c r="AV5" s="2495" t="s">
        <v>2169</v>
      </c>
      <c r="AW5" s="950"/>
      <c r="AX5" s="2495" t="s">
        <v>2170</v>
      </c>
      <c r="AY5" s="2495" t="s">
        <v>2171</v>
      </c>
      <c r="AZ5" s="2495">
        <v>2016</v>
      </c>
      <c r="BA5" s="2495">
        <v>2017</v>
      </c>
      <c r="BB5" s="2495">
        <v>2018</v>
      </c>
      <c r="BC5" s="2495">
        <v>2019</v>
      </c>
      <c r="BD5" s="2495">
        <v>2020</v>
      </c>
      <c r="BE5" s="2495">
        <v>2021</v>
      </c>
      <c r="BF5" s="2495">
        <v>2022</v>
      </c>
      <c r="BG5" s="2495">
        <v>2023</v>
      </c>
      <c r="BH5" s="2495">
        <v>2024</v>
      </c>
      <c r="BI5" s="2495">
        <v>2025</v>
      </c>
      <c r="BJ5" s="2495">
        <v>2026</v>
      </c>
      <c r="BK5" s="2495">
        <v>2027</v>
      </c>
      <c r="BL5" s="2495">
        <v>2028</v>
      </c>
      <c r="BM5" s="2495">
        <v>2029</v>
      </c>
      <c r="BN5" s="2495">
        <v>2030</v>
      </c>
      <c r="BO5" s="2495">
        <v>2031</v>
      </c>
      <c r="BP5" s="2495">
        <v>2032</v>
      </c>
      <c r="BQ5" s="2495">
        <v>2033</v>
      </c>
      <c r="BR5" s="2495">
        <v>2034</v>
      </c>
      <c r="BS5" s="2495">
        <v>2035</v>
      </c>
      <c r="BT5" s="2495">
        <v>2036</v>
      </c>
      <c r="BU5" s="2495">
        <v>2037</v>
      </c>
    </row>
    <row r="6" spans="1:73" ht="15">
      <c r="A6" s="477" t="s">
        <v>2172</v>
      </c>
      <c r="B6" s="477" t="s">
        <v>2173</v>
      </c>
      <c r="C6" s="2496">
        <f>'G-3.04,5.01 PF AMI'!M150</f>
        <v>-7528909.7867421545</v>
      </c>
      <c r="D6" s="2496">
        <f>'G-3.04,5.01 PF AMI'!T150</f>
        <v>-2141033.238508299</v>
      </c>
      <c r="E6" s="2496" t="s">
        <v>2174</v>
      </c>
      <c r="F6" s="2497"/>
      <c r="I6" s="2494">
        <v>44561</v>
      </c>
      <c r="J6" s="2488">
        <f>-'G-3.04,5.01 PF AMI'!AE47</f>
        <v>-357221.16174825176</v>
      </c>
      <c r="K6" s="2488">
        <f t="shared" si="2"/>
        <v>44682707.544755243</v>
      </c>
      <c r="L6" s="2488"/>
      <c r="M6" s="2488">
        <f t="shared" si="0"/>
        <v>-9383368.5843986012</v>
      </c>
      <c r="P6" s="2494">
        <v>44561</v>
      </c>
      <c r="Q6" s="2488">
        <f>-'G-3.04,5.01 PF AMI'!AK47</f>
        <v>-108014.33993006992</v>
      </c>
      <c r="R6" s="2488">
        <f t="shared" si="3"/>
        <v>12740482.070209788</v>
      </c>
      <c r="S6" s="2488"/>
      <c r="T6" s="2488">
        <f t="shared" si="1"/>
        <v>-2675501.2347440552</v>
      </c>
      <c r="Z6" s="477" t="s">
        <v>2175</v>
      </c>
      <c r="AA6" s="2487">
        <v>20369298</v>
      </c>
      <c r="AB6" s="2487">
        <v>1416996.95</v>
      </c>
      <c r="AC6" s="2487">
        <v>26272192.699999999</v>
      </c>
      <c r="AD6" s="2487">
        <v>-2304116.62</v>
      </c>
      <c r="AE6" s="2487">
        <f>SUM(AA6:AD6)</f>
        <v>45754371.030000001</v>
      </c>
      <c r="AF6" s="2487"/>
      <c r="AG6" s="2487">
        <v>4107087</v>
      </c>
      <c r="AH6" s="2487">
        <v>500540.57</v>
      </c>
      <c r="AI6" s="2487">
        <v>8724633.7699999996</v>
      </c>
      <c r="AJ6" s="2487">
        <v>-267736.25</v>
      </c>
      <c r="AK6" s="2487">
        <f>SUM(AG6:AJ6)</f>
        <v>13064525.09</v>
      </c>
      <c r="AQ6" s="1140"/>
      <c r="AR6" s="1140"/>
    </row>
    <row r="7" spans="1:73" ht="15.75" thickBot="1">
      <c r="A7" s="477" t="s">
        <v>2176</v>
      </c>
      <c r="C7" s="2488"/>
      <c r="D7" s="2488"/>
      <c r="E7" s="2488"/>
      <c r="I7" s="2494">
        <v>44592</v>
      </c>
      <c r="J7" s="2488">
        <f>-'G-3.04,5.01 PF AMI'!AE48</f>
        <v>-357221.16174825176</v>
      </c>
      <c r="K7" s="2488">
        <f t="shared" si="2"/>
        <v>44325486.38300699</v>
      </c>
      <c r="L7" s="2488"/>
      <c r="M7" s="2488">
        <f t="shared" si="0"/>
        <v>-9308352.1404314674</v>
      </c>
      <c r="P7" s="2494">
        <v>44592</v>
      </c>
      <c r="Q7" s="2488">
        <f>-'G-3.04,5.01 PF AMI'!AK48</f>
        <v>-108014.33993006992</v>
      </c>
      <c r="R7" s="2488">
        <f t="shared" si="3"/>
        <v>12632467.730279718</v>
      </c>
      <c r="S7" s="2488"/>
      <c r="T7" s="2488">
        <f t="shared" si="1"/>
        <v>-2652818.2233587406</v>
      </c>
      <c r="AA7" s="2487"/>
      <c r="AB7" s="2487"/>
      <c r="AC7" s="2487"/>
      <c r="AD7" s="2487"/>
      <c r="AE7" s="2487"/>
      <c r="AF7" s="2487"/>
      <c r="AG7" s="2487"/>
      <c r="AH7" s="2487"/>
      <c r="AI7" s="2487"/>
      <c r="AJ7" s="2487"/>
      <c r="AK7" s="2487"/>
      <c r="AO7" s="477" t="s">
        <v>2177</v>
      </c>
      <c r="AP7" s="2492">
        <f>(AP4*6/12)+(AP5*6/12)</f>
        <v>7821476.2331397953</v>
      </c>
      <c r="AQ7" s="2498">
        <f>AP7*0.75</f>
        <v>5866107.1748548467</v>
      </c>
      <c r="AR7" s="2498">
        <f>AP7*0.25</f>
        <v>1955369.0582849488</v>
      </c>
      <c r="AV7" s="1230" t="s">
        <v>2178</v>
      </c>
    </row>
    <row r="8" spans="1:73" ht="15.75" thickBot="1">
      <c r="A8" s="1230" t="s">
        <v>2179</v>
      </c>
      <c r="B8" s="1230" t="s">
        <v>2180</v>
      </c>
      <c r="C8" s="2499">
        <f>SUM(C3:C7)</f>
        <v>24433300.546909031</v>
      </c>
      <c r="D8" s="2499">
        <f>SUM(D3:D7)</f>
        <v>6922019.3711484876</v>
      </c>
      <c r="E8" s="2488"/>
      <c r="I8" s="2494">
        <v>44620</v>
      </c>
      <c r="J8" s="2488">
        <f>-'G-3.04,5.01 PF AMI'!AE49</f>
        <v>-357221.16174825176</v>
      </c>
      <c r="K8" s="2488">
        <f t="shared" si="2"/>
        <v>43968265.221258737</v>
      </c>
      <c r="L8" s="2488"/>
      <c r="M8" s="2488">
        <f t="shared" si="0"/>
        <v>-9233335.6964643337</v>
      </c>
      <c r="P8" s="2494">
        <v>44620</v>
      </c>
      <c r="Q8" s="2488">
        <f>-'G-3.04,5.01 PF AMI'!AK49</f>
        <v>-108014.33993006992</v>
      </c>
      <c r="R8" s="2488">
        <f t="shared" si="3"/>
        <v>12524453.390349647</v>
      </c>
      <c r="S8" s="2488"/>
      <c r="T8" s="2488">
        <f t="shared" si="1"/>
        <v>-2630135.2119734259</v>
      </c>
      <c r="Y8" s="477">
        <v>1</v>
      </c>
      <c r="Z8" s="477">
        <v>201809</v>
      </c>
      <c r="AA8" s="2487"/>
      <c r="AB8" s="2487"/>
      <c r="AC8" s="2487"/>
      <c r="AD8" s="2487"/>
      <c r="AE8" s="2487"/>
      <c r="AF8" s="2487"/>
      <c r="AG8" s="2487"/>
      <c r="AH8" s="2487"/>
      <c r="AI8" s="2487"/>
      <c r="AJ8" s="2487"/>
      <c r="AK8" s="2487"/>
      <c r="AQ8" s="1140"/>
      <c r="AR8" s="1140"/>
      <c r="AV8" s="1230"/>
      <c r="AW8" s="477" t="s">
        <v>2181</v>
      </c>
      <c r="AX8" s="1210">
        <v>57383155.35846632</v>
      </c>
      <c r="AY8" s="1210">
        <v>132405573.00601076</v>
      </c>
      <c r="AZ8" s="1210">
        <v>280175</v>
      </c>
      <c r="BA8" s="1210">
        <v>369752.77120000031</v>
      </c>
      <c r="BB8" s="2490">
        <v>580538.65811706323</v>
      </c>
      <c r="BC8" s="1210">
        <v>1652817.0334517234</v>
      </c>
      <c r="BD8" s="1210">
        <v>4295101.6957793366</v>
      </c>
      <c r="BE8" s="1210">
        <v>4373501.9934327714</v>
      </c>
      <c r="BF8" s="1210">
        <v>4453336.2220941437</v>
      </c>
      <c r="BG8" s="1210">
        <v>6239048.709157981</v>
      </c>
      <c r="BH8" s="1210">
        <v>6487264.8415476931</v>
      </c>
      <c r="BI8" s="1210">
        <v>6745301.9419204406</v>
      </c>
      <c r="BJ8" s="1210">
        <v>7013549.4782801382</v>
      </c>
      <c r="BK8" s="1210">
        <v>7292411.7431279421</v>
      </c>
      <c r="BL8" s="1210">
        <v>7582309.4826638978</v>
      </c>
      <c r="BM8" s="1210">
        <v>7883680.5510302968</v>
      </c>
      <c r="BN8" s="1210">
        <v>8196980.5905941557</v>
      </c>
      <c r="BO8" s="1210">
        <v>8522681.7393059209</v>
      </c>
      <c r="BP8" s="1210">
        <v>8861276.366212938</v>
      </c>
      <c r="BQ8" s="1210">
        <v>9213275.8362491019</v>
      </c>
      <c r="BR8" s="1210">
        <v>9579211.3054668829</v>
      </c>
      <c r="BS8" s="1210">
        <v>9959635.5479243323</v>
      </c>
      <c r="BT8" s="1210">
        <v>10355124.815488093</v>
      </c>
      <c r="BU8" s="1210">
        <v>2468596.6829658966</v>
      </c>
    </row>
    <row r="9" spans="1:73" ht="15">
      <c r="C9" s="2488"/>
      <c r="D9" s="2488"/>
      <c r="E9" s="2488"/>
      <c r="I9" s="2494">
        <v>44651</v>
      </c>
      <c r="J9" s="2488">
        <f>-'G-3.04,5.01 PF AMI'!AE50</f>
        <v>-357221.16174825176</v>
      </c>
      <c r="K9" s="2488">
        <f t="shared" si="2"/>
        <v>43611044.059510484</v>
      </c>
      <c r="L9" s="2488"/>
      <c r="M9" s="2488">
        <f t="shared" si="0"/>
        <v>-9158319.2524972018</v>
      </c>
      <c r="P9" s="2494">
        <v>44651</v>
      </c>
      <c r="Q9" s="2488">
        <f>-'G-3.04,5.01 PF AMI'!AK50</f>
        <v>-108014.33993006992</v>
      </c>
      <c r="R9" s="2488">
        <f t="shared" si="3"/>
        <v>12416439.050419576</v>
      </c>
      <c r="S9" s="2488"/>
      <c r="T9" s="2488">
        <f t="shared" si="1"/>
        <v>-2607452.2005881108</v>
      </c>
      <c r="Y9" s="477">
        <v>2</v>
      </c>
      <c r="Z9" s="477">
        <v>201810</v>
      </c>
      <c r="AA9" s="2487"/>
      <c r="AB9" s="2487"/>
      <c r="AC9" s="2487"/>
      <c r="AD9" s="2487"/>
      <c r="AE9" s="2487"/>
      <c r="AF9" s="2487"/>
      <c r="AG9" s="2487"/>
      <c r="AH9" s="2487"/>
      <c r="AI9" s="2487"/>
      <c r="AJ9" s="2487"/>
      <c r="AK9" s="2487"/>
      <c r="AO9" s="477" t="s">
        <v>2182</v>
      </c>
      <c r="AP9" s="2500">
        <f>'G-3.04,5.01 PF AMI'!BI55</f>
        <v>10583688.338130785</v>
      </c>
      <c r="AQ9" s="2501">
        <f>AP9*0.75</f>
        <v>7937766.2535980884</v>
      </c>
      <c r="AR9" s="2501">
        <f>AP9*0.25</f>
        <v>2645922.0845326963</v>
      </c>
      <c r="AV9" s="1230"/>
      <c r="AW9" s="477" t="s">
        <v>2183</v>
      </c>
      <c r="AX9" s="1210">
        <v>359095.05610758282</v>
      </c>
      <c r="AY9" s="1210">
        <v>781459.24000000034</v>
      </c>
      <c r="AZ9" s="1210">
        <v>0</v>
      </c>
      <c r="BA9" s="1210">
        <v>0</v>
      </c>
      <c r="BB9" s="1210">
        <v>0</v>
      </c>
      <c r="BC9" s="1210">
        <v>14499.057857142858</v>
      </c>
      <c r="BD9" s="1210">
        <v>36247.644642857143</v>
      </c>
      <c r="BE9" s="1210">
        <v>36247.644642857143</v>
      </c>
      <c r="BF9" s="1210">
        <v>34772.644642857143</v>
      </c>
      <c r="BG9" s="1210">
        <v>46855.192857142858</v>
      </c>
      <c r="BH9" s="1210">
        <v>46363.192857142858</v>
      </c>
      <c r="BI9" s="1210">
        <v>46363.192857142858</v>
      </c>
      <c r="BJ9" s="1210">
        <v>46363.192857142858</v>
      </c>
      <c r="BK9" s="1210">
        <v>46363.192857142858</v>
      </c>
      <c r="BL9" s="1210">
        <v>46363.192857142858</v>
      </c>
      <c r="BM9" s="1210">
        <v>46363.192857142858</v>
      </c>
      <c r="BN9" s="1210">
        <v>46363.192857142858</v>
      </c>
      <c r="BO9" s="1210">
        <v>46363.192857142858</v>
      </c>
      <c r="BP9" s="1210">
        <v>46363.192857142858</v>
      </c>
      <c r="BQ9" s="1210">
        <v>46363.192857142858</v>
      </c>
      <c r="BR9" s="1210">
        <v>46363.192857142858</v>
      </c>
      <c r="BS9" s="1210">
        <v>46363.192857142858</v>
      </c>
      <c r="BT9" s="1210">
        <v>46363.192857142858</v>
      </c>
      <c r="BU9" s="1210">
        <v>10115.548214285714</v>
      </c>
    </row>
    <row r="10" spans="1:73" ht="15.75" thickBot="1">
      <c r="C10" s="2488"/>
      <c r="D10" s="2488"/>
      <c r="E10" s="2488"/>
      <c r="I10" s="2494">
        <v>44681</v>
      </c>
      <c r="J10" s="2488">
        <f>-'G-3.04,5.01 PF AMI'!AE51</f>
        <v>-357221.16174825176</v>
      </c>
      <c r="K10" s="2488">
        <f t="shared" si="2"/>
        <v>43253822.897762232</v>
      </c>
      <c r="L10" s="2488"/>
      <c r="M10" s="2488">
        <f t="shared" si="0"/>
        <v>-9083302.808530068</v>
      </c>
      <c r="P10" s="2494">
        <v>44681</v>
      </c>
      <c r="Q10" s="2488">
        <f>-'G-3.04,5.01 PF AMI'!AK51</f>
        <v>-108014.33993006992</v>
      </c>
      <c r="R10" s="2488">
        <f t="shared" si="3"/>
        <v>12308424.710489506</v>
      </c>
      <c r="S10" s="2488"/>
      <c r="T10" s="2488">
        <f t="shared" si="1"/>
        <v>-2584769.1892027962</v>
      </c>
      <c r="Y10" s="477">
        <v>3</v>
      </c>
      <c r="Z10" s="477">
        <v>201811</v>
      </c>
      <c r="AA10" s="2487"/>
      <c r="AB10" s="2487"/>
      <c r="AC10" s="2487"/>
      <c r="AD10" s="2487"/>
      <c r="AE10" s="2487"/>
      <c r="AF10" s="2487"/>
      <c r="AG10" s="2487"/>
      <c r="AH10" s="2487"/>
      <c r="AI10" s="2487"/>
      <c r="AJ10" s="2487"/>
      <c r="AK10" s="2487"/>
      <c r="AQ10" s="1140"/>
      <c r="AR10" s="1140"/>
      <c r="AV10" s="1230"/>
      <c r="AW10" s="477" t="s">
        <v>2184</v>
      </c>
      <c r="AX10" s="1210">
        <v>2423030.0241882531</v>
      </c>
      <c r="AY10" s="1210">
        <v>5419318.8420403842</v>
      </c>
      <c r="AZ10" s="1210">
        <v>0</v>
      </c>
      <c r="BA10" s="1210">
        <v>0</v>
      </c>
      <c r="BB10" s="1210">
        <v>0</v>
      </c>
      <c r="BC10" s="1210">
        <v>67530.247925326781</v>
      </c>
      <c r="BD10" s="1210">
        <v>168825.61981331697</v>
      </c>
      <c r="BE10" s="1210">
        <v>168825.61981331697</v>
      </c>
      <c r="BF10" s="1210">
        <v>172555.53343975573</v>
      </c>
      <c r="BG10" s="1210">
        <v>235178.66123374406</v>
      </c>
      <c r="BH10" s="1210">
        <v>400697.40055611229</v>
      </c>
      <c r="BI10" s="1210">
        <v>409662.09499869589</v>
      </c>
      <c r="BJ10" s="1210">
        <v>418865.16799881589</v>
      </c>
      <c r="BK10" s="1210">
        <v>428313.46529044106</v>
      </c>
      <c r="BL10" s="1210">
        <v>438014.03492333164</v>
      </c>
      <c r="BM10" s="1210">
        <v>447974.13330195076</v>
      </c>
      <c r="BN10" s="1210">
        <v>274920.73884314264</v>
      </c>
      <c r="BO10" s="1210">
        <v>281221.81271559931</v>
      </c>
      <c r="BP10" s="1210">
        <v>287692.45332130126</v>
      </c>
      <c r="BQ10" s="1210">
        <v>294337.55300741666</v>
      </c>
      <c r="BR10" s="1210">
        <v>301162.14894498023</v>
      </c>
      <c r="BS10" s="1210">
        <v>308171.42745414423</v>
      </c>
      <c r="BT10" s="1210">
        <v>315370.72845899116</v>
      </c>
      <c r="BU10" s="1210">
        <v>0</v>
      </c>
    </row>
    <row r="11" spans="1:73" ht="15.75" thickBot="1">
      <c r="A11" s="2102" t="s">
        <v>2185</v>
      </c>
      <c r="B11" s="1230" t="s">
        <v>2186</v>
      </c>
      <c r="C11" s="2491">
        <f>-'G-3.04,5.01 PF AMI'!N149</f>
        <v>4036891.9831665209</v>
      </c>
      <c r="D11" s="2491">
        <f>-'G-3.04,5.01 PF AMI'!U149</f>
        <v>1184538.070410839</v>
      </c>
      <c r="E11" s="2488"/>
      <c r="I11" s="2494">
        <v>44712</v>
      </c>
      <c r="J11" s="2488">
        <f>-'G-3.04,5.01 PF AMI'!AE52</f>
        <v>-357221.16174825176</v>
      </c>
      <c r="K11" s="2488">
        <f t="shared" si="2"/>
        <v>42896601.736013979</v>
      </c>
      <c r="L11" s="2488"/>
      <c r="M11" s="2488">
        <f t="shared" si="0"/>
        <v>-9008286.3645629361</v>
      </c>
      <c r="P11" s="2494">
        <v>44712</v>
      </c>
      <c r="Q11" s="2488">
        <f>-'G-3.04,5.01 PF AMI'!AK52</f>
        <v>-108014.33993006992</v>
      </c>
      <c r="R11" s="2488">
        <f t="shared" si="3"/>
        <v>12200410.370559435</v>
      </c>
      <c r="S11" s="2488"/>
      <c r="T11" s="2488">
        <f t="shared" si="1"/>
        <v>-2562086.1778174811</v>
      </c>
      <c r="Y11" s="477">
        <v>4</v>
      </c>
      <c r="Z11" s="477">
        <v>201812</v>
      </c>
      <c r="AA11" s="2487"/>
      <c r="AB11" s="2487"/>
      <c r="AC11" s="2487"/>
      <c r="AD11" s="2487"/>
      <c r="AE11" s="2487"/>
      <c r="AF11" s="2487"/>
      <c r="AG11" s="2487"/>
      <c r="AH11" s="2487"/>
      <c r="AI11" s="2487"/>
      <c r="AJ11" s="2487"/>
      <c r="AK11" s="2487"/>
      <c r="AO11" s="477" t="s">
        <v>2187</v>
      </c>
      <c r="AP11" s="2502">
        <f>AP7-AP9</f>
        <v>-2762212.1049909899</v>
      </c>
      <c r="AQ11" s="2503">
        <f>AQ7-AQ9</f>
        <v>-2071659.0787432417</v>
      </c>
      <c r="AR11" s="2503">
        <f>AR7-AR9</f>
        <v>-690553.02624774748</v>
      </c>
      <c r="AV11" s="2504"/>
      <c r="AW11" s="2505" t="s">
        <v>24</v>
      </c>
      <c r="AX11" s="2506">
        <f t="shared" ref="AX11:BU11" si="4">SUM(AX8:AX10)</f>
        <v>60165280.438762151</v>
      </c>
      <c r="AY11" s="2506">
        <f t="shared" si="4"/>
        <v>138606351.08805114</v>
      </c>
      <c r="AZ11" s="2506">
        <f t="shared" si="4"/>
        <v>280175</v>
      </c>
      <c r="BA11" s="2506">
        <f t="shared" si="4"/>
        <v>369752.77120000031</v>
      </c>
      <c r="BB11" s="2506">
        <f t="shared" si="4"/>
        <v>580538.65811706323</v>
      </c>
      <c r="BC11" s="2506">
        <f t="shared" si="4"/>
        <v>1734846.3392341929</v>
      </c>
      <c r="BD11" s="2506">
        <f t="shared" si="4"/>
        <v>4500174.96023551</v>
      </c>
      <c r="BE11" s="2506">
        <f t="shared" si="4"/>
        <v>4578575.2578889448</v>
      </c>
      <c r="BF11" s="2506">
        <f t="shared" si="4"/>
        <v>4660664.4001767561</v>
      </c>
      <c r="BG11" s="2506">
        <f t="shared" si="4"/>
        <v>6521082.5632488672</v>
      </c>
      <c r="BH11" s="2506">
        <f t="shared" si="4"/>
        <v>6934325.4349609483</v>
      </c>
      <c r="BI11" s="2506">
        <f t="shared" si="4"/>
        <v>7201327.2297762791</v>
      </c>
      <c r="BJ11" s="2506">
        <f t="shared" si="4"/>
        <v>7478777.8391360966</v>
      </c>
      <c r="BK11" s="2506">
        <f t="shared" si="4"/>
        <v>7767088.4012755258</v>
      </c>
      <c r="BL11" s="2506">
        <f t="shared" si="4"/>
        <v>8066686.7104443721</v>
      </c>
      <c r="BM11" s="2506">
        <f t="shared" si="4"/>
        <v>8378017.8771893904</v>
      </c>
      <c r="BN11" s="2506">
        <f t="shared" si="4"/>
        <v>8518264.5222944412</v>
      </c>
      <c r="BO11" s="2506">
        <f t="shared" si="4"/>
        <v>8850266.7448786628</v>
      </c>
      <c r="BP11" s="2506">
        <f t="shared" si="4"/>
        <v>9195332.012391381</v>
      </c>
      <c r="BQ11" s="2506">
        <f t="shared" si="4"/>
        <v>9553976.5821136609</v>
      </c>
      <c r="BR11" s="2506">
        <f t="shared" si="4"/>
        <v>9926736.647269005</v>
      </c>
      <c r="BS11" s="2506">
        <f t="shared" si="4"/>
        <v>10314170.168235619</v>
      </c>
      <c r="BT11" s="2506">
        <f t="shared" si="4"/>
        <v>10716858.736804226</v>
      </c>
      <c r="BU11" s="2506">
        <f t="shared" si="4"/>
        <v>2478712.2311801822</v>
      </c>
    </row>
    <row r="12" spans="1:73" ht="15">
      <c r="C12" s="2507"/>
      <c r="D12" s="2488"/>
      <c r="E12" s="2507"/>
      <c r="I12" s="2494">
        <v>44742</v>
      </c>
      <c r="J12" s="2488">
        <f>-'G-3.04,5.01 PF AMI'!AE53</f>
        <v>-357221.16174825176</v>
      </c>
      <c r="K12" s="2488">
        <f t="shared" si="2"/>
        <v>42539380.574265726</v>
      </c>
      <c r="L12" s="2488"/>
      <c r="M12" s="2488">
        <f t="shared" si="0"/>
        <v>-8933269.9205958024</v>
      </c>
      <c r="P12" s="2494">
        <v>44742</v>
      </c>
      <c r="Q12" s="2488">
        <f>-'G-3.04,5.01 PF AMI'!AK53</f>
        <v>-108014.33993006992</v>
      </c>
      <c r="R12" s="2488">
        <f t="shared" si="3"/>
        <v>12092396.030629365</v>
      </c>
      <c r="S12" s="2488"/>
      <c r="T12" s="2488">
        <f t="shared" si="1"/>
        <v>-2539403.1664321665</v>
      </c>
      <c r="Y12" s="477">
        <v>5</v>
      </c>
      <c r="Z12" s="477">
        <v>201901</v>
      </c>
      <c r="AA12" s="2487"/>
      <c r="AB12" s="2487"/>
      <c r="AC12" s="2487"/>
      <c r="AD12" s="2487"/>
      <c r="AE12" s="2487"/>
      <c r="AF12" s="2487"/>
      <c r="AG12" s="2487"/>
      <c r="AH12" s="2487"/>
      <c r="AI12" s="2487"/>
      <c r="AJ12" s="2487"/>
      <c r="AK12" s="2487"/>
      <c r="AV12" s="1230"/>
      <c r="AX12" s="1210"/>
      <c r="AY12" s="1210"/>
      <c r="AZ12" s="1210"/>
      <c r="BA12" s="1210"/>
      <c r="BB12" s="1210"/>
      <c r="BC12" s="1210"/>
      <c r="BD12" s="1210"/>
      <c r="BE12" s="1210"/>
      <c r="BF12" s="1210"/>
      <c r="BG12" s="1210"/>
      <c r="BH12" s="1210"/>
      <c r="BI12" s="1210"/>
      <c r="BJ12" s="1210"/>
      <c r="BK12" s="1210"/>
      <c r="BL12" s="1210"/>
      <c r="BM12" s="1210"/>
      <c r="BN12" s="1210"/>
      <c r="BO12" s="1210"/>
      <c r="BP12" s="1210"/>
      <c r="BQ12" s="1210"/>
      <c r="BR12" s="1210"/>
      <c r="BS12" s="1210"/>
      <c r="BT12" s="1210"/>
      <c r="BU12" s="1210"/>
    </row>
    <row r="13" spans="1:73" ht="15.75" thickBot="1">
      <c r="A13" s="477" t="s">
        <v>2188</v>
      </c>
      <c r="B13" s="477" t="s">
        <v>2189</v>
      </c>
      <c r="C13" s="2496">
        <f>-'G-3.04,5.01 PF AMI'!N150</f>
        <v>-249761.95781250019</v>
      </c>
      <c r="D13" s="2508">
        <f>-'G-3.04,5.01 PF AMI'!U150</f>
        <v>-111634.00875000004</v>
      </c>
      <c r="E13" s="2496" t="s">
        <v>2190</v>
      </c>
      <c r="I13" s="2494">
        <v>44773</v>
      </c>
      <c r="J13" s="2509">
        <f>-'G-3.04,5.01 PF AMI'!AE54</f>
        <v>-357221.16174825176</v>
      </c>
      <c r="K13" s="2488">
        <f t="shared" si="2"/>
        <v>42182159.412517473</v>
      </c>
      <c r="L13" s="2488"/>
      <c r="M13" s="2488">
        <f t="shared" si="0"/>
        <v>-8858253.4766286686</v>
      </c>
      <c r="P13" s="2494">
        <v>44773</v>
      </c>
      <c r="Q13" s="2509">
        <f>-'G-3.04,5.01 PF AMI'!AK54</f>
        <v>-108014.33993006992</v>
      </c>
      <c r="R13" s="2488">
        <f t="shared" si="3"/>
        <v>11984381.690699294</v>
      </c>
      <c r="S13" s="2488"/>
      <c r="T13" s="2488">
        <f t="shared" si="1"/>
        <v>-2516720.1550468518</v>
      </c>
      <c r="Y13" s="477">
        <v>6</v>
      </c>
      <c r="Z13" s="477">
        <v>201902</v>
      </c>
      <c r="AA13" s="2487"/>
      <c r="AB13" s="2487"/>
      <c r="AC13" s="2487"/>
      <c r="AD13" s="2487"/>
      <c r="AE13" s="2487"/>
      <c r="AF13" s="2487"/>
      <c r="AG13" s="2487"/>
      <c r="AH13" s="2487"/>
      <c r="AI13" s="2487"/>
      <c r="AJ13" s="2487"/>
      <c r="AK13" s="2487"/>
      <c r="AV13" s="1230" t="s">
        <v>2191</v>
      </c>
      <c r="AX13" s="1210"/>
      <c r="AY13" s="1210"/>
      <c r="AZ13" s="1210"/>
      <c r="BA13" s="1210"/>
      <c r="BB13" s="1210"/>
      <c r="BC13" s="1210"/>
      <c r="BD13" s="1210"/>
      <c r="BE13" s="1210"/>
      <c r="BF13" s="1210"/>
      <c r="BG13" s="1210"/>
      <c r="BH13" s="1210"/>
      <c r="BI13" s="1210"/>
      <c r="BJ13" s="1210"/>
      <c r="BK13" s="1210"/>
      <c r="BL13" s="1210"/>
      <c r="BM13" s="1210"/>
      <c r="BN13" s="1210"/>
      <c r="BO13" s="1210"/>
      <c r="BP13" s="1210"/>
      <c r="BQ13" s="1210"/>
      <c r="BR13" s="1210"/>
      <c r="BS13" s="1210"/>
      <c r="BT13" s="1210"/>
      <c r="BU13" s="1210"/>
    </row>
    <row r="14" spans="1:73" ht="15.75" thickBot="1">
      <c r="A14" s="1230"/>
      <c r="B14" s="1230" t="s">
        <v>2192</v>
      </c>
      <c r="C14" s="2510">
        <f>C11+C13</f>
        <v>3787130.0253540208</v>
      </c>
      <c r="D14" s="2510">
        <f>D11+D13</f>
        <v>1072904.061660839</v>
      </c>
      <c r="E14" s="2488"/>
      <c r="I14" s="2494">
        <v>44804</v>
      </c>
      <c r="J14" s="2511">
        <f>-'G-3.04,5.01 PF AMI'!AE55</f>
        <v>-357221.16174825176</v>
      </c>
      <c r="K14" s="2488">
        <f t="shared" si="2"/>
        <v>41824938.25076922</v>
      </c>
      <c r="L14" s="2488"/>
      <c r="M14" s="2488">
        <f t="shared" si="0"/>
        <v>-8783237.0326615367</v>
      </c>
      <c r="P14" s="2494">
        <v>44804</v>
      </c>
      <c r="Q14" s="2511">
        <f>-'G-3.04,5.01 PF AMI'!AK55</f>
        <v>-108014.33993006992</v>
      </c>
      <c r="R14" s="2488">
        <f t="shared" si="3"/>
        <v>11876367.350769224</v>
      </c>
      <c r="S14" s="2488"/>
      <c r="T14" s="2488">
        <f t="shared" si="1"/>
        <v>-2494037.1436615367</v>
      </c>
      <c r="Y14" s="477">
        <v>7</v>
      </c>
      <c r="Z14" s="477">
        <v>201903</v>
      </c>
      <c r="AA14" s="2487"/>
      <c r="AB14" s="2487"/>
      <c r="AC14" s="2487"/>
      <c r="AD14" s="2487"/>
      <c r="AE14" s="2487"/>
      <c r="AF14" s="2487"/>
      <c r="AG14" s="2487"/>
      <c r="AH14" s="2487"/>
      <c r="AI14" s="2487"/>
      <c r="AJ14" s="2487"/>
      <c r="AK14" s="2487"/>
      <c r="AO14" s="477" t="s">
        <v>2193</v>
      </c>
      <c r="AP14" s="2500">
        <f>'G-3.04,5.01 PF AMI'!BJ55</f>
        <v>11002476.765118225</v>
      </c>
      <c r="AQ14" s="2501">
        <f>AP14*0.75</f>
        <v>8251857.5738386679</v>
      </c>
      <c r="AR14" s="2501">
        <f>AP14*0.25</f>
        <v>2750619.1912795561</v>
      </c>
      <c r="AV14" s="2512"/>
      <c r="AW14" s="1189" t="s">
        <v>2194</v>
      </c>
      <c r="AX14" s="2513">
        <v>10352917.364609633</v>
      </c>
      <c r="AY14" s="2513">
        <v>23985022.705145601</v>
      </c>
      <c r="AZ14" s="2513">
        <v>0</v>
      </c>
      <c r="BA14" s="2513">
        <v>0</v>
      </c>
      <c r="BB14" s="2513">
        <v>0</v>
      </c>
      <c r="BC14" s="2513">
        <v>292022.46388064261</v>
      </c>
      <c r="BD14" s="2513">
        <v>759258.40608967096</v>
      </c>
      <c r="BE14" s="2513">
        <v>789628.7423332578</v>
      </c>
      <c r="BF14" s="2513">
        <v>821213.89202658809</v>
      </c>
      <c r="BG14" s="2513">
        <v>1138749.9302768689</v>
      </c>
      <c r="BH14" s="2513">
        <v>1184299.9274879438</v>
      </c>
      <c r="BI14" s="2513">
        <v>1231671.9245874614</v>
      </c>
      <c r="BJ14" s="2513">
        <v>1280938.8015709599</v>
      </c>
      <c r="BK14" s="2513">
        <v>1332176.3536337987</v>
      </c>
      <c r="BL14" s="2513">
        <v>1385463.4077791504</v>
      </c>
      <c r="BM14" s="2513">
        <v>1440881.9440903165</v>
      </c>
      <c r="BN14" s="2513">
        <v>1498517.2218539291</v>
      </c>
      <c r="BO14" s="2513">
        <v>1558457.9107280865</v>
      </c>
      <c r="BP14" s="2513">
        <v>1620796.22715721</v>
      </c>
      <c r="BQ14" s="2513">
        <v>1685628.0762434984</v>
      </c>
      <c r="BR14" s="2513">
        <v>1753053.1992932386</v>
      </c>
      <c r="BS14" s="2513">
        <v>1823175.3272649681</v>
      </c>
      <c r="BT14" s="2513">
        <v>1896102.3403555672</v>
      </c>
      <c r="BU14" s="2513">
        <v>492986.60849244741</v>
      </c>
    </row>
    <row r="15" spans="1:73" ht="15.75" thickBot="1">
      <c r="C15" s="2488"/>
      <c r="D15" s="2488"/>
      <c r="E15" s="2488"/>
      <c r="I15" s="2494">
        <v>44834</v>
      </c>
      <c r="J15" s="2511">
        <f>-'G-3.04,5.01 PF AMI'!AE56</f>
        <v>-357221.16174825176</v>
      </c>
      <c r="K15" s="2488">
        <f t="shared" si="2"/>
        <v>41467717.089020967</v>
      </c>
      <c r="L15" s="2488"/>
      <c r="M15" s="2488">
        <f t="shared" si="0"/>
        <v>-8708220.5886944029</v>
      </c>
      <c r="P15" s="2494">
        <v>44834</v>
      </c>
      <c r="Q15" s="2511">
        <f>-'G-3.04,5.01 PF AMI'!AK56</f>
        <v>-108014.33993006992</v>
      </c>
      <c r="R15" s="2488">
        <f t="shared" si="3"/>
        <v>11768353.010839153</v>
      </c>
      <c r="S15" s="2488"/>
      <c r="T15" s="2488">
        <f t="shared" si="1"/>
        <v>-2471354.1322762221</v>
      </c>
      <c r="Y15" s="477">
        <v>8</v>
      </c>
      <c r="Z15" s="477">
        <v>201904</v>
      </c>
      <c r="AA15" s="2487"/>
      <c r="AB15" s="2487"/>
      <c r="AC15" s="2487"/>
      <c r="AD15" s="2487"/>
      <c r="AE15" s="2487"/>
      <c r="AF15" s="2487"/>
      <c r="AG15" s="2487"/>
      <c r="AH15" s="2487"/>
      <c r="AI15" s="2487"/>
      <c r="AJ15" s="2487"/>
      <c r="AK15" s="2487"/>
      <c r="AO15" s="2060"/>
      <c r="AP15" s="987"/>
      <c r="AV15" s="1230"/>
      <c r="AW15" s="477" t="s">
        <v>2195</v>
      </c>
      <c r="AX15" s="1210">
        <v>11326483.662125032</v>
      </c>
      <c r="AY15" s="1210">
        <v>18802758.466754206</v>
      </c>
      <c r="AZ15" s="1210">
        <v>0</v>
      </c>
      <c r="BA15" s="1210">
        <v>0</v>
      </c>
      <c r="BB15" s="1210">
        <v>0</v>
      </c>
      <c r="BC15" s="1210">
        <v>229989.25622264785</v>
      </c>
      <c r="BD15" s="1210">
        <v>597697.91269052867</v>
      </c>
      <c r="BE15" s="1210">
        <v>621321.53203072469</v>
      </c>
      <c r="BF15" s="1210">
        <v>645879.57714933413</v>
      </c>
      <c r="BG15" s="1210">
        <v>895212.0478328946</v>
      </c>
      <c r="BH15" s="1210">
        <v>930597.81486357015</v>
      </c>
      <c r="BI15" s="1210">
        <v>967383.37212481501</v>
      </c>
      <c r="BJ15" s="1210">
        <v>1005624.1325291775</v>
      </c>
      <c r="BK15" s="1210">
        <v>1045377.7040939315</v>
      </c>
      <c r="BL15" s="1210">
        <v>1086703.9769530282</v>
      </c>
      <c r="BM15" s="1210">
        <v>1129665.2138202165</v>
      </c>
      <c r="BN15" s="1210">
        <v>1174326.1440402875</v>
      </c>
      <c r="BO15" s="1210">
        <v>1220754.0613708503</v>
      </c>
      <c r="BP15" s="1210">
        <v>1269018.9256426867</v>
      </c>
      <c r="BQ15" s="1210">
        <v>1319193.4684526257</v>
      </c>
      <c r="BR15" s="1210">
        <v>1371353.3030489788</v>
      </c>
      <c r="BS15" s="1210">
        <v>1425577.038575941</v>
      </c>
      <c r="BT15" s="1210">
        <v>1481946.3988499674</v>
      </c>
      <c r="BU15" s="1210">
        <v>385136.58646200021</v>
      </c>
    </row>
    <row r="16" spans="1:73" ht="15.75" thickBot="1">
      <c r="A16" s="2102" t="s">
        <v>2196</v>
      </c>
      <c r="B16" s="1230"/>
      <c r="C16" s="2488"/>
      <c r="D16" s="2488"/>
      <c r="E16" s="2488"/>
      <c r="I16" s="2494">
        <v>44865</v>
      </c>
      <c r="J16" s="2511">
        <f>-'G-3.04,5.01 PF AMI'!AE57</f>
        <v>-357221.16174825176</v>
      </c>
      <c r="K16" s="2488">
        <f t="shared" si="2"/>
        <v>41110495.927272715</v>
      </c>
      <c r="L16" s="2488"/>
      <c r="M16" s="2488">
        <f t="shared" si="0"/>
        <v>-8633204.1447272692</v>
      </c>
      <c r="P16" s="2494">
        <v>44865</v>
      </c>
      <c r="Q16" s="2511">
        <f>-'G-3.04,5.01 PF AMI'!AK57</f>
        <v>-108014.33993006992</v>
      </c>
      <c r="R16" s="2488">
        <f t="shared" si="3"/>
        <v>11660338.670909083</v>
      </c>
      <c r="S16" s="2488"/>
      <c r="T16" s="2488">
        <f t="shared" si="1"/>
        <v>-2448671.120890907</v>
      </c>
      <c r="Y16" s="477">
        <v>9</v>
      </c>
      <c r="Z16" s="477">
        <v>201905</v>
      </c>
      <c r="AA16" s="2487"/>
      <c r="AB16" s="2487"/>
      <c r="AC16" s="2487"/>
      <c r="AD16" s="2487"/>
      <c r="AE16" s="2487"/>
      <c r="AF16" s="2487"/>
      <c r="AG16" s="2487"/>
      <c r="AH16" s="2487"/>
      <c r="AI16" s="2487"/>
      <c r="AJ16" s="2487"/>
      <c r="AK16" s="2487"/>
      <c r="AO16" s="477" t="s">
        <v>2197</v>
      </c>
      <c r="AP16" s="2502">
        <f>AP9-AP14</f>
        <v>-418788.42698743939</v>
      </c>
      <c r="AQ16" s="2503">
        <f>AQ9-AQ14</f>
        <v>-314091.32024057955</v>
      </c>
      <c r="AR16" s="2503">
        <f>AR9-AR14</f>
        <v>-104697.10674685985</v>
      </c>
      <c r="AV16" s="2504"/>
      <c r="AW16" s="2505" t="s">
        <v>24</v>
      </c>
      <c r="AX16" s="2506">
        <f t="shared" ref="AX16:BU16" si="5">SUM(AX14:AX15)</f>
        <v>21679401.026734665</v>
      </c>
      <c r="AY16" s="2506">
        <f t="shared" si="5"/>
        <v>42787781.17189981</v>
      </c>
      <c r="AZ16" s="2506">
        <f t="shared" si="5"/>
        <v>0</v>
      </c>
      <c r="BA16" s="2506">
        <f t="shared" si="5"/>
        <v>0</v>
      </c>
      <c r="BB16" s="2506">
        <f t="shared" si="5"/>
        <v>0</v>
      </c>
      <c r="BC16" s="2506">
        <f t="shared" si="5"/>
        <v>522011.72010329046</v>
      </c>
      <c r="BD16" s="2506">
        <f t="shared" si="5"/>
        <v>1356956.3187801996</v>
      </c>
      <c r="BE16" s="2506">
        <f t="shared" si="5"/>
        <v>1410950.2743639825</v>
      </c>
      <c r="BF16" s="2506">
        <f t="shared" si="5"/>
        <v>1467093.4691759222</v>
      </c>
      <c r="BG16" s="2506">
        <f t="shared" si="5"/>
        <v>2033961.9781097635</v>
      </c>
      <c r="BH16" s="2506">
        <f t="shared" si="5"/>
        <v>2114897.7423515138</v>
      </c>
      <c r="BI16" s="2506">
        <f t="shared" si="5"/>
        <v>2199055.2967122765</v>
      </c>
      <c r="BJ16" s="2506">
        <f t="shared" si="5"/>
        <v>2286562.9341001371</v>
      </c>
      <c r="BK16" s="2506">
        <f t="shared" si="5"/>
        <v>2377554.0577277299</v>
      </c>
      <c r="BL16" s="2506">
        <f t="shared" si="5"/>
        <v>2472167.3847321784</v>
      </c>
      <c r="BM16" s="2506">
        <f t="shared" si="5"/>
        <v>2570547.1579105332</v>
      </c>
      <c r="BN16" s="2506">
        <f t="shared" si="5"/>
        <v>2672843.3658942166</v>
      </c>
      <c r="BO16" s="2506">
        <f t="shared" si="5"/>
        <v>2779211.9720989368</v>
      </c>
      <c r="BP16" s="2506">
        <f t="shared" si="5"/>
        <v>2889815.1527998969</v>
      </c>
      <c r="BQ16" s="2506">
        <f t="shared" si="5"/>
        <v>3004821.5446961243</v>
      </c>
      <c r="BR16" s="2506">
        <f t="shared" si="5"/>
        <v>3124406.5023422176</v>
      </c>
      <c r="BS16" s="2506">
        <f t="shared" si="5"/>
        <v>3248752.3658409091</v>
      </c>
      <c r="BT16" s="2506">
        <f t="shared" si="5"/>
        <v>3378048.7392055346</v>
      </c>
      <c r="BU16" s="2506">
        <f t="shared" si="5"/>
        <v>878123.19495444768</v>
      </c>
    </row>
    <row r="17" spans="1:73" ht="15">
      <c r="A17" s="2102"/>
      <c r="B17" s="1230" t="s">
        <v>2186</v>
      </c>
      <c r="C17" s="2488">
        <f>-AQ7</f>
        <v>-5866107.1748548467</v>
      </c>
      <c r="D17" s="2488">
        <f>-AR7</f>
        <v>-1955369.0582849488</v>
      </c>
      <c r="E17" s="2488" t="s">
        <v>2198</v>
      </c>
      <c r="I17" s="2494">
        <v>44895</v>
      </c>
      <c r="J17" s="2511">
        <f>-'G-3.04,5.01 PF AMI'!AE58</f>
        <v>-357221.16174825176</v>
      </c>
      <c r="K17" s="2488">
        <f t="shared" si="2"/>
        <v>40753274.765524462</v>
      </c>
      <c r="L17" s="2488"/>
      <c r="M17" s="2488">
        <f t="shared" si="0"/>
        <v>-8558187.7007601373</v>
      </c>
      <c r="P17" s="2494">
        <v>44895</v>
      </c>
      <c r="Q17" s="2511">
        <f>-'G-3.04,5.01 PF AMI'!AK58</f>
        <v>-108014.33993006992</v>
      </c>
      <c r="R17" s="2488">
        <f t="shared" si="3"/>
        <v>11552324.330979012</v>
      </c>
      <c r="S17" s="2488"/>
      <c r="T17" s="2488">
        <f t="shared" si="1"/>
        <v>-2425988.1095055924</v>
      </c>
      <c r="Y17" s="477">
        <v>10</v>
      </c>
      <c r="Z17" s="477">
        <v>201906</v>
      </c>
      <c r="AA17" s="2487"/>
      <c r="AB17" s="2487"/>
      <c r="AC17" s="2487"/>
      <c r="AD17" s="2487"/>
      <c r="AE17" s="2487"/>
      <c r="AF17" s="2487"/>
      <c r="AG17" s="2487"/>
      <c r="AH17" s="2487"/>
      <c r="AI17" s="2487"/>
      <c r="AJ17" s="2487"/>
      <c r="AK17" s="2487"/>
      <c r="AO17" s="2060"/>
      <c r="AP17" s="2060"/>
      <c r="AV17" s="1230"/>
      <c r="AX17" s="1210"/>
      <c r="AY17" s="1210"/>
      <c r="AZ17" s="1210"/>
      <c r="BA17" s="1210"/>
      <c r="BB17" s="1210"/>
      <c r="BC17" s="1210"/>
      <c r="BD17" s="1210"/>
      <c r="BE17" s="1210"/>
      <c r="BF17" s="1210"/>
      <c r="BG17" s="1210"/>
      <c r="BH17" s="1210"/>
      <c r="BI17" s="1210"/>
      <c r="BJ17" s="1210"/>
      <c r="BK17" s="1210"/>
      <c r="BL17" s="1210"/>
      <c r="BM17" s="1210"/>
      <c r="BN17" s="1210"/>
      <c r="BO17" s="1210"/>
      <c r="BP17" s="1210"/>
      <c r="BQ17" s="1210"/>
      <c r="BR17" s="1210"/>
      <c r="BS17" s="1210"/>
      <c r="BT17" s="1210"/>
      <c r="BU17" s="1210"/>
    </row>
    <row r="18" spans="1:73" ht="15.75" thickBot="1">
      <c r="A18" s="477" t="s">
        <v>2199</v>
      </c>
      <c r="B18" s="1230" t="s">
        <v>2200</v>
      </c>
      <c r="C18" s="2496">
        <v>-2071659</v>
      </c>
      <c r="D18" s="2508">
        <v>-690553</v>
      </c>
      <c r="E18" s="2496" t="s">
        <v>2201</v>
      </c>
      <c r="F18" s="2497"/>
      <c r="I18" s="2494">
        <v>44926</v>
      </c>
      <c r="J18" s="2511">
        <f>-'G-3.04,5.01 PF AMI'!AE59</f>
        <v>-357221.16174825176</v>
      </c>
      <c r="K18" s="2488">
        <f t="shared" si="2"/>
        <v>40396053.603776209</v>
      </c>
      <c r="L18" s="2488"/>
      <c r="M18" s="2488">
        <f t="shared" si="0"/>
        <v>-8483171.2567930035</v>
      </c>
      <c r="P18" s="2494">
        <v>44926</v>
      </c>
      <c r="Q18" s="2511">
        <f>-'G-3.04,5.01 PF AMI'!AK59</f>
        <v>-108014.33993006992</v>
      </c>
      <c r="R18" s="2488">
        <f t="shared" si="3"/>
        <v>11444309.991048941</v>
      </c>
      <c r="S18" s="2488"/>
      <c r="T18" s="2488">
        <f t="shared" si="1"/>
        <v>-2403305.0981202777</v>
      </c>
      <c r="Y18" s="477">
        <v>11</v>
      </c>
      <c r="Z18" s="477">
        <v>201907</v>
      </c>
      <c r="AA18" s="2487"/>
      <c r="AB18" s="2487"/>
      <c r="AC18" s="2487"/>
      <c r="AD18" s="2487"/>
      <c r="AE18" s="2487"/>
      <c r="AF18" s="2487"/>
      <c r="AG18" s="2487"/>
      <c r="AH18" s="2487"/>
      <c r="AI18" s="2487"/>
      <c r="AJ18" s="2487"/>
      <c r="AK18" s="2487"/>
      <c r="AO18" s="2514"/>
      <c r="AP18" s="2514"/>
      <c r="AQ18" s="2514"/>
      <c r="AR18" s="2514"/>
      <c r="AV18" s="1230" t="s">
        <v>2202</v>
      </c>
      <c r="AX18" s="1210"/>
      <c r="AY18" s="1210"/>
      <c r="AZ18" s="1210"/>
      <c r="BA18" s="1210"/>
      <c r="BB18" s="1210"/>
      <c r="BC18" s="1210"/>
      <c r="BD18" s="1210"/>
      <c r="BE18" s="1210"/>
      <c r="BF18" s="1210"/>
      <c r="BG18" s="1210"/>
      <c r="BH18" s="1210"/>
      <c r="BI18" s="1210"/>
      <c r="BJ18" s="1210"/>
      <c r="BK18" s="1210"/>
      <c r="BL18" s="1210"/>
      <c r="BM18" s="1210"/>
      <c r="BN18" s="1210"/>
      <c r="BO18" s="1210"/>
      <c r="BP18" s="1210"/>
      <c r="BQ18" s="1210"/>
      <c r="BR18" s="1210"/>
      <c r="BS18" s="1210"/>
      <c r="BT18" s="1210"/>
      <c r="BU18" s="1210"/>
    </row>
    <row r="19" spans="1:73" ht="15.75" thickBot="1">
      <c r="B19" s="1230" t="s">
        <v>2203</v>
      </c>
      <c r="C19" s="2510">
        <f>C17+C18</f>
        <v>-7937766.1748548467</v>
      </c>
      <c r="D19" s="2510">
        <f>D17+D18</f>
        <v>-2645922.0582849486</v>
      </c>
      <c r="E19" s="2488"/>
      <c r="I19" s="2494">
        <v>44957</v>
      </c>
      <c r="J19" s="2511">
        <f>-'G-3.04,5.01 PF AMI'!AE60</f>
        <v>-315594.16877950181</v>
      </c>
      <c r="K19" s="2488">
        <f t="shared" si="2"/>
        <v>40080459.434996709</v>
      </c>
      <c r="L19" s="2488">
        <f t="shared" ref="L19:L82" si="6">(((K7+K19)/2)+K8+K9+K10+K11+K12+K13+K14+K15+K16+K17+K18)/12</f>
        <v>42183893.870557837</v>
      </c>
      <c r="M19" s="2488">
        <f t="shared" si="0"/>
        <v>-8416896.481349308</v>
      </c>
      <c r="N19" s="2488">
        <f t="shared" ref="N19:N82" si="7">(((M7+M19)/2)+M8+M9+M10+M11+M12+M13+M14+M15+M16+M17+M18)/12</f>
        <v>-8858617.7128171474</v>
      </c>
      <c r="P19" s="2494">
        <v>44957</v>
      </c>
      <c r="Q19" s="2511">
        <f>-'G-3.04,5.01 PF AMI'!AK60</f>
        <v>-89408.671805069913</v>
      </c>
      <c r="R19" s="2488">
        <f t="shared" si="3"/>
        <v>11354901.319243871</v>
      </c>
      <c r="S19" s="2488">
        <f t="shared" ref="S19:S82" si="8">(((R7+R19)/2)+R8+R9+R10+R11+R12+R13+R14+R15+R16+R17+R18)/12</f>
        <v>11985156.926871167</v>
      </c>
      <c r="T19" s="2488">
        <f t="shared" si="1"/>
        <v>-2384529.2770412127</v>
      </c>
      <c r="U19" s="2488">
        <f t="shared" ref="U19:U82" si="9">(((T7+T19)/2)+T8+T9+T10+T11+T12+T13+T14+T15+T16+T17+T18)/12</f>
        <v>-2516882.9546429454</v>
      </c>
      <c r="Y19" s="477">
        <v>12</v>
      </c>
      <c r="Z19" s="477">
        <v>201908</v>
      </c>
      <c r="AA19" s="2487"/>
      <c r="AB19" s="2487"/>
      <c r="AC19" s="2487"/>
      <c r="AD19" s="2487"/>
      <c r="AE19" s="2487"/>
      <c r="AF19" s="2487"/>
      <c r="AG19" s="2487"/>
      <c r="AH19" s="2487"/>
      <c r="AI19" s="2487"/>
      <c r="AJ19" s="2487"/>
      <c r="AK19" s="2487"/>
      <c r="AV19" s="2512"/>
      <c r="AW19" s="2493" t="s">
        <v>2204</v>
      </c>
      <c r="AX19" s="2515">
        <v>1277163.4111527745</v>
      </c>
      <c r="AY19" s="2515">
        <v>2710326.3109337473</v>
      </c>
      <c r="AZ19" s="2515">
        <v>0</v>
      </c>
      <c r="BA19" s="2515">
        <v>0</v>
      </c>
      <c r="BB19" s="2515">
        <v>0</v>
      </c>
      <c r="BC19" s="2515">
        <v>0</v>
      </c>
      <c r="BD19" s="2515">
        <v>0</v>
      </c>
      <c r="BE19" s="2515">
        <v>29223.210306401717</v>
      </c>
      <c r="BF19" s="2515">
        <v>50653.564531096301</v>
      </c>
      <c r="BG19" s="2515">
        <v>140479.21896624044</v>
      </c>
      <c r="BH19" s="2515">
        <v>146098.38772489008</v>
      </c>
      <c r="BI19" s="2515">
        <v>151942.32323388566</v>
      </c>
      <c r="BJ19" s="2515">
        <v>158020.01616324109</v>
      </c>
      <c r="BK19" s="2515">
        <v>164340.81680977077</v>
      </c>
      <c r="BL19" s="2515">
        <v>170914.44948216161</v>
      </c>
      <c r="BM19" s="2515">
        <v>177751.02746144807</v>
      </c>
      <c r="BN19" s="2515">
        <v>184861.06855990598</v>
      </c>
      <c r="BO19" s="2515">
        <v>192255.51130230224</v>
      </c>
      <c r="BP19" s="2515">
        <v>199945.73175439436</v>
      </c>
      <c r="BQ19" s="2515">
        <v>207943.56102457014</v>
      </c>
      <c r="BR19" s="2515">
        <v>216261.30346555295</v>
      </c>
      <c r="BS19" s="2515">
        <v>224911.75560417506</v>
      </c>
      <c r="BT19" s="2515">
        <v>233908.22582834214</v>
      </c>
      <c r="BU19" s="2515">
        <v>60816.13871536895</v>
      </c>
    </row>
    <row r="20" spans="1:73" ht="15.75" thickBot="1">
      <c r="A20" s="1359"/>
      <c r="B20" s="1359"/>
      <c r="C20" s="2516"/>
      <c r="D20" s="2516"/>
      <c r="E20" s="2516"/>
      <c r="F20" s="1359"/>
      <c r="I20" s="2494">
        <v>44985</v>
      </c>
      <c r="J20" s="2511">
        <f>-'G-3.04,5.01 PF AMI'!AE61</f>
        <v>-315594.16877950181</v>
      </c>
      <c r="K20" s="2488">
        <f t="shared" si="2"/>
        <v>39764865.266217209</v>
      </c>
      <c r="L20" s="2488">
        <f t="shared" si="6"/>
        <v>41831876.082930677</v>
      </c>
      <c r="M20" s="2488">
        <f t="shared" si="0"/>
        <v>-8350621.7059056135</v>
      </c>
      <c r="N20" s="2488">
        <f t="shared" si="7"/>
        <v>-8784693.9774154443</v>
      </c>
      <c r="P20" s="2494">
        <v>44985</v>
      </c>
      <c r="Q20" s="2511">
        <f>-'G-3.04,5.01 PF AMI'!AK61</f>
        <v>-89408.671805069913</v>
      </c>
      <c r="R20" s="2488">
        <f t="shared" si="3"/>
        <v>11265492.6474388</v>
      </c>
      <c r="S20" s="2488">
        <f t="shared" si="8"/>
        <v>11879468.295456722</v>
      </c>
      <c r="T20" s="2488">
        <f t="shared" si="1"/>
        <v>-2365753.455962148</v>
      </c>
      <c r="U20" s="2488">
        <f t="shared" si="9"/>
        <v>-2494688.3420459121</v>
      </c>
      <c r="Y20" s="477">
        <v>13</v>
      </c>
      <c r="Z20" s="477">
        <v>201909</v>
      </c>
      <c r="AA20" s="2487"/>
      <c r="AB20" s="2487"/>
      <c r="AC20" s="2487"/>
      <c r="AD20" s="2487"/>
      <c r="AE20" s="2487"/>
      <c r="AF20" s="2487"/>
      <c r="AG20" s="2487"/>
      <c r="AH20" s="2487"/>
      <c r="AI20" s="2487"/>
      <c r="AJ20" s="2487"/>
      <c r="AK20" s="2487"/>
      <c r="AV20" s="2512"/>
      <c r="AW20" s="2493" t="s">
        <v>2205</v>
      </c>
      <c r="AX20" s="2515">
        <v>2730472.1574196671</v>
      </c>
      <c r="AY20" s="2515">
        <v>5794458.614224514</v>
      </c>
      <c r="AZ20" s="2515">
        <v>0</v>
      </c>
      <c r="BA20" s="2515">
        <v>0</v>
      </c>
      <c r="BB20" s="2515">
        <v>0</v>
      </c>
      <c r="BC20" s="2515">
        <v>0</v>
      </c>
      <c r="BD20" s="2515">
        <v>0</v>
      </c>
      <c r="BE20" s="2515">
        <v>62476.861923273886</v>
      </c>
      <c r="BF20" s="2515">
        <v>108293.22733367473</v>
      </c>
      <c r="BG20" s="2515">
        <v>300333.21713872463</v>
      </c>
      <c r="BH20" s="2515">
        <v>312346.54582427366</v>
      </c>
      <c r="BI20" s="2515">
        <v>324840.40765724459</v>
      </c>
      <c r="BJ20" s="2515">
        <v>337834.02396353433</v>
      </c>
      <c r="BK20" s="2515">
        <v>351347.38492207578</v>
      </c>
      <c r="BL20" s="2515">
        <v>365401.28031895886</v>
      </c>
      <c r="BM20" s="2515">
        <v>380017.33153171721</v>
      </c>
      <c r="BN20" s="2515">
        <v>395218.02479298587</v>
      </c>
      <c r="BO20" s="2515">
        <v>411026.74578470539</v>
      </c>
      <c r="BP20" s="2515">
        <v>427467.81561609358</v>
      </c>
      <c r="BQ20" s="2515">
        <v>444566.52824073739</v>
      </c>
      <c r="BR20" s="2515">
        <v>462349.18937036686</v>
      </c>
      <c r="BS20" s="2515">
        <v>480843.15694518154</v>
      </c>
      <c r="BT20" s="2515">
        <v>500076.88322298892</v>
      </c>
      <c r="BU20" s="2515">
        <v>130019.98963797711</v>
      </c>
    </row>
    <row r="21" spans="1:73" ht="15">
      <c r="C21" s="2488"/>
      <c r="D21" s="2488"/>
      <c r="E21" s="2488"/>
      <c r="I21" s="2494">
        <v>45016</v>
      </c>
      <c r="J21" s="2511">
        <f>-'G-3.04,5.01 PF AMI'!AE62</f>
        <v>-315594.16877950181</v>
      </c>
      <c r="K21" s="2488">
        <f t="shared" si="2"/>
        <v>39449271.09743771</v>
      </c>
      <c r="L21" s="2488">
        <f t="shared" si="6"/>
        <v>41483327.211384259</v>
      </c>
      <c r="M21" s="2488">
        <f t="shared" si="0"/>
        <v>-8284346.9304619189</v>
      </c>
      <c r="N21" s="2488">
        <f t="shared" si="7"/>
        <v>-8711498.7143906932</v>
      </c>
      <c r="P21" s="2494">
        <v>45016</v>
      </c>
      <c r="Q21" s="2511">
        <f>-'G-3.04,5.01 PF AMI'!AK62</f>
        <v>-89408.671805069913</v>
      </c>
      <c r="R21" s="2488">
        <f t="shared" si="3"/>
        <v>11176083.975633729</v>
      </c>
      <c r="S21" s="2488">
        <f t="shared" si="8"/>
        <v>11775330.136386028</v>
      </c>
      <c r="T21" s="2488">
        <f t="shared" si="1"/>
        <v>-2346977.6348830829</v>
      </c>
      <c r="U21" s="2488">
        <f t="shared" si="9"/>
        <v>-2472819.3286410659</v>
      </c>
      <c r="Y21" s="477">
        <v>14</v>
      </c>
      <c r="Z21" s="477">
        <v>201910</v>
      </c>
      <c r="AA21" s="2487"/>
      <c r="AB21" s="2487"/>
      <c r="AC21" s="2487"/>
      <c r="AD21" s="2487"/>
      <c r="AE21" s="2487"/>
      <c r="AF21" s="2487"/>
      <c r="AG21" s="2487"/>
      <c r="AH21" s="2487"/>
      <c r="AI21" s="2487"/>
      <c r="AJ21" s="2487"/>
      <c r="AK21" s="2487"/>
      <c r="AV21" s="2512"/>
      <c r="AW21" s="2493" t="s">
        <v>2206</v>
      </c>
      <c r="AX21" s="2515">
        <v>3032402.763290823</v>
      </c>
      <c r="AY21" s="2515">
        <v>6551326.3219507933</v>
      </c>
      <c r="AZ21" s="2515">
        <v>0</v>
      </c>
      <c r="BA21" s="2515">
        <v>0</v>
      </c>
      <c r="BB21" s="2515">
        <v>0</v>
      </c>
      <c r="BC21" s="2515">
        <v>0</v>
      </c>
      <c r="BD21" s="2515">
        <v>0</v>
      </c>
      <c r="BE21" s="2515">
        <v>70637.5413616804</v>
      </c>
      <c r="BF21" s="2515">
        <v>122438.40502691269</v>
      </c>
      <c r="BG21" s="2515">
        <v>339562.50994130457</v>
      </c>
      <c r="BH21" s="2515">
        <v>353145.01033895678</v>
      </c>
      <c r="BI21" s="2515">
        <v>367270.81075251504</v>
      </c>
      <c r="BJ21" s="2515">
        <v>381961.64318261563</v>
      </c>
      <c r="BK21" s="2515">
        <v>397240.10890992038</v>
      </c>
      <c r="BL21" s="2515">
        <v>413129.71326631721</v>
      </c>
      <c r="BM21" s="2515">
        <v>429654.90179696988</v>
      </c>
      <c r="BN21" s="2515">
        <v>446841.09786884865</v>
      </c>
      <c r="BO21" s="2515">
        <v>464714.74178360269</v>
      </c>
      <c r="BP21" s="2515">
        <v>483303.33145494678</v>
      </c>
      <c r="BQ21" s="2515">
        <v>502635.4647131447</v>
      </c>
      <c r="BR21" s="2515">
        <v>522740.88330167049</v>
      </c>
      <c r="BS21" s="2515">
        <v>543650.51863373735</v>
      </c>
      <c r="BT21" s="2515">
        <v>565396.53937908693</v>
      </c>
      <c r="BU21" s="2515">
        <v>147003.10023856259</v>
      </c>
    </row>
    <row r="22" spans="1:73" ht="15">
      <c r="A22" s="2486" t="s">
        <v>2207</v>
      </c>
      <c r="B22" s="1230"/>
      <c r="C22" s="2101" t="s">
        <v>729</v>
      </c>
      <c r="D22" s="2101" t="s">
        <v>787</v>
      </c>
      <c r="I22" s="2494">
        <v>45046</v>
      </c>
      <c r="J22" s="2511">
        <f>-'G-3.04,5.01 PF AMI'!AE63</f>
        <v>-315594.16877950181</v>
      </c>
      <c r="K22" s="2488">
        <f t="shared" si="2"/>
        <v>39133676.92865821</v>
      </c>
      <c r="L22" s="2488">
        <f t="shared" si="6"/>
        <v>41138247.255918555</v>
      </c>
      <c r="M22" s="2488">
        <f t="shared" si="0"/>
        <v>-8218072.1550182234</v>
      </c>
      <c r="N22" s="2488">
        <f t="shared" si="7"/>
        <v>-8639031.9237428941</v>
      </c>
      <c r="O22" s="3866" t="s">
        <v>2208</v>
      </c>
      <c r="P22" s="2494">
        <v>45046</v>
      </c>
      <c r="Q22" s="2511">
        <f>-'G-3.04,5.01 PF AMI'!AK63</f>
        <v>-89408.671805069913</v>
      </c>
      <c r="R22" s="2488">
        <f t="shared" si="3"/>
        <v>11086675.303828659</v>
      </c>
      <c r="S22" s="2488">
        <f t="shared" si="8"/>
        <v>11672742.449659081</v>
      </c>
      <c r="T22" s="2488">
        <f t="shared" si="1"/>
        <v>-2328201.8138040183</v>
      </c>
      <c r="U22" s="2488">
        <f t="shared" si="9"/>
        <v>-2451275.9144284069</v>
      </c>
      <c r="V22" s="3866" t="s">
        <v>2209</v>
      </c>
      <c r="Y22" s="477">
        <v>15</v>
      </c>
      <c r="Z22" s="477">
        <v>201911</v>
      </c>
      <c r="AA22" s="2487"/>
      <c r="AB22" s="2487"/>
      <c r="AC22" s="2487"/>
      <c r="AD22" s="2487"/>
      <c r="AE22" s="2487"/>
      <c r="AF22" s="2487"/>
      <c r="AG22" s="2487"/>
      <c r="AH22" s="2487"/>
      <c r="AI22" s="2487"/>
      <c r="AJ22" s="2487"/>
      <c r="AK22" s="2487"/>
      <c r="AV22" s="2504"/>
      <c r="AW22" s="2505" t="s">
        <v>24</v>
      </c>
      <c r="AX22" s="2506">
        <f t="shared" ref="AX22:BU22" si="10">SUM(AX19:AX21)</f>
        <v>7040038.3318632646</v>
      </c>
      <c r="AY22" s="2506">
        <f t="shared" si="10"/>
        <v>15056111.247109056</v>
      </c>
      <c r="AZ22" s="2506">
        <f t="shared" si="10"/>
        <v>0</v>
      </c>
      <c r="BA22" s="2506">
        <f t="shared" si="10"/>
        <v>0</v>
      </c>
      <c r="BB22" s="2506">
        <f t="shared" si="10"/>
        <v>0</v>
      </c>
      <c r="BC22" s="2506">
        <f t="shared" si="10"/>
        <v>0</v>
      </c>
      <c r="BD22" s="2506">
        <f t="shared" si="10"/>
        <v>0</v>
      </c>
      <c r="BE22" s="2506">
        <f t="shared" si="10"/>
        <v>162337.613591356</v>
      </c>
      <c r="BF22" s="2506">
        <f t="shared" si="10"/>
        <v>281385.19689168374</v>
      </c>
      <c r="BG22" s="2506">
        <f t="shared" si="10"/>
        <v>780374.94604626962</v>
      </c>
      <c r="BH22" s="2506">
        <f t="shared" si="10"/>
        <v>811589.94388812059</v>
      </c>
      <c r="BI22" s="2506">
        <f t="shared" si="10"/>
        <v>844053.54164364538</v>
      </c>
      <c r="BJ22" s="2506">
        <f t="shared" si="10"/>
        <v>877815.68330939102</v>
      </c>
      <c r="BK22" s="2506">
        <f t="shared" si="10"/>
        <v>912928.31064176699</v>
      </c>
      <c r="BL22" s="2506">
        <f t="shared" si="10"/>
        <v>949445.44306743774</v>
      </c>
      <c r="BM22" s="2506">
        <f t="shared" si="10"/>
        <v>987423.26079013525</v>
      </c>
      <c r="BN22" s="2506">
        <f t="shared" si="10"/>
        <v>1026920.1912217406</v>
      </c>
      <c r="BO22" s="2506">
        <f t="shared" si="10"/>
        <v>1067996.9988706103</v>
      </c>
      <c r="BP22" s="2506">
        <f t="shared" si="10"/>
        <v>1110716.8788254347</v>
      </c>
      <c r="BQ22" s="2506">
        <f t="shared" si="10"/>
        <v>1155145.5539784522</v>
      </c>
      <c r="BR22" s="2506">
        <f t="shared" si="10"/>
        <v>1201351.3761375903</v>
      </c>
      <c r="BS22" s="2506">
        <f t="shared" si="10"/>
        <v>1249405.4311830939</v>
      </c>
      <c r="BT22" s="2506">
        <f t="shared" si="10"/>
        <v>1299381.648430418</v>
      </c>
      <c r="BU22" s="2506">
        <f t="shared" si="10"/>
        <v>337839.22859190864</v>
      </c>
    </row>
    <row r="23" spans="1:73" ht="15">
      <c r="C23" s="2488"/>
      <c r="D23" s="2488"/>
      <c r="E23" s="2488"/>
      <c r="I23" s="2494">
        <v>45077</v>
      </c>
      <c r="J23" s="2511">
        <f>-'G-3.04,5.01 PF AMI'!AE64</f>
        <v>-315594.16877950181</v>
      </c>
      <c r="K23" s="2488">
        <f t="shared" si="2"/>
        <v>38818082.75987871</v>
      </c>
      <c r="L23" s="2488">
        <f t="shared" si="6"/>
        <v>40796636.216533579</v>
      </c>
      <c r="M23" s="2488">
        <f t="shared" si="0"/>
        <v>-8151797.3795745289</v>
      </c>
      <c r="N23" s="2488">
        <f t="shared" si="7"/>
        <v>-8567293.6054720506</v>
      </c>
      <c r="O23" s="3866"/>
      <c r="P23" s="2494">
        <v>45077</v>
      </c>
      <c r="Q23" s="2511">
        <f>-'G-3.04,5.01 PF AMI'!AK64</f>
        <v>-89408.671805069913</v>
      </c>
      <c r="R23" s="2488">
        <f t="shared" si="3"/>
        <v>10997266.632023588</v>
      </c>
      <c r="S23" s="2488">
        <f t="shared" si="8"/>
        <v>11571705.235275887</v>
      </c>
      <c r="T23" s="2488">
        <f t="shared" si="1"/>
        <v>-2309425.9927249532</v>
      </c>
      <c r="U23" s="2488">
        <f t="shared" si="9"/>
        <v>-2430058.099407936</v>
      </c>
      <c r="V23" s="3866"/>
      <c r="Y23" s="477">
        <v>16</v>
      </c>
      <c r="Z23" s="477">
        <v>201912</v>
      </c>
      <c r="AA23" s="2487"/>
      <c r="AB23" s="2487"/>
      <c r="AC23" s="2487"/>
      <c r="AD23" s="2487"/>
      <c r="AE23" s="2487"/>
      <c r="AF23" s="2487"/>
      <c r="AG23" s="2487"/>
      <c r="AH23" s="2487"/>
      <c r="AI23" s="2487"/>
      <c r="AJ23" s="2487"/>
      <c r="AK23" s="2487"/>
      <c r="AV23" s="1230"/>
      <c r="AX23" s="1210"/>
      <c r="AY23" s="1210"/>
      <c r="AZ23" s="1210"/>
      <c r="BA23" s="1210"/>
      <c r="BB23" s="1210"/>
      <c r="BC23" s="1210"/>
      <c r="BD23" s="1210"/>
      <c r="BE23" s="1210"/>
      <c r="BF23" s="1210"/>
      <c r="BG23" s="1210"/>
      <c r="BH23" s="1210"/>
      <c r="BI23" s="1210"/>
      <c r="BJ23" s="1210"/>
      <c r="BK23" s="1210"/>
      <c r="BL23" s="1210"/>
      <c r="BM23" s="1210"/>
      <c r="BN23" s="1210"/>
      <c r="BO23" s="1210"/>
      <c r="BP23" s="1210"/>
      <c r="BQ23" s="1210"/>
      <c r="BR23" s="1210"/>
      <c r="BS23" s="1210"/>
      <c r="BT23" s="1210"/>
      <c r="BU23" s="1210"/>
    </row>
    <row r="24" spans="1:73" ht="15">
      <c r="A24" s="2102" t="s">
        <v>2157</v>
      </c>
      <c r="B24" s="1230" t="s">
        <v>1817</v>
      </c>
      <c r="C24" s="2491">
        <f>C8</f>
        <v>24433300.546909031</v>
      </c>
      <c r="D24" s="2491">
        <f>D8</f>
        <v>6922019.3711484876</v>
      </c>
      <c r="E24" s="2488"/>
      <c r="I24" s="2517">
        <v>45107</v>
      </c>
      <c r="J24" s="2518">
        <f>-'G-3.04,5.01 PF AMI'!AE65</f>
        <v>-315594.16877950181</v>
      </c>
      <c r="K24" s="2488">
        <f t="shared" si="2"/>
        <v>38502488.59109921</v>
      </c>
      <c r="L24" s="2519">
        <f t="shared" si="6"/>
        <v>40458494.093229346</v>
      </c>
      <c r="M24" s="2488">
        <f t="shared" si="0"/>
        <v>-8085522.6041308334</v>
      </c>
      <c r="N24" s="2519">
        <f t="shared" si="7"/>
        <v>-8496283.7595781591</v>
      </c>
      <c r="O24" s="2520">
        <f>L24+N24</f>
        <v>31962210.333651185</v>
      </c>
      <c r="P24" s="2494">
        <v>45107</v>
      </c>
      <c r="Q24" s="2518">
        <f>-'G-3.04,5.01 PF AMI'!AK65</f>
        <v>-89408.671805069913</v>
      </c>
      <c r="R24" s="2488">
        <f t="shared" si="3"/>
        <v>10907857.960218517</v>
      </c>
      <c r="S24" s="2519">
        <f t="shared" si="8"/>
        <v>11472218.493236439</v>
      </c>
      <c r="T24" s="2488">
        <f t="shared" si="1"/>
        <v>-2290650.1716458886</v>
      </c>
      <c r="U24" s="2519">
        <f t="shared" si="9"/>
        <v>-2409165.8835796528</v>
      </c>
      <c r="V24" s="2520">
        <f>S24+U24</f>
        <v>9063052.6096567865</v>
      </c>
      <c r="Y24" s="477">
        <v>17</v>
      </c>
      <c r="Z24" s="477">
        <v>202001</v>
      </c>
      <c r="AA24" s="2487"/>
      <c r="AB24" s="2487"/>
      <c r="AC24" s="2487"/>
      <c r="AD24" s="2487"/>
      <c r="AE24" s="2487"/>
      <c r="AF24" s="2487"/>
      <c r="AG24" s="2487"/>
      <c r="AH24" s="2487"/>
      <c r="AI24" s="2487"/>
      <c r="AJ24" s="2487"/>
      <c r="AK24" s="2487"/>
      <c r="AV24" s="1230" t="s">
        <v>2210</v>
      </c>
      <c r="AX24" s="1210"/>
      <c r="AY24" s="1210"/>
      <c r="AZ24" s="1210"/>
      <c r="BA24" s="1210"/>
      <c r="BB24" s="1210"/>
      <c r="BC24" s="1210"/>
      <c r="BD24" s="1210"/>
      <c r="BE24" s="1210"/>
      <c r="BF24" s="1210"/>
      <c r="BG24" s="1210"/>
      <c r="BH24" s="1210"/>
      <c r="BI24" s="1210"/>
      <c r="BJ24" s="1210"/>
      <c r="BK24" s="1210"/>
      <c r="BL24" s="1210"/>
      <c r="BM24" s="1210"/>
      <c r="BN24" s="1210"/>
      <c r="BO24" s="1210"/>
      <c r="BP24" s="1210"/>
      <c r="BQ24" s="1210"/>
      <c r="BR24" s="1210"/>
      <c r="BS24" s="1210"/>
      <c r="BT24" s="1210"/>
      <c r="BU24" s="1210"/>
    </row>
    <row r="25" spans="1:73" ht="15">
      <c r="A25" s="477" t="s">
        <v>2160</v>
      </c>
      <c r="C25" s="2488"/>
      <c r="D25" s="2488"/>
      <c r="E25" s="2488"/>
      <c r="I25" s="2494">
        <v>45138</v>
      </c>
      <c r="J25" s="2488">
        <f>-'G-3.04,5.01 PF AMI'!AE66</f>
        <v>-315594.16877950181</v>
      </c>
      <c r="K25" s="2488">
        <f t="shared" si="2"/>
        <v>38186894.42231971</v>
      </c>
      <c r="L25" s="2488">
        <f t="shared" si="6"/>
        <v>40123820.886005826</v>
      </c>
      <c r="M25" s="2488">
        <f t="shared" si="0"/>
        <v>-8019247.8286871389</v>
      </c>
      <c r="N25" s="2488">
        <f t="shared" si="7"/>
        <v>-8426002.3860612232</v>
      </c>
      <c r="P25" s="2494">
        <v>45138</v>
      </c>
      <c r="Q25" s="2488">
        <f>-'G-3.04,5.01 PF AMI'!AK66</f>
        <v>-89408.671805069913</v>
      </c>
      <c r="R25" s="2488">
        <f t="shared" si="3"/>
        <v>10818449.288413446</v>
      </c>
      <c r="S25" s="2488">
        <f t="shared" si="8"/>
        <v>11374282.223540746</v>
      </c>
      <c r="T25" s="2488">
        <f t="shared" si="1"/>
        <v>-2271874.3505668235</v>
      </c>
      <c r="U25" s="2488">
        <f t="shared" si="9"/>
        <v>-2388599.2669435567</v>
      </c>
      <c r="Y25" s="477">
        <v>18</v>
      </c>
      <c r="Z25" s="477">
        <v>202002</v>
      </c>
      <c r="AA25" s="2487"/>
      <c r="AB25" s="2487"/>
      <c r="AC25" s="2487"/>
      <c r="AD25" s="2487"/>
      <c r="AE25" s="2487"/>
      <c r="AF25" s="2487"/>
      <c r="AG25" s="2487"/>
      <c r="AH25" s="2487"/>
      <c r="AI25" s="2487"/>
      <c r="AJ25" s="2487"/>
      <c r="AK25" s="2487"/>
      <c r="AV25" s="1230"/>
      <c r="AW25" s="477" t="s">
        <v>2211</v>
      </c>
      <c r="AX25" s="1210">
        <v>18494601.498745929</v>
      </c>
      <c r="AY25" s="1210">
        <v>43660371.123191208</v>
      </c>
      <c r="AZ25" s="1210">
        <v>0</v>
      </c>
      <c r="BA25" s="1210">
        <v>0</v>
      </c>
      <c r="BB25" s="1210">
        <v>0</v>
      </c>
      <c r="BC25" s="1210">
        <v>411450.76252713538</v>
      </c>
      <c r="BD25" s="1210">
        <v>1072567.3384213741</v>
      </c>
      <c r="BE25" s="1210">
        <v>1118468.6866647801</v>
      </c>
      <c r="BF25" s="1210">
        <v>1166308.7566461472</v>
      </c>
      <c r="BG25" s="1210">
        <v>1621401.7821533983</v>
      </c>
      <c r="BH25" s="1210">
        <v>2254438.0141086793</v>
      </c>
      <c r="BI25" s="1210">
        <v>2351422.5613030936</v>
      </c>
      <c r="BJ25" s="1210">
        <v>2452612.9632785581</v>
      </c>
      <c r="BK25" s="1210">
        <v>2558485.3645669469</v>
      </c>
      <c r="BL25" s="1210">
        <v>2669574.259585219</v>
      </c>
      <c r="BM25" s="1210">
        <v>2785321.1150673544</v>
      </c>
      <c r="BN25" s="1210">
        <v>2906248.9254843667</v>
      </c>
      <c r="BO25" s="1210">
        <v>3032191.5616005543</v>
      </c>
      <c r="BP25" s="1210">
        <v>3163974.5598842865</v>
      </c>
      <c r="BQ25" s="1210">
        <v>3301446.130939404</v>
      </c>
      <c r="BR25" s="1210">
        <v>3434873.4855394349</v>
      </c>
      <c r="BS25" s="1210">
        <v>3584702.0067074941</v>
      </c>
      <c r="BT25" s="1210">
        <v>3774882.8487129766</v>
      </c>
      <c r="BU25" s="1210">
        <v>0</v>
      </c>
    </row>
    <row r="26" spans="1:73" ht="15">
      <c r="A26" s="477" t="s">
        <v>2162</v>
      </c>
      <c r="C26" s="2488"/>
      <c r="D26" s="2488"/>
      <c r="E26" s="2488"/>
      <c r="I26" s="2494">
        <v>45169</v>
      </c>
      <c r="J26" s="2488">
        <f>-'G-3.04,5.01 PF AMI'!AE67</f>
        <v>-315594.16877950181</v>
      </c>
      <c r="K26" s="2488">
        <f t="shared" si="2"/>
        <v>37871300.25354021</v>
      </c>
      <c r="L26" s="2488">
        <f t="shared" si="6"/>
        <v>39792616.59486305</v>
      </c>
      <c r="M26" s="2488">
        <f t="shared" si="0"/>
        <v>-7952973.0532434443</v>
      </c>
      <c r="N26" s="2488">
        <f t="shared" si="7"/>
        <v>-8356449.4849212393</v>
      </c>
      <c r="P26" s="2494">
        <v>45169</v>
      </c>
      <c r="Q26" s="2488">
        <f>-'G-3.04,5.01 PF AMI'!AK67</f>
        <v>-89408.671805069913</v>
      </c>
      <c r="R26" s="2488">
        <f t="shared" si="3"/>
        <v>10729040.616608376</v>
      </c>
      <c r="S26" s="2488">
        <f t="shared" si="8"/>
        <v>11277896.426188799</v>
      </c>
      <c r="T26" s="2488">
        <f t="shared" si="1"/>
        <v>-2253098.5294877589</v>
      </c>
      <c r="U26" s="2488">
        <f t="shared" si="9"/>
        <v>-2368358.2494996479</v>
      </c>
      <c r="Y26" s="477">
        <v>19</v>
      </c>
      <c r="Z26" s="477">
        <v>202003</v>
      </c>
      <c r="AA26" s="2487"/>
      <c r="AB26" s="2487"/>
      <c r="AC26" s="2487"/>
      <c r="AD26" s="2487"/>
      <c r="AE26" s="2487"/>
      <c r="AF26" s="2487"/>
      <c r="AG26" s="2487"/>
      <c r="AH26" s="2487"/>
      <c r="AI26" s="2487"/>
      <c r="AJ26" s="2487"/>
      <c r="AK26" s="2487"/>
      <c r="AV26" s="2512"/>
      <c r="AW26" s="2493" t="s">
        <v>2212</v>
      </c>
      <c r="AX26" s="2515">
        <v>2609116.0861312477</v>
      </c>
      <c r="AY26" s="2515">
        <v>3123536.5988169089</v>
      </c>
      <c r="AZ26" s="2515">
        <v>0</v>
      </c>
      <c r="BA26" s="2515">
        <v>0</v>
      </c>
      <c r="BB26" s="2515">
        <v>0</v>
      </c>
      <c r="BC26" s="2515">
        <v>0</v>
      </c>
      <c r="BD26" s="2515">
        <v>0</v>
      </c>
      <c r="BE26" s="2515">
        <v>4127.8826760424436</v>
      </c>
      <c r="BF26" s="2515">
        <v>8420.8806591265857</v>
      </c>
      <c r="BG26" s="2515">
        <v>12883.947408463675</v>
      </c>
      <c r="BH26" s="2515">
        <v>17522.1684755106</v>
      </c>
      <c r="BI26" s="2515">
        <v>22340.764806276013</v>
      </c>
      <c r="BJ26" s="2515">
        <v>124275.09612288185</v>
      </c>
      <c r="BK26" s="2515">
        <v>147935.66438622936</v>
      </c>
      <c r="BL26" s="2515">
        <v>172453.11734166168</v>
      </c>
      <c r="BM26" s="2515">
        <v>197833.25214955682</v>
      </c>
      <c r="BN26" s="2515">
        <v>224232.01910283099</v>
      </c>
      <c r="BO26" s="2515">
        <v>251535.5254333764</v>
      </c>
      <c r="BP26" s="2515">
        <v>279930.03920950257</v>
      </c>
      <c r="BQ26" s="2515">
        <v>309271.99332650023</v>
      </c>
      <c r="BR26" s="2515">
        <v>339777.98959249409</v>
      </c>
      <c r="BS26" s="2515">
        <v>404323.74119063822</v>
      </c>
      <c r="BT26" s="2515">
        <v>471439.63438404456</v>
      </c>
      <c r="BU26" s="2515">
        <v>135232.88255177313</v>
      </c>
    </row>
    <row r="27" spans="1:73" ht="15">
      <c r="A27" s="477" t="s">
        <v>2172</v>
      </c>
      <c r="B27" s="477" t="s">
        <v>2173</v>
      </c>
      <c r="C27" s="2496">
        <f>'G-3.04,5.01 PF AMI'!M154</f>
        <v>-2991832.7200296894</v>
      </c>
      <c r="D27" s="2496">
        <f>'G-3.04,5.01 PF AMI'!T154</f>
        <v>-847594.2087120628</v>
      </c>
      <c r="E27" s="2496" t="s">
        <v>2213</v>
      </c>
      <c r="F27" s="2497"/>
      <c r="I27" s="2494">
        <v>45199</v>
      </c>
      <c r="J27" s="2488">
        <f>-'G-3.04,5.01 PF AMI'!AE68</f>
        <v>-315594.16877950181</v>
      </c>
      <c r="K27" s="2488">
        <f t="shared" si="2"/>
        <v>37555706.084760711</v>
      </c>
      <c r="L27" s="2488">
        <f t="shared" si="6"/>
        <v>39464881.219800986</v>
      </c>
      <c r="M27" s="2488">
        <f t="shared" si="0"/>
        <v>-7886698.2777997488</v>
      </c>
      <c r="N27" s="2488">
        <f t="shared" si="7"/>
        <v>-8287625.0561582064</v>
      </c>
      <c r="P27" s="2494">
        <v>45199</v>
      </c>
      <c r="Q27" s="2488">
        <f>-'G-3.04,5.01 PF AMI'!AK68</f>
        <v>-89408.671805069913</v>
      </c>
      <c r="R27" s="2488">
        <f t="shared" si="3"/>
        <v>10639631.944803305</v>
      </c>
      <c r="S27" s="2488">
        <f t="shared" si="8"/>
        <v>11183061.101180604</v>
      </c>
      <c r="T27" s="2488">
        <f t="shared" si="1"/>
        <v>-2234322.7084086938</v>
      </c>
      <c r="U27" s="2488">
        <f t="shared" si="9"/>
        <v>-2348442.8312479267</v>
      </c>
      <c r="Y27" s="477">
        <v>20</v>
      </c>
      <c r="Z27" s="477">
        <v>202004</v>
      </c>
      <c r="AA27" s="2487"/>
      <c r="AB27" s="2487"/>
      <c r="AC27" s="2487"/>
      <c r="AD27" s="2487"/>
      <c r="AE27" s="2487"/>
      <c r="AF27" s="2487"/>
      <c r="AG27" s="2487"/>
      <c r="AH27" s="2487"/>
      <c r="AI27" s="2487"/>
      <c r="AJ27" s="2487"/>
      <c r="AK27" s="2487"/>
      <c r="AV27" s="2504"/>
      <c r="AW27" s="2505" t="s">
        <v>24</v>
      </c>
      <c r="AX27" s="2506">
        <f t="shared" ref="AX27:BU27" si="11">SUM(AX25:AX26)</f>
        <v>21103717.584877178</v>
      </c>
      <c r="AY27" s="2506">
        <f t="shared" si="11"/>
        <v>46783907.722008117</v>
      </c>
      <c r="AZ27" s="2506">
        <f t="shared" si="11"/>
        <v>0</v>
      </c>
      <c r="BA27" s="2506">
        <f t="shared" si="11"/>
        <v>0</v>
      </c>
      <c r="BB27" s="2506">
        <f t="shared" si="11"/>
        <v>0</v>
      </c>
      <c r="BC27" s="2506">
        <f t="shared" si="11"/>
        <v>411450.76252713538</v>
      </c>
      <c r="BD27" s="2506">
        <f t="shared" si="11"/>
        <v>1072567.3384213741</v>
      </c>
      <c r="BE27" s="2506">
        <f t="shared" si="11"/>
        <v>1122596.5693408225</v>
      </c>
      <c r="BF27" s="2506">
        <f t="shared" si="11"/>
        <v>1174729.6373052739</v>
      </c>
      <c r="BG27" s="2506">
        <f t="shared" si="11"/>
        <v>1634285.7295618618</v>
      </c>
      <c r="BH27" s="2506">
        <f t="shared" si="11"/>
        <v>2271960.1825841898</v>
      </c>
      <c r="BI27" s="2506">
        <f t="shared" si="11"/>
        <v>2373763.3261093698</v>
      </c>
      <c r="BJ27" s="2506">
        <f t="shared" si="11"/>
        <v>2576888.05940144</v>
      </c>
      <c r="BK27" s="2506">
        <f t="shared" si="11"/>
        <v>2706421.028953176</v>
      </c>
      <c r="BL27" s="2506">
        <f t="shared" si="11"/>
        <v>2842027.3769268808</v>
      </c>
      <c r="BM27" s="2506">
        <f t="shared" si="11"/>
        <v>2983154.3672169112</v>
      </c>
      <c r="BN27" s="2506">
        <f t="shared" si="11"/>
        <v>3130480.9445871976</v>
      </c>
      <c r="BO27" s="2506">
        <f t="shared" si="11"/>
        <v>3283727.0870339307</v>
      </c>
      <c r="BP27" s="2506">
        <f t="shared" si="11"/>
        <v>3443904.5990937892</v>
      </c>
      <c r="BQ27" s="2506">
        <f t="shared" si="11"/>
        <v>3610718.1242659041</v>
      </c>
      <c r="BR27" s="2506">
        <f t="shared" si="11"/>
        <v>3774651.4751319289</v>
      </c>
      <c r="BS27" s="2506">
        <f t="shared" si="11"/>
        <v>3989025.7478981325</v>
      </c>
      <c r="BT27" s="2506">
        <f t="shared" si="11"/>
        <v>4246322.4830970215</v>
      </c>
      <c r="BU27" s="2506">
        <f t="shared" si="11"/>
        <v>135232.88255177313</v>
      </c>
    </row>
    <row r="28" spans="1:73" ht="15.75" thickBot="1">
      <c r="A28" s="477" t="s">
        <v>2176</v>
      </c>
      <c r="C28" s="2488"/>
      <c r="D28" s="2488"/>
      <c r="E28" s="2488"/>
      <c r="I28" s="2494">
        <v>45230</v>
      </c>
      <c r="J28" s="2488">
        <f>-'G-3.04,5.01 PF AMI'!AE69</f>
        <v>-315594.16877950181</v>
      </c>
      <c r="K28" s="2488">
        <f t="shared" si="2"/>
        <v>37240111.915981211</v>
      </c>
      <c r="L28" s="2488">
        <f t="shared" si="6"/>
        <v>39140614.760819666</v>
      </c>
      <c r="M28" s="2488">
        <f t="shared" si="0"/>
        <v>-7820423.5023560543</v>
      </c>
      <c r="N28" s="2488">
        <f t="shared" si="7"/>
        <v>-8219529.099772132</v>
      </c>
      <c r="P28" s="2494">
        <v>45230</v>
      </c>
      <c r="Q28" s="2488">
        <f>-'G-3.04,5.01 PF AMI'!AK69</f>
        <v>-89408.671805069913</v>
      </c>
      <c r="R28" s="2488">
        <f t="shared" si="3"/>
        <v>10550223.272998234</v>
      </c>
      <c r="S28" s="2488">
        <f t="shared" si="8"/>
        <v>11089776.248516159</v>
      </c>
      <c r="T28" s="2488">
        <f t="shared" si="1"/>
        <v>-2215546.8873296292</v>
      </c>
      <c r="U28" s="2488">
        <f t="shared" si="9"/>
        <v>-2328853.0121883932</v>
      </c>
      <c r="Y28" s="477">
        <v>21</v>
      </c>
      <c r="Z28" s="477">
        <v>202005</v>
      </c>
      <c r="AA28" s="2487"/>
      <c r="AB28" s="2487"/>
      <c r="AC28" s="2487"/>
      <c r="AD28" s="2487"/>
      <c r="AE28" s="2487"/>
      <c r="AF28" s="2487"/>
      <c r="AG28" s="2487"/>
      <c r="AH28" s="2487"/>
      <c r="AI28" s="2487"/>
      <c r="AJ28" s="2487"/>
      <c r="AK28" s="2487"/>
      <c r="AV28" s="1230"/>
      <c r="AX28" s="1210"/>
      <c r="AY28" s="1210"/>
      <c r="AZ28" s="1210"/>
      <c r="BA28" s="1210"/>
      <c r="BB28" s="1210"/>
      <c r="BC28" s="1210"/>
      <c r="BD28" s="1210"/>
      <c r="BE28" s="1210"/>
      <c r="BF28" s="1210"/>
      <c r="BG28" s="1210"/>
      <c r="BH28" s="1210"/>
      <c r="BI28" s="1210"/>
      <c r="BJ28" s="1210"/>
      <c r="BK28" s="1210"/>
      <c r="BL28" s="1210"/>
      <c r="BM28" s="1210"/>
      <c r="BN28" s="1210"/>
      <c r="BO28" s="1210"/>
      <c r="BP28" s="1210"/>
      <c r="BQ28" s="1210"/>
      <c r="BR28" s="1210"/>
      <c r="BS28" s="1210"/>
      <c r="BT28" s="1210"/>
      <c r="BU28" s="1210"/>
    </row>
    <row r="29" spans="1:73" ht="15.75" thickBot="1">
      <c r="A29" s="477" t="s">
        <v>2214</v>
      </c>
      <c r="B29" s="1230" t="s">
        <v>2215</v>
      </c>
      <c r="C29" s="2499">
        <f>SUM(C24:C28)</f>
        <v>21441467.826879341</v>
      </c>
      <c r="D29" s="2499">
        <f>SUM(D24:D28)</f>
        <v>6074425.1624364248</v>
      </c>
      <c r="E29" s="2488"/>
      <c r="I29" s="2494">
        <v>45260</v>
      </c>
      <c r="J29" s="2488">
        <f>-'G-3.04,5.01 PF AMI'!AE70</f>
        <v>-315594.16877950181</v>
      </c>
      <c r="K29" s="2488">
        <f t="shared" si="2"/>
        <v>36924517.747201711</v>
      </c>
      <c r="L29" s="2488">
        <f t="shared" si="6"/>
        <v>38819817.217919074</v>
      </c>
      <c r="M29" s="2488">
        <f t="shared" si="0"/>
        <v>-7754148.7269123588</v>
      </c>
      <c r="N29" s="2488">
        <f t="shared" si="7"/>
        <v>-8152161.6157630058</v>
      </c>
      <c r="P29" s="2494">
        <v>45260</v>
      </c>
      <c r="Q29" s="2488">
        <f>-'G-3.04,5.01 PF AMI'!AK70</f>
        <v>-89408.671805069913</v>
      </c>
      <c r="R29" s="2488">
        <f t="shared" si="3"/>
        <v>10460814.601193164</v>
      </c>
      <c r="S29" s="2488">
        <f t="shared" si="8"/>
        <v>10998041.868195463</v>
      </c>
      <c r="T29" s="2488">
        <f t="shared" si="1"/>
        <v>-2196771.0662505641</v>
      </c>
      <c r="U29" s="2488">
        <f t="shared" si="9"/>
        <v>-2309588.7923210473</v>
      </c>
      <c r="Y29" s="477">
        <v>22</v>
      </c>
      <c r="Z29" s="477">
        <v>202006</v>
      </c>
      <c r="AA29" s="2487"/>
      <c r="AB29" s="2487"/>
      <c r="AC29" s="2487"/>
      <c r="AD29" s="2487"/>
      <c r="AE29" s="2487"/>
      <c r="AF29" s="2487"/>
      <c r="AG29" s="2487"/>
      <c r="AH29" s="2487"/>
      <c r="AI29" s="2487"/>
      <c r="AJ29" s="2487"/>
      <c r="AK29" s="2487"/>
      <c r="AV29" s="1230" t="s">
        <v>2216</v>
      </c>
      <c r="AX29" s="1210">
        <v>-2</v>
      </c>
      <c r="AY29" s="1210">
        <v>-1</v>
      </c>
      <c r="AZ29" s="1210">
        <v>0</v>
      </c>
      <c r="BA29" s="1210">
        <v>0</v>
      </c>
      <c r="BB29" s="1210">
        <v>0</v>
      </c>
      <c r="BC29" s="1210">
        <v>0</v>
      </c>
      <c r="BD29" s="1210">
        <v>0</v>
      </c>
      <c r="BE29" s="1210">
        <v>0</v>
      </c>
      <c r="BF29" s="1210">
        <v>0</v>
      </c>
      <c r="BG29" s="1210">
        <v>0</v>
      </c>
      <c r="BH29" s="1210">
        <v>0</v>
      </c>
      <c r="BI29" s="1210">
        <v>0</v>
      </c>
      <c r="BJ29" s="1210">
        <v>0</v>
      </c>
      <c r="BK29" s="1210">
        <v>0</v>
      </c>
      <c r="BL29" s="1210">
        <v>0</v>
      </c>
      <c r="BM29" s="1210">
        <v>0</v>
      </c>
      <c r="BN29" s="1210">
        <v>0</v>
      </c>
      <c r="BO29" s="1210">
        <v>0</v>
      </c>
      <c r="BP29" s="1210">
        <v>0</v>
      </c>
      <c r="BQ29" s="1210">
        <v>0</v>
      </c>
      <c r="BR29" s="1210">
        <v>0</v>
      </c>
      <c r="BS29" s="1210">
        <v>0</v>
      </c>
      <c r="BT29" s="1210">
        <v>0</v>
      </c>
      <c r="BU29" s="1210">
        <v>0</v>
      </c>
    </row>
    <row r="30" spans="1:73" ht="15">
      <c r="A30" s="950"/>
      <c r="B30" s="950"/>
      <c r="C30" s="2521"/>
      <c r="D30" s="2521"/>
      <c r="E30" s="2521"/>
      <c r="F30" s="950"/>
      <c r="I30" s="2494">
        <v>45291</v>
      </c>
      <c r="J30" s="2488">
        <f>-'G-3.04,5.01 PF AMI'!AE71</f>
        <v>-315594.16877950181</v>
      </c>
      <c r="K30" s="2488">
        <f t="shared" si="2"/>
        <v>36608923.578422211</v>
      </c>
      <c r="L30" s="2488">
        <f t="shared" si="6"/>
        <v>38502488.59109921</v>
      </c>
      <c r="M30" s="2488">
        <f t="shared" si="0"/>
        <v>-7687873.9514686642</v>
      </c>
      <c r="N30" s="2488">
        <f t="shared" si="7"/>
        <v>-8085522.6041308353</v>
      </c>
      <c r="P30" s="2494">
        <v>45291</v>
      </c>
      <c r="Q30" s="2488">
        <f>-'G-3.04,5.01 PF AMI'!AK71</f>
        <v>-89408.671805069913</v>
      </c>
      <c r="R30" s="2488">
        <f t="shared" si="3"/>
        <v>10371405.929388093</v>
      </c>
      <c r="S30" s="2488">
        <f t="shared" si="8"/>
        <v>10907857.960218517</v>
      </c>
      <c r="T30" s="2488">
        <f t="shared" si="1"/>
        <v>-2177995.2451714994</v>
      </c>
      <c r="U30" s="2488">
        <f t="shared" si="9"/>
        <v>-2290650.1716458886</v>
      </c>
      <c r="Y30" s="477">
        <v>23</v>
      </c>
      <c r="Z30" s="477">
        <v>202007</v>
      </c>
      <c r="AA30" s="2487"/>
      <c r="AB30" s="2487"/>
      <c r="AC30" s="2487"/>
      <c r="AD30" s="2487"/>
      <c r="AE30" s="2487"/>
      <c r="AF30" s="2487"/>
      <c r="AG30" s="2487"/>
      <c r="AH30" s="2487"/>
      <c r="AI30" s="2487"/>
      <c r="AJ30" s="2487"/>
      <c r="AK30" s="2487"/>
      <c r="AV30" s="2512"/>
      <c r="AW30" s="2493" t="s">
        <v>2217</v>
      </c>
      <c r="AX30" s="2515">
        <v>3364422.0268313964</v>
      </c>
      <c r="AY30" s="2515">
        <v>7879091.724524036</v>
      </c>
      <c r="AZ30" s="2515">
        <v>0</v>
      </c>
      <c r="BA30" s="2515">
        <v>0</v>
      </c>
      <c r="BB30" s="2515">
        <v>0</v>
      </c>
      <c r="BC30" s="2515">
        <v>103081.20442694836</v>
      </c>
      <c r="BD30" s="2515">
        <v>267238.02247686364</v>
      </c>
      <c r="BE30" s="2515">
        <v>265846.80805565137</v>
      </c>
      <c r="BF30" s="2515">
        <v>275683.13995371043</v>
      </c>
      <c r="BG30" s="2515">
        <v>381177.88817599684</v>
      </c>
      <c r="BH30" s="2515">
        <v>395281.47003850876</v>
      </c>
      <c r="BI30" s="2515">
        <v>409906.8844299335</v>
      </c>
      <c r="BJ30" s="2515">
        <v>425073.43915384106</v>
      </c>
      <c r="BK30" s="2515">
        <v>440801.15640253312</v>
      </c>
      <c r="BL30" s="2515">
        <v>457110.79918942682</v>
      </c>
      <c r="BM30" s="2515">
        <v>474023.89875943551</v>
      </c>
      <c r="BN30" s="2515">
        <v>491562.78301353467</v>
      </c>
      <c r="BO30" s="2515">
        <v>509750.60598503542</v>
      </c>
      <c r="BP30" s="2515">
        <v>528611.3784064817</v>
      </c>
      <c r="BQ30" s="2515">
        <v>548169.99940752145</v>
      </c>
      <c r="BR30" s="2515">
        <v>568452.28938559978</v>
      </c>
      <c r="BS30" s="2515">
        <v>589485.02409286681</v>
      </c>
      <c r="BT30" s="2515">
        <v>611295.969984303</v>
      </c>
      <c r="BU30" s="2515">
        <v>136538.96318584325</v>
      </c>
    </row>
    <row r="31" spans="1:73" ht="15">
      <c r="C31" s="2488"/>
      <c r="D31" s="2488"/>
      <c r="E31" s="2488"/>
      <c r="I31" s="2494">
        <v>45322</v>
      </c>
      <c r="J31" s="2488">
        <f>-'G-3.04,5.01 PF AMI'!AE72</f>
        <v>-315594.16877950181</v>
      </c>
      <c r="K31" s="2488">
        <f t="shared" si="2"/>
        <v>36293329.409642711</v>
      </c>
      <c r="L31" s="2488">
        <f t="shared" si="6"/>
        <v>38186894.42231971</v>
      </c>
      <c r="M31" s="2488">
        <f t="shared" si="0"/>
        <v>-7621599.1760249687</v>
      </c>
      <c r="N31" s="2488">
        <f t="shared" si="7"/>
        <v>-8019247.8286871389</v>
      </c>
      <c r="P31" s="2494">
        <v>45322</v>
      </c>
      <c r="Q31" s="2488">
        <f>-'G-3.04,5.01 PF AMI'!AK72</f>
        <v>-89408.671805069913</v>
      </c>
      <c r="R31" s="2488">
        <f t="shared" si="3"/>
        <v>10281997.257583022</v>
      </c>
      <c r="S31" s="2488">
        <f t="shared" si="8"/>
        <v>10818449.288413445</v>
      </c>
      <c r="T31" s="2488">
        <f t="shared" si="1"/>
        <v>-2159219.4240924343</v>
      </c>
      <c r="U31" s="2488">
        <f t="shared" si="9"/>
        <v>-2271874.3505668235</v>
      </c>
      <c r="Y31" s="477">
        <v>24</v>
      </c>
      <c r="Z31" s="477">
        <v>202008</v>
      </c>
      <c r="AA31" s="2487"/>
      <c r="AB31" s="2487"/>
      <c r="AC31" s="2487"/>
      <c r="AD31" s="2487"/>
      <c r="AE31" s="2487"/>
      <c r="AF31" s="2487"/>
      <c r="AG31" s="2487"/>
      <c r="AH31" s="2487"/>
      <c r="AI31" s="2487"/>
      <c r="AJ31" s="2487"/>
      <c r="AK31" s="2487"/>
      <c r="AV31" s="1230"/>
      <c r="AX31" s="1210"/>
      <c r="AY31" s="1210"/>
      <c r="AZ31" s="1210"/>
      <c r="BA31" s="1210"/>
      <c r="BB31" s="1210"/>
      <c r="BC31" s="1210"/>
      <c r="BD31" s="1210"/>
      <c r="BE31" s="1210"/>
      <c r="BF31" s="1210"/>
      <c r="BG31" s="1210"/>
      <c r="BH31" s="1210"/>
      <c r="BI31" s="1210"/>
      <c r="BJ31" s="1210"/>
      <c r="BK31" s="1210"/>
      <c r="BL31" s="1210"/>
      <c r="BM31" s="1210"/>
      <c r="BN31" s="1210"/>
      <c r="BO31" s="1210"/>
      <c r="BP31" s="1210"/>
      <c r="BQ31" s="1210"/>
      <c r="BR31" s="1210"/>
      <c r="BS31" s="1210"/>
      <c r="BT31" s="1210"/>
      <c r="BU31" s="1210"/>
    </row>
    <row r="32" spans="1:73" ht="15">
      <c r="A32" s="2102" t="s">
        <v>2218</v>
      </c>
      <c r="B32" s="1230" t="s">
        <v>2192</v>
      </c>
      <c r="C32" s="2491">
        <f>C14</f>
        <v>3787130.0253540208</v>
      </c>
      <c r="D32" s="2491">
        <f>D14</f>
        <v>1072904.061660839</v>
      </c>
      <c r="E32" s="2488"/>
      <c r="I32" s="2494">
        <v>45351</v>
      </c>
      <c r="J32" s="2488">
        <f>-'G-3.04,5.01 PF AMI'!AE73</f>
        <v>-315594.16877950181</v>
      </c>
      <c r="K32" s="2488">
        <f t="shared" si="2"/>
        <v>35977735.240863211</v>
      </c>
      <c r="L32" s="2488">
        <f t="shared" si="6"/>
        <v>37871300.25354021</v>
      </c>
      <c r="M32" s="2488">
        <f t="shared" si="0"/>
        <v>-7555324.4005812742</v>
      </c>
      <c r="N32" s="2488">
        <f t="shared" si="7"/>
        <v>-7952973.0532434443</v>
      </c>
      <c r="P32" s="2494">
        <v>45351</v>
      </c>
      <c r="Q32" s="2488">
        <f>-'G-3.04,5.01 PF AMI'!AK73</f>
        <v>-89408.671805069913</v>
      </c>
      <c r="R32" s="2488">
        <f t="shared" si="3"/>
        <v>10192588.585777951</v>
      </c>
      <c r="S32" s="2488">
        <f t="shared" si="8"/>
        <v>10729040.616608376</v>
      </c>
      <c r="T32" s="2488">
        <f t="shared" si="1"/>
        <v>-2140443.6030133697</v>
      </c>
      <c r="U32" s="2488">
        <f t="shared" si="9"/>
        <v>-2253098.5294877584</v>
      </c>
      <c r="Y32" s="477">
        <v>25</v>
      </c>
      <c r="Z32" s="477">
        <v>202009</v>
      </c>
      <c r="AA32" s="2487"/>
      <c r="AB32" s="2487"/>
      <c r="AC32" s="2487"/>
      <c r="AD32" s="2487"/>
      <c r="AE32" s="2487"/>
      <c r="AF32" s="2487"/>
      <c r="AG32" s="2487"/>
      <c r="AH32" s="2487"/>
      <c r="AI32" s="2487"/>
      <c r="AJ32" s="2522"/>
      <c r="AK32" s="2523"/>
      <c r="AV32" s="1230" t="s">
        <v>2219</v>
      </c>
      <c r="AX32" s="1210"/>
      <c r="AY32" s="1210"/>
      <c r="AZ32" s="1210"/>
      <c r="BA32" s="1210"/>
      <c r="BB32" s="1210"/>
      <c r="BC32" s="1210"/>
      <c r="BD32" s="1210"/>
      <c r="BE32" s="1210"/>
      <c r="BF32" s="1210"/>
      <c r="BG32" s="1210"/>
      <c r="BH32" s="1210"/>
      <c r="BI32" s="1210"/>
      <c r="BJ32" s="1210"/>
      <c r="BK32" s="1210"/>
      <c r="BL32" s="1210"/>
      <c r="BM32" s="1210"/>
      <c r="BN32" s="1210"/>
      <c r="BO32" s="1210"/>
      <c r="BP32" s="1210"/>
      <c r="BQ32" s="1210"/>
      <c r="BR32" s="1210"/>
      <c r="BS32" s="1210"/>
      <c r="BT32" s="1210"/>
      <c r="BU32" s="1210"/>
    </row>
    <row r="33" spans="1:73" ht="15">
      <c r="C33" s="2507"/>
      <c r="D33" s="2488"/>
      <c r="E33" s="2507"/>
      <c r="I33" s="2494">
        <v>45382</v>
      </c>
      <c r="J33" s="2488">
        <f>-'G-3.04,5.01 PF AMI'!AE74</f>
        <v>-315594.16877950181</v>
      </c>
      <c r="K33" s="2488">
        <f t="shared" si="2"/>
        <v>35662141.072083712</v>
      </c>
      <c r="L33" s="2488">
        <f t="shared" si="6"/>
        <v>37555706.084760703</v>
      </c>
      <c r="M33" s="2488">
        <f t="shared" si="0"/>
        <v>-7489049.6251375796</v>
      </c>
      <c r="N33" s="2488">
        <f t="shared" si="7"/>
        <v>-7886698.2777997488</v>
      </c>
      <c r="P33" s="2494">
        <v>45382</v>
      </c>
      <c r="Q33" s="2488">
        <f>-'G-3.04,5.01 PF AMI'!AK74</f>
        <v>-89408.671805069913</v>
      </c>
      <c r="R33" s="2488">
        <f t="shared" si="3"/>
        <v>10103179.913972881</v>
      </c>
      <c r="S33" s="2488">
        <f t="shared" si="8"/>
        <v>10639631.944803303</v>
      </c>
      <c r="T33" s="2488">
        <f t="shared" si="1"/>
        <v>-2121667.7819343051</v>
      </c>
      <c r="U33" s="2488">
        <f t="shared" si="9"/>
        <v>-2234322.7084086938</v>
      </c>
      <c r="Y33" s="477">
        <v>26</v>
      </c>
      <c r="Z33" s="477">
        <v>202010</v>
      </c>
      <c r="AA33" s="2487"/>
      <c r="AB33" s="2487"/>
      <c r="AC33" s="2487"/>
      <c r="AD33" s="2487"/>
      <c r="AE33" s="2487"/>
      <c r="AF33" s="2487"/>
      <c r="AG33" s="2487"/>
      <c r="AH33" s="2487"/>
      <c r="AI33" s="2487"/>
      <c r="AJ33" s="2487"/>
      <c r="AK33" s="2487"/>
      <c r="AV33" s="2512"/>
      <c r="AW33" s="2493" t="s">
        <v>2220</v>
      </c>
      <c r="AX33" s="2515">
        <v>6528174.400280741</v>
      </c>
      <c r="AY33" s="2515">
        <v>15382656.222365012</v>
      </c>
      <c r="AZ33" s="2515">
        <v>0</v>
      </c>
      <c r="BA33" s="2515">
        <v>0</v>
      </c>
      <c r="BB33" s="2515">
        <v>0</v>
      </c>
      <c r="BC33" s="2515">
        <v>194296.65319520229</v>
      </c>
      <c r="BD33" s="2515">
        <v>505317.02079742245</v>
      </c>
      <c r="BE33" s="2515">
        <v>504286.06795842142</v>
      </c>
      <c r="BF33" s="2515">
        <v>524608.79649714578</v>
      </c>
      <c r="BG33" s="2515">
        <v>727667.37466130767</v>
      </c>
      <c r="BH33" s="2515">
        <v>756992.36986015853</v>
      </c>
      <c r="BI33" s="2515">
        <v>787499.16236552282</v>
      </c>
      <c r="BJ33" s="2515">
        <v>819235.37860885344</v>
      </c>
      <c r="BK33" s="2515">
        <v>852250.56436679023</v>
      </c>
      <c r="BL33" s="2515">
        <v>886596.26211077196</v>
      </c>
      <c r="BM33" s="2515">
        <v>922326.09147383622</v>
      </c>
      <c r="BN33" s="2515">
        <v>959495.83296023181</v>
      </c>
      <c r="BO33" s="2515">
        <v>998163.51502852887</v>
      </c>
      <c r="BP33" s="2515">
        <v>1038389.5046841785</v>
      </c>
      <c r="BQ33" s="2515">
        <v>1080236.6017229513</v>
      </c>
      <c r="BR33" s="2515">
        <v>1123770.1367723863</v>
      </c>
      <c r="BS33" s="2515">
        <v>1169058.0732843135</v>
      </c>
      <c r="BT33" s="2515">
        <v>1216171.1136376711</v>
      </c>
      <c r="BU33" s="2515">
        <v>316295.70237931743</v>
      </c>
    </row>
    <row r="34" spans="1:73" ht="15">
      <c r="A34" s="477" t="s">
        <v>2188</v>
      </c>
      <c r="B34" s="477" t="s">
        <v>2221</v>
      </c>
      <c r="C34" s="2496">
        <f>'G-3.04,5.01 PF AMI'!N154</f>
        <v>0</v>
      </c>
      <c r="D34" s="2508">
        <f>'G-3.04,5.01 PF AMI'!U154</f>
        <v>0</v>
      </c>
      <c r="E34" s="2496" t="s">
        <v>2190</v>
      </c>
      <c r="I34" s="2494">
        <v>45412</v>
      </c>
      <c r="J34" s="2488">
        <f>-'G-3.04,5.01 PF AMI'!AE75</f>
        <v>-315594.16877950181</v>
      </c>
      <c r="K34" s="2488">
        <f t="shared" si="2"/>
        <v>35346546.903304212</v>
      </c>
      <c r="L34" s="2488">
        <f t="shared" si="6"/>
        <v>37240111.915981211</v>
      </c>
      <c r="M34" s="2488">
        <f t="shared" si="0"/>
        <v>-7422774.8496938841</v>
      </c>
      <c r="N34" s="2488">
        <f t="shared" si="7"/>
        <v>-7820423.5023560533</v>
      </c>
      <c r="P34" s="2494">
        <v>45412</v>
      </c>
      <c r="Q34" s="2488">
        <f>-'G-3.04,5.01 PF AMI'!AK75</f>
        <v>-89408.671805069913</v>
      </c>
      <c r="R34" s="2488">
        <f t="shared" si="3"/>
        <v>10013771.24216781</v>
      </c>
      <c r="S34" s="2488">
        <f t="shared" si="8"/>
        <v>10550223.272998234</v>
      </c>
      <c r="T34" s="2488">
        <f t="shared" si="1"/>
        <v>-2102891.96085524</v>
      </c>
      <c r="U34" s="2488">
        <f t="shared" si="9"/>
        <v>-2215546.8873296292</v>
      </c>
      <c r="Y34" s="477">
        <v>27</v>
      </c>
      <c r="Z34" s="477">
        <v>202011</v>
      </c>
      <c r="AA34" s="2487"/>
      <c r="AB34" s="2487"/>
      <c r="AC34" s="2487"/>
      <c r="AD34" s="2487"/>
      <c r="AE34" s="2487"/>
      <c r="AF34" s="2487"/>
      <c r="AG34" s="2487"/>
      <c r="AH34" s="2487"/>
      <c r="AI34" s="2487"/>
      <c r="AJ34" s="2487"/>
      <c r="AK34" s="2487"/>
      <c r="AV34" s="2512"/>
      <c r="AW34" s="2493" t="s">
        <v>2222</v>
      </c>
      <c r="AX34" s="2515">
        <v>2379863.5680026547</v>
      </c>
      <c r="AY34" s="2515">
        <v>5607788.7749355333</v>
      </c>
      <c r="AZ34" s="2515">
        <v>0</v>
      </c>
      <c r="BA34" s="2515">
        <v>0</v>
      </c>
      <c r="BB34" s="2515">
        <v>0</v>
      </c>
      <c r="BC34" s="2515">
        <v>70831.368461023856</v>
      </c>
      <c r="BD34" s="2515">
        <v>184214.68152500782</v>
      </c>
      <c r="BE34" s="2515">
        <v>183838.84488961374</v>
      </c>
      <c r="BF34" s="2515">
        <v>191247.55033866517</v>
      </c>
      <c r="BG34" s="2515">
        <v>265273.10215641779</v>
      </c>
      <c r="BH34" s="2515">
        <v>275963.60817332147</v>
      </c>
      <c r="BI34" s="2515">
        <v>287084.94158270629</v>
      </c>
      <c r="BJ34" s="2515">
        <v>298654.4647284894</v>
      </c>
      <c r="BK34" s="2515">
        <v>310690.2396570475</v>
      </c>
      <c r="BL34" s="2515">
        <v>323211.05631522654</v>
      </c>
      <c r="BM34" s="2515">
        <v>336236.4618847302</v>
      </c>
      <c r="BN34" s="2515">
        <v>349786.79129868478</v>
      </c>
      <c r="BO34" s="2515">
        <v>363883.19898802176</v>
      </c>
      <c r="BP34" s="2515">
        <v>378547.69190723909</v>
      </c>
      <c r="BQ34" s="2515">
        <v>393803.16389110091</v>
      </c>
      <c r="BR34" s="2515">
        <v>409673.43139591225</v>
      </c>
      <c r="BS34" s="2515">
        <v>426183.27068116755</v>
      </c>
      <c r="BT34" s="2515">
        <v>443358.45648961858</v>
      </c>
      <c r="BU34" s="2515">
        <v>115306.45057153756</v>
      </c>
    </row>
    <row r="35" spans="1:73" ht="15">
      <c r="B35" s="1230" t="s">
        <v>2223</v>
      </c>
      <c r="C35" s="2524">
        <f>C32+C34</f>
        <v>3787130.0253540208</v>
      </c>
      <c r="D35" s="2524">
        <f>D32+D34</f>
        <v>1072904.061660839</v>
      </c>
      <c r="E35" s="2488"/>
      <c r="I35" s="2494">
        <v>45443</v>
      </c>
      <c r="J35" s="2488">
        <f>-'G-3.04,5.01 PF AMI'!AE76</f>
        <v>-315594.16877950181</v>
      </c>
      <c r="K35" s="2488">
        <f t="shared" si="2"/>
        <v>35030952.734524712</v>
      </c>
      <c r="L35" s="2488">
        <f t="shared" si="6"/>
        <v>36924517.747201703</v>
      </c>
      <c r="M35" s="2488">
        <f t="shared" si="0"/>
        <v>-7356500.0742501896</v>
      </c>
      <c r="N35" s="2488">
        <f t="shared" si="7"/>
        <v>-7754148.7269123578</v>
      </c>
      <c r="P35" s="2494">
        <v>45443</v>
      </c>
      <c r="Q35" s="2488">
        <f>-'G-3.04,5.01 PF AMI'!AK76</f>
        <v>-89408.671805069913</v>
      </c>
      <c r="R35" s="2488">
        <f t="shared" si="3"/>
        <v>9924362.5703627393</v>
      </c>
      <c r="S35" s="2488">
        <f t="shared" si="8"/>
        <v>10460814.601193165</v>
      </c>
      <c r="T35" s="2488">
        <f t="shared" si="1"/>
        <v>-2084116.1397761751</v>
      </c>
      <c r="U35" s="2488">
        <f t="shared" si="9"/>
        <v>-2196771.0662505645</v>
      </c>
      <c r="Y35" s="477">
        <v>28</v>
      </c>
      <c r="Z35" s="477">
        <v>202012</v>
      </c>
      <c r="AA35" s="2487"/>
      <c r="AB35" s="2487"/>
      <c r="AC35" s="2487"/>
      <c r="AD35" s="2487"/>
      <c r="AE35" s="2487"/>
      <c r="AF35" s="2487"/>
      <c r="AG35" s="2487"/>
      <c r="AH35" s="2487"/>
      <c r="AI35" s="2487"/>
      <c r="AJ35" s="2487"/>
      <c r="AK35" s="2487"/>
      <c r="AV35" s="2512"/>
      <c r="AW35" s="2493" t="s">
        <v>2224</v>
      </c>
      <c r="AX35" s="2515">
        <v>1096662.0741878629</v>
      </c>
      <c r="AY35" s="2515">
        <v>2466822.7394929137</v>
      </c>
      <c r="AZ35" s="2515">
        <v>0</v>
      </c>
      <c r="BA35" s="2515">
        <v>0</v>
      </c>
      <c r="BB35" s="2515">
        <v>0</v>
      </c>
      <c r="BC35" s="2515">
        <v>41714.25156808363</v>
      </c>
      <c r="BD35" s="2515">
        <v>105328.48520941116</v>
      </c>
      <c r="BE35" s="2515">
        <v>102052.03202000202</v>
      </c>
      <c r="BF35" s="2515">
        <v>103072.55234020203</v>
      </c>
      <c r="BG35" s="2515">
        <v>138804.3704848054</v>
      </c>
      <c r="BH35" s="2515">
        <v>140192.41418965347</v>
      </c>
      <c r="BI35" s="2515">
        <v>141594.33833155001</v>
      </c>
      <c r="BJ35" s="2515">
        <v>143010.2817148655</v>
      </c>
      <c r="BK35" s="2515">
        <v>144440.38453201417</v>
      </c>
      <c r="BL35" s="2515">
        <v>145884.78837733431</v>
      </c>
      <c r="BM35" s="2515">
        <v>147343.63626110763</v>
      </c>
      <c r="BN35" s="2515">
        <v>148817.07262371873</v>
      </c>
      <c r="BO35" s="2515">
        <v>150305.24334995588</v>
      </c>
      <c r="BP35" s="2515">
        <v>151808.29578345545</v>
      </c>
      <c r="BQ35" s="2515">
        <v>153326.37874129001</v>
      </c>
      <c r="BR35" s="2515">
        <v>154859.64252870294</v>
      </c>
      <c r="BS35" s="2515">
        <v>156408.23895398999</v>
      </c>
      <c r="BT35" s="2515">
        <v>157972.32134352988</v>
      </c>
      <c r="BU35" s="2515">
        <v>39888.011139241295</v>
      </c>
    </row>
    <row r="36" spans="1:73" ht="15">
      <c r="C36" s="2488"/>
      <c r="D36" s="2488"/>
      <c r="E36" s="2488"/>
      <c r="I36" s="2494">
        <v>45473</v>
      </c>
      <c r="J36" s="2488">
        <f>-'G-3.04,5.01 PF AMI'!AE77</f>
        <v>-315594.16877950181</v>
      </c>
      <c r="K36" s="2488">
        <f t="shared" si="2"/>
        <v>34715358.565745212</v>
      </c>
      <c r="L36" s="2488">
        <f t="shared" si="6"/>
        <v>36608923.578422211</v>
      </c>
      <c r="M36" s="2488">
        <f t="shared" si="0"/>
        <v>-7290225.2988064941</v>
      </c>
      <c r="N36" s="2488">
        <f t="shared" si="7"/>
        <v>-7687873.9514686642</v>
      </c>
      <c r="P36" s="2494">
        <v>45473</v>
      </c>
      <c r="Q36" s="2488">
        <f>-'G-3.04,5.01 PF AMI'!AK77</f>
        <v>-89408.671805069913</v>
      </c>
      <c r="R36" s="2488">
        <f t="shared" si="3"/>
        <v>9834953.8985576686</v>
      </c>
      <c r="S36" s="2488">
        <f t="shared" si="8"/>
        <v>10371405.929388093</v>
      </c>
      <c r="T36" s="2488">
        <f t="shared" si="1"/>
        <v>-2065340.3186971103</v>
      </c>
      <c r="U36" s="2488">
        <f t="shared" si="9"/>
        <v>-2177995.2451714994</v>
      </c>
      <c r="Y36" s="477">
        <v>29</v>
      </c>
      <c r="Z36" s="477">
        <v>202101</v>
      </c>
      <c r="AA36" s="2487"/>
      <c r="AB36" s="2487"/>
      <c r="AC36" s="2487"/>
      <c r="AD36" s="2487"/>
      <c r="AE36" s="2487"/>
      <c r="AF36" s="2487"/>
      <c r="AG36" s="2487"/>
      <c r="AH36" s="2487"/>
      <c r="AI36" s="2487"/>
      <c r="AJ36" s="2487"/>
      <c r="AK36" s="2487"/>
      <c r="AV36" s="2512"/>
      <c r="AW36" s="2493" t="s">
        <v>2225</v>
      </c>
      <c r="AX36" s="2515">
        <v>973755.49224492256</v>
      </c>
      <c r="AY36" s="2515">
        <v>2294507.6315974817</v>
      </c>
      <c r="AZ36" s="2515">
        <v>0</v>
      </c>
      <c r="BA36" s="2515">
        <v>0</v>
      </c>
      <c r="BB36" s="2515">
        <v>0</v>
      </c>
      <c r="BC36" s="2515">
        <v>28981.67566808554</v>
      </c>
      <c r="BD36" s="2515">
        <v>75374.092993773476</v>
      </c>
      <c r="BE36" s="2515">
        <v>75220.314015506665</v>
      </c>
      <c r="BF36" s="2515">
        <v>78251.692670331584</v>
      </c>
      <c r="BG36" s="2515">
        <v>108540.31451326128</v>
      </c>
      <c r="BH36" s="2515">
        <v>112914.48918814572</v>
      </c>
      <c r="BI36" s="2515">
        <v>117464.94310242798</v>
      </c>
      <c r="BJ36" s="2515">
        <v>122198.78030945585</v>
      </c>
      <c r="BK36" s="2515">
        <v>127123.39115592693</v>
      </c>
      <c r="BL36" s="2515">
        <v>132246.4638195108</v>
      </c>
      <c r="BM36" s="2515">
        <v>137575.99631143705</v>
      </c>
      <c r="BN36" s="2515">
        <v>143120.30896278797</v>
      </c>
      <c r="BO36" s="2515">
        <v>148888.05741398834</v>
      </c>
      <c r="BP36" s="2515">
        <v>154888.24612777209</v>
      </c>
      <c r="BQ36" s="2515">
        <v>161130.24244672133</v>
      </c>
      <c r="BR36" s="2515">
        <v>167623.79121732421</v>
      </c>
      <c r="BS36" s="2515">
        <v>174379.03000338239</v>
      </c>
      <c r="BT36" s="2515">
        <v>181406.50491251872</v>
      </c>
      <c r="BU36" s="2515">
        <v>47179.296765123312</v>
      </c>
    </row>
    <row r="37" spans="1:73" ht="15">
      <c r="A37" s="2102" t="s">
        <v>2196</v>
      </c>
      <c r="B37" s="1230"/>
      <c r="C37" s="2488"/>
      <c r="D37" s="2488"/>
      <c r="E37" s="2488"/>
      <c r="I37" s="2494">
        <v>45504</v>
      </c>
      <c r="J37" s="2488">
        <f>-'G-3.04,5.01 PF AMI'!AE78</f>
        <v>-315594.16877950181</v>
      </c>
      <c r="K37" s="2488">
        <f t="shared" si="2"/>
        <v>34399764.396965712</v>
      </c>
      <c r="L37" s="2488">
        <f t="shared" si="6"/>
        <v>36293329.409642719</v>
      </c>
      <c r="M37" s="2488">
        <f t="shared" si="0"/>
        <v>-7223950.5233627995</v>
      </c>
      <c r="N37" s="2488">
        <f t="shared" si="7"/>
        <v>-7621599.1760249687</v>
      </c>
      <c r="P37" s="2494">
        <v>45504</v>
      </c>
      <c r="Q37" s="2488">
        <f>-'G-3.04,5.01 PF AMI'!AK78</f>
        <v>-89408.671805069913</v>
      </c>
      <c r="R37" s="2488">
        <f t="shared" si="3"/>
        <v>9745545.2267525978</v>
      </c>
      <c r="S37" s="2488">
        <f t="shared" si="8"/>
        <v>10281997.257583022</v>
      </c>
      <c r="T37" s="2488">
        <f t="shared" si="1"/>
        <v>-2046564.4976180454</v>
      </c>
      <c r="U37" s="2488">
        <f t="shared" si="9"/>
        <v>-2159219.4240924348</v>
      </c>
      <c r="Y37" s="477">
        <v>30</v>
      </c>
      <c r="Z37" s="477">
        <v>202102</v>
      </c>
      <c r="AA37" s="2487"/>
      <c r="AB37" s="2487"/>
      <c r="AC37" s="2487"/>
      <c r="AD37" s="2487"/>
      <c r="AE37" s="2487"/>
      <c r="AF37" s="2487"/>
      <c r="AG37" s="2487"/>
      <c r="AH37" s="2487"/>
      <c r="AI37" s="2487"/>
      <c r="AJ37" s="2487"/>
      <c r="AK37" s="2487"/>
      <c r="AV37" s="2504"/>
      <c r="AW37" s="2505" t="s">
        <v>24</v>
      </c>
      <c r="AX37" s="2506">
        <f t="shared" ref="AX37:BU37" si="12">SUM(AX33:AX36)</f>
        <v>10978455.534716181</v>
      </c>
      <c r="AY37" s="2506">
        <f t="shared" si="12"/>
        <v>25751775.36839094</v>
      </c>
      <c r="AZ37" s="2506">
        <f t="shared" si="12"/>
        <v>0</v>
      </c>
      <c r="BA37" s="2506">
        <f t="shared" si="12"/>
        <v>0</v>
      </c>
      <c r="BB37" s="2506">
        <f t="shared" si="12"/>
        <v>0</v>
      </c>
      <c r="BC37" s="2506">
        <f t="shared" si="12"/>
        <v>335823.9488923953</v>
      </c>
      <c r="BD37" s="2506">
        <f t="shared" si="12"/>
        <v>870234.28052561486</v>
      </c>
      <c r="BE37" s="2506">
        <f t="shared" si="12"/>
        <v>865397.25888354378</v>
      </c>
      <c r="BF37" s="2506">
        <f t="shared" si="12"/>
        <v>897180.59184634453</v>
      </c>
      <c r="BG37" s="2506">
        <f t="shared" si="12"/>
        <v>1240285.1618157921</v>
      </c>
      <c r="BH37" s="2506">
        <f t="shared" si="12"/>
        <v>1286062.8814112791</v>
      </c>
      <c r="BI37" s="2506">
        <f t="shared" si="12"/>
        <v>1333643.3853822069</v>
      </c>
      <c r="BJ37" s="2506">
        <f t="shared" si="12"/>
        <v>1383098.9053616642</v>
      </c>
      <c r="BK37" s="2506">
        <f t="shared" si="12"/>
        <v>1434504.5797117788</v>
      </c>
      <c r="BL37" s="2506">
        <f t="shared" si="12"/>
        <v>1487938.5706228437</v>
      </c>
      <c r="BM37" s="2506">
        <f t="shared" si="12"/>
        <v>1543482.1859311112</v>
      </c>
      <c r="BN37" s="2506">
        <f t="shared" si="12"/>
        <v>1601220.0058454233</v>
      </c>
      <c r="BO37" s="2506">
        <f t="shared" si="12"/>
        <v>1661240.0147804949</v>
      </c>
      <c r="BP37" s="2506">
        <f t="shared" si="12"/>
        <v>1723633.7385026452</v>
      </c>
      <c r="BQ37" s="2506">
        <f t="shared" si="12"/>
        <v>1788496.3868020636</v>
      </c>
      <c r="BR37" s="2506">
        <f t="shared" si="12"/>
        <v>1855927.0019143256</v>
      </c>
      <c r="BS37" s="2506">
        <f t="shared" si="12"/>
        <v>1926028.6129228533</v>
      </c>
      <c r="BT37" s="2506">
        <f t="shared" si="12"/>
        <v>1998908.3963833384</v>
      </c>
      <c r="BU37" s="2506">
        <f t="shared" si="12"/>
        <v>518669.46085521957</v>
      </c>
    </row>
    <row r="38" spans="1:73" ht="15">
      <c r="A38" s="2102"/>
      <c r="B38" s="1230" t="s">
        <v>2203</v>
      </c>
      <c r="C38" s="2491">
        <f>C19</f>
        <v>-7937766.1748548467</v>
      </c>
      <c r="D38" s="2491">
        <f>D19</f>
        <v>-2645922.0582849486</v>
      </c>
      <c r="E38" s="2488" t="s">
        <v>2198</v>
      </c>
      <c r="I38" s="2494">
        <v>45535</v>
      </c>
      <c r="J38" s="2488">
        <f>-'G-3.04,5.01 PF AMI'!AE79</f>
        <v>-315594.16877950181</v>
      </c>
      <c r="K38" s="2488">
        <f t="shared" si="2"/>
        <v>34084170.228186212</v>
      </c>
      <c r="L38" s="2488">
        <f t="shared" si="6"/>
        <v>35977735.240863211</v>
      </c>
      <c r="M38" s="2488">
        <f t="shared" si="0"/>
        <v>-7157675.7479191041</v>
      </c>
      <c r="N38" s="2488">
        <f t="shared" si="7"/>
        <v>-7555324.4005812733</v>
      </c>
      <c r="P38" s="2494">
        <v>45535</v>
      </c>
      <c r="Q38" s="2488">
        <f>-'G-3.04,5.01 PF AMI'!AK79</f>
        <v>-89408.671805069913</v>
      </c>
      <c r="R38" s="2488">
        <f t="shared" si="3"/>
        <v>9656136.5549475271</v>
      </c>
      <c r="S38" s="2488">
        <f t="shared" si="8"/>
        <v>10192588.585777951</v>
      </c>
      <c r="T38" s="2488">
        <f t="shared" si="1"/>
        <v>-2027788.6765389806</v>
      </c>
      <c r="U38" s="2488">
        <f t="shared" si="9"/>
        <v>-2140443.6030133697</v>
      </c>
      <c r="Y38" s="477">
        <v>31</v>
      </c>
      <c r="Z38" s="477">
        <v>202103</v>
      </c>
      <c r="AA38" s="2487"/>
      <c r="AB38" s="2487"/>
      <c r="AC38" s="2487"/>
      <c r="AD38" s="2487"/>
      <c r="AE38" s="2487"/>
      <c r="AF38" s="2487"/>
      <c r="AG38" s="2487"/>
      <c r="AH38" s="2487"/>
      <c r="AI38" s="2487"/>
      <c r="AJ38" s="2487"/>
      <c r="AK38" s="2487"/>
      <c r="AV38" s="1230"/>
      <c r="AX38" s="1210"/>
      <c r="AY38" s="1210"/>
      <c r="AZ38" s="1210"/>
      <c r="BA38" s="1210"/>
      <c r="BB38" s="1210"/>
      <c r="BC38" s="1210"/>
      <c r="BD38" s="1210"/>
      <c r="BE38" s="1210"/>
      <c r="BF38" s="1210"/>
      <c r="BG38" s="1210"/>
      <c r="BH38" s="1210"/>
      <c r="BI38" s="1210"/>
      <c r="BJ38" s="1210"/>
      <c r="BK38" s="1210"/>
      <c r="BL38" s="1210"/>
      <c r="BM38" s="1210"/>
      <c r="BN38" s="1210"/>
      <c r="BO38" s="1210"/>
      <c r="BP38" s="1210"/>
      <c r="BQ38" s="1210"/>
      <c r="BR38" s="1210"/>
      <c r="BS38" s="1210"/>
      <c r="BT38" s="1210"/>
      <c r="BU38" s="1210"/>
    </row>
    <row r="39" spans="1:73" ht="15.75" thickBot="1">
      <c r="A39" s="477" t="s">
        <v>2199</v>
      </c>
      <c r="B39" s="1230" t="s">
        <v>2226</v>
      </c>
      <c r="C39" s="2496">
        <v>-314091.40000000002</v>
      </c>
      <c r="D39" s="2508">
        <v>-104697</v>
      </c>
      <c r="E39" s="2496" t="s">
        <v>2201</v>
      </c>
      <c r="F39" s="2497"/>
      <c r="I39" s="2494">
        <v>45565</v>
      </c>
      <c r="J39" s="2488">
        <f>-'G-3.04,5.01 PF AMI'!AE80</f>
        <v>-315594.16877950181</v>
      </c>
      <c r="K39" s="2488">
        <f t="shared" si="2"/>
        <v>33768576.059406713</v>
      </c>
      <c r="L39" s="2488">
        <f t="shared" si="6"/>
        <v>35662141.072083719</v>
      </c>
      <c r="M39" s="2488">
        <f t="shared" si="0"/>
        <v>-7091400.9724754095</v>
      </c>
      <c r="N39" s="2488">
        <f t="shared" si="7"/>
        <v>-7489049.6251375787</v>
      </c>
      <c r="P39" s="2494">
        <v>45565</v>
      </c>
      <c r="Q39" s="2488">
        <f>-'G-3.04,5.01 PF AMI'!AK80</f>
        <v>-89408.671805069913</v>
      </c>
      <c r="R39" s="2488">
        <f t="shared" si="3"/>
        <v>9566727.8831424564</v>
      </c>
      <c r="S39" s="2488">
        <f t="shared" si="8"/>
        <v>10103179.913972881</v>
      </c>
      <c r="T39" s="2488">
        <f t="shared" si="1"/>
        <v>-2009012.8554599157</v>
      </c>
      <c r="U39" s="2488">
        <f t="shared" si="9"/>
        <v>-2121667.7819343046</v>
      </c>
      <c r="Y39" s="477">
        <v>32</v>
      </c>
      <c r="Z39" s="477">
        <v>202104</v>
      </c>
      <c r="AA39" s="2487"/>
      <c r="AB39" s="2487"/>
      <c r="AC39" s="2487"/>
      <c r="AD39" s="2487"/>
      <c r="AE39" s="2487"/>
      <c r="AF39" s="2487"/>
      <c r="AG39" s="2487"/>
      <c r="AH39" s="2487"/>
      <c r="AI39" s="2487"/>
      <c r="AJ39" s="2487"/>
      <c r="AK39" s="2487"/>
      <c r="AV39" s="1230" t="s">
        <v>2227</v>
      </c>
      <c r="AX39" s="1210"/>
      <c r="AY39" s="1210"/>
      <c r="AZ39" s="1210"/>
      <c r="BA39" s="1210"/>
      <c r="BB39" s="1210"/>
      <c r="BC39" s="1210"/>
      <c r="BD39" s="1210"/>
      <c r="BE39" s="1210"/>
      <c r="BF39" s="1210"/>
      <c r="BG39" s="1210"/>
      <c r="BH39" s="1210"/>
      <c r="BI39" s="1210"/>
      <c r="BJ39" s="1210"/>
      <c r="BK39" s="1210"/>
      <c r="BL39" s="1210"/>
      <c r="BM39" s="1210"/>
      <c r="BN39" s="1210"/>
      <c r="BO39" s="1210"/>
      <c r="BP39" s="1210"/>
      <c r="BQ39" s="1210"/>
      <c r="BR39" s="1210"/>
      <c r="BS39" s="1210"/>
      <c r="BT39" s="1210"/>
      <c r="BU39" s="1210"/>
    </row>
    <row r="40" spans="1:73" ht="15.75" thickBot="1">
      <c r="B40" s="1230" t="s">
        <v>2228</v>
      </c>
      <c r="C40" s="2510">
        <f>C38+C39</f>
        <v>-8251857.574854847</v>
      </c>
      <c r="D40" s="2510">
        <f>D38+D39</f>
        <v>-2750619.0582849486</v>
      </c>
      <c r="E40" s="2488"/>
      <c r="I40" s="2494">
        <v>45596</v>
      </c>
      <c r="J40" s="2488">
        <f>-'G-3.04,5.01 PF AMI'!AE81</f>
        <v>-315594.16877950181</v>
      </c>
      <c r="K40" s="2488">
        <f t="shared" si="2"/>
        <v>33452981.890627209</v>
      </c>
      <c r="L40" s="2488">
        <f t="shared" si="6"/>
        <v>35346546.903304212</v>
      </c>
      <c r="M40" s="2488">
        <f t="shared" si="0"/>
        <v>-7025126.197031714</v>
      </c>
      <c r="N40" s="2488">
        <f t="shared" si="7"/>
        <v>-7422774.8496938841</v>
      </c>
      <c r="P40" s="2494">
        <v>45596</v>
      </c>
      <c r="Q40" s="2488">
        <f>-'G-3.04,5.01 PF AMI'!AK81</f>
        <v>-89408.671805069913</v>
      </c>
      <c r="R40" s="2488">
        <f t="shared" si="3"/>
        <v>9477319.2113373857</v>
      </c>
      <c r="S40" s="2488">
        <f t="shared" si="8"/>
        <v>10013771.24216781</v>
      </c>
      <c r="T40" s="2488">
        <f t="shared" si="1"/>
        <v>-1990237.0343808508</v>
      </c>
      <c r="U40" s="2488">
        <f t="shared" si="9"/>
        <v>-2102891.9608552405</v>
      </c>
      <c r="Y40" s="477">
        <v>33</v>
      </c>
      <c r="Z40" s="477">
        <v>202105</v>
      </c>
      <c r="AA40" s="2487"/>
      <c r="AB40" s="2487"/>
      <c r="AC40" s="2487"/>
      <c r="AD40" s="2487"/>
      <c r="AE40" s="2487"/>
      <c r="AF40" s="2487"/>
      <c r="AG40" s="2487"/>
      <c r="AH40" s="2487"/>
      <c r="AI40" s="2487"/>
      <c r="AJ40" s="2487"/>
      <c r="AK40" s="2487"/>
      <c r="AV40" s="1230"/>
      <c r="AW40" s="477" t="s">
        <v>2229</v>
      </c>
      <c r="AX40" s="1210">
        <v>979466.95150497009</v>
      </c>
      <c r="AY40" s="1210">
        <v>1761470.572018082</v>
      </c>
      <c r="AZ40" s="1210">
        <v>48709.749490769231</v>
      </c>
      <c r="BA40" s="1210">
        <v>50171.041975492306</v>
      </c>
      <c r="BB40" s="1210">
        <v>364576.17323475709</v>
      </c>
      <c r="BC40" s="1210">
        <v>53226.458431799787</v>
      </c>
      <c r="BD40" s="1210">
        <v>54823.252184753779</v>
      </c>
      <c r="BE40" s="1210">
        <v>42350.962312722295</v>
      </c>
      <c r="BF40" s="1210">
        <v>43621.491182103964</v>
      </c>
      <c r="BG40" s="1210">
        <v>88781.847890089441</v>
      </c>
      <c r="BH40" s="1210">
        <v>61704.053326792127</v>
      </c>
      <c r="BI40" s="1210">
        <v>63555.174926595893</v>
      </c>
      <c r="BJ40" s="1210">
        <v>65461.83017439377</v>
      </c>
      <c r="BK40" s="1210">
        <v>67425.685079625575</v>
      </c>
      <c r="BL40" s="1210">
        <v>69448.455632014331</v>
      </c>
      <c r="BM40" s="1210">
        <v>71531.909300974774</v>
      </c>
      <c r="BN40" s="1210">
        <v>73677.866580004018</v>
      </c>
      <c r="BO40" s="1210">
        <v>75888.202577404125</v>
      </c>
      <c r="BP40" s="1210">
        <v>78164.848654726258</v>
      </c>
      <c r="BQ40" s="1210">
        <v>109384.79411436804</v>
      </c>
      <c r="BR40" s="1210">
        <v>82925.087937799079</v>
      </c>
      <c r="BS40" s="1210">
        <v>85412.840575933049</v>
      </c>
      <c r="BT40" s="1210">
        <v>87975.225793211037</v>
      </c>
      <c r="BU40" s="1210">
        <v>22653.620641751844</v>
      </c>
    </row>
    <row r="41" spans="1:73" ht="15.75" thickBot="1">
      <c r="A41" s="1359"/>
      <c r="B41" s="1359"/>
      <c r="C41" s="2516"/>
      <c r="D41" s="2516"/>
      <c r="E41" s="2516"/>
      <c r="F41" s="1359"/>
      <c r="I41" s="2494">
        <v>45626</v>
      </c>
      <c r="J41" s="2488">
        <f>-'G-3.04,5.01 PF AMI'!AE82</f>
        <v>-315594.16877950181</v>
      </c>
      <c r="K41" s="2488">
        <f t="shared" si="2"/>
        <v>33137387.721847706</v>
      </c>
      <c r="L41" s="2488">
        <f t="shared" si="6"/>
        <v>35030952.734524712</v>
      </c>
      <c r="M41" s="2488">
        <f t="shared" si="0"/>
        <v>-6958851.4215880176</v>
      </c>
      <c r="N41" s="2488">
        <f t="shared" si="7"/>
        <v>-7356500.0742501887</v>
      </c>
      <c r="P41" s="2494">
        <v>45626</v>
      </c>
      <c r="Q41" s="2488">
        <f>-'G-3.04,5.01 PF AMI'!AK82</f>
        <v>-89408.671805069913</v>
      </c>
      <c r="R41" s="2488">
        <f t="shared" si="3"/>
        <v>9387910.539532315</v>
      </c>
      <c r="S41" s="2488">
        <f t="shared" si="8"/>
        <v>9924362.5703627374</v>
      </c>
      <c r="T41" s="2488">
        <f t="shared" si="1"/>
        <v>-1971461.213301786</v>
      </c>
      <c r="U41" s="2488">
        <f t="shared" si="9"/>
        <v>-2084116.1397761751</v>
      </c>
      <c r="Y41" s="477">
        <v>34</v>
      </c>
      <c r="Z41" s="477">
        <v>202106</v>
      </c>
      <c r="AA41" s="2487"/>
      <c r="AB41" s="2487"/>
      <c r="AC41" s="2487"/>
      <c r="AD41" s="2487"/>
      <c r="AE41" s="2487"/>
      <c r="AF41" s="2487"/>
      <c r="AG41" s="2487"/>
      <c r="AH41" s="2487"/>
      <c r="AI41" s="2487"/>
      <c r="AJ41" s="2487"/>
      <c r="AK41" s="2487"/>
      <c r="AV41" s="2512"/>
      <c r="AW41" s="2493" t="s">
        <v>2230</v>
      </c>
      <c r="AX41" s="2515">
        <v>1071164.5580977038</v>
      </c>
      <c r="AY41" s="2515">
        <v>2241199.4727105726</v>
      </c>
      <c r="AZ41" s="2515">
        <v>32580</v>
      </c>
      <c r="BA41" s="2515">
        <v>77954.932000000001</v>
      </c>
      <c r="BB41" s="2515">
        <v>80293.579960000003</v>
      </c>
      <c r="BC41" s="2515">
        <v>82702.387358799999</v>
      </c>
      <c r="BD41" s="2515">
        <v>68146.767183651187</v>
      </c>
      <c r="BE41" s="2515">
        <v>52643.377649370545</v>
      </c>
      <c r="BF41" s="2515">
        <v>54222.678978851669</v>
      </c>
      <c r="BG41" s="2515">
        <v>74465.812464289615</v>
      </c>
      <c r="BH41" s="2515">
        <v>76699.786838218308</v>
      </c>
      <c r="BI41" s="2515">
        <v>115662.8192718725</v>
      </c>
      <c r="BJ41" s="2515">
        <v>119132.70385002867</v>
      </c>
      <c r="BK41" s="2515">
        <v>122706.68496552952</v>
      </c>
      <c r="BL41" s="2515">
        <v>126387.8855144954</v>
      </c>
      <c r="BM41" s="2515">
        <v>130179.52207993028</v>
      </c>
      <c r="BN41" s="2515">
        <v>134084.90774232819</v>
      </c>
      <c r="BO41" s="2515">
        <v>138107.45497459802</v>
      </c>
      <c r="BP41" s="2515">
        <v>142250.67862383596</v>
      </c>
      <c r="BQ41" s="2515">
        <v>146518.19898255102</v>
      </c>
      <c r="BR41" s="2515">
        <v>150913.74495202757</v>
      </c>
      <c r="BS41" s="2515">
        <v>155441.15730058838</v>
      </c>
      <c r="BT41" s="2515">
        <v>160104.39201960602</v>
      </c>
      <c r="BU41" s="2515">
        <v>0</v>
      </c>
    </row>
    <row r="42" spans="1:73" ht="15">
      <c r="I42" s="2494">
        <v>45657</v>
      </c>
      <c r="J42" s="2488">
        <f>-'G-3.04,5.01 PF AMI'!AE83</f>
        <v>-315594.16877950181</v>
      </c>
      <c r="K42" s="2488">
        <f t="shared" si="2"/>
        <v>32821793.553068202</v>
      </c>
      <c r="L42" s="2488">
        <f t="shared" si="6"/>
        <v>34715358.565745212</v>
      </c>
      <c r="M42" s="2488">
        <f t="shared" si="0"/>
        <v>-6892576.6461443221</v>
      </c>
      <c r="N42" s="2488">
        <f t="shared" si="7"/>
        <v>-7290225.298806495</v>
      </c>
      <c r="P42" s="2494">
        <v>45657</v>
      </c>
      <c r="Q42" s="2488">
        <f>-'G-3.04,5.01 PF AMI'!AK83</f>
        <v>-89408.671805069913</v>
      </c>
      <c r="R42" s="2488">
        <f t="shared" si="3"/>
        <v>9298501.8677272443</v>
      </c>
      <c r="S42" s="2488">
        <f t="shared" si="8"/>
        <v>9834953.8985576686</v>
      </c>
      <c r="T42" s="2488">
        <f t="shared" si="1"/>
        <v>-1952685.3922227211</v>
      </c>
      <c r="U42" s="2488">
        <f t="shared" si="9"/>
        <v>-2065340.3186971105</v>
      </c>
      <c r="Y42" s="477">
        <v>35</v>
      </c>
      <c r="Z42" s="477">
        <v>202107</v>
      </c>
      <c r="AA42" s="2487"/>
      <c r="AB42" s="2487"/>
      <c r="AC42" s="2487"/>
      <c r="AD42" s="2487"/>
      <c r="AE42" s="2487"/>
      <c r="AF42" s="2487"/>
      <c r="AG42" s="2487"/>
      <c r="AH42" s="2487"/>
      <c r="AI42" s="2487"/>
      <c r="AJ42" s="2487"/>
      <c r="AK42" s="2487"/>
      <c r="AV42" s="2504"/>
      <c r="AW42" s="2505" t="s">
        <v>24</v>
      </c>
      <c r="AX42" s="2506">
        <f t="shared" ref="AX42:BU42" si="13">SUM(AX40:AX41)</f>
        <v>2050631.5096026738</v>
      </c>
      <c r="AY42" s="2506">
        <f t="shared" si="13"/>
        <v>4002670.0447286544</v>
      </c>
      <c r="AZ42" s="2506">
        <f t="shared" si="13"/>
        <v>81289.749490769231</v>
      </c>
      <c r="BA42" s="2506">
        <f t="shared" si="13"/>
        <v>128125.97397549231</v>
      </c>
      <c r="BB42" s="2506">
        <f t="shared" si="13"/>
        <v>444869.7531947571</v>
      </c>
      <c r="BC42" s="2506">
        <f t="shared" si="13"/>
        <v>135928.84579059979</v>
      </c>
      <c r="BD42" s="2506">
        <f t="shared" si="13"/>
        <v>122970.01936840496</v>
      </c>
      <c r="BE42" s="2506">
        <f t="shared" si="13"/>
        <v>94994.339962092839</v>
      </c>
      <c r="BF42" s="2506">
        <f t="shared" si="13"/>
        <v>97844.170160955633</v>
      </c>
      <c r="BG42" s="2506">
        <f t="shared" si="13"/>
        <v>163247.66035437904</v>
      </c>
      <c r="BH42" s="2506">
        <f t="shared" si="13"/>
        <v>138403.84016501042</v>
      </c>
      <c r="BI42" s="2506">
        <f t="shared" si="13"/>
        <v>179217.9941984684</v>
      </c>
      <c r="BJ42" s="2506">
        <f t="shared" si="13"/>
        <v>184594.53402442244</v>
      </c>
      <c r="BK42" s="2506">
        <f t="shared" si="13"/>
        <v>190132.37004515511</v>
      </c>
      <c r="BL42" s="2506">
        <f t="shared" si="13"/>
        <v>195836.34114650975</v>
      </c>
      <c r="BM42" s="2506">
        <f t="shared" si="13"/>
        <v>201711.43138090504</v>
      </c>
      <c r="BN42" s="2506">
        <f t="shared" si="13"/>
        <v>207762.7743223322</v>
      </c>
      <c r="BO42" s="2506">
        <f t="shared" si="13"/>
        <v>213995.65755200214</v>
      </c>
      <c r="BP42" s="2506">
        <f t="shared" si="13"/>
        <v>220415.52727856222</v>
      </c>
      <c r="BQ42" s="2506">
        <f t="shared" si="13"/>
        <v>255902.99309691906</v>
      </c>
      <c r="BR42" s="2506">
        <f t="shared" si="13"/>
        <v>233838.83288982665</v>
      </c>
      <c r="BS42" s="2506">
        <f t="shared" si="13"/>
        <v>240853.99787652143</v>
      </c>
      <c r="BT42" s="2506">
        <f t="shared" si="13"/>
        <v>248079.61781281704</v>
      </c>
      <c r="BU42" s="2506">
        <f t="shared" si="13"/>
        <v>22653.620641751844</v>
      </c>
    </row>
    <row r="43" spans="1:73" ht="15">
      <c r="I43" s="2494">
        <v>45688</v>
      </c>
      <c r="J43" s="2525">
        <f>-'G-3.04,5.01 PF AMI'!AE84</f>
        <v>-315594.16877950181</v>
      </c>
      <c r="K43" s="2488">
        <f t="shared" si="2"/>
        <v>32506199.384288698</v>
      </c>
      <c r="L43" s="2488">
        <f t="shared" si="6"/>
        <v>34399764.396965705</v>
      </c>
      <c r="M43" s="2488">
        <f t="shared" si="0"/>
        <v>-6826301.8707006266</v>
      </c>
      <c r="N43" s="2488">
        <f t="shared" si="7"/>
        <v>-7223950.5233627977</v>
      </c>
      <c r="P43" s="2494">
        <v>45688</v>
      </c>
      <c r="Q43" s="2525">
        <f>-'G-3.04,5.01 PF AMI'!AK84</f>
        <v>-89408.671805069913</v>
      </c>
      <c r="R43" s="2488">
        <f t="shared" si="3"/>
        <v>9209093.1959221736</v>
      </c>
      <c r="S43" s="2488">
        <f t="shared" si="8"/>
        <v>9745545.2267525997</v>
      </c>
      <c r="T43" s="2488">
        <f t="shared" si="1"/>
        <v>-1933909.5711436563</v>
      </c>
      <c r="U43" s="2488">
        <f t="shared" si="9"/>
        <v>-2046564.4976180454</v>
      </c>
      <c r="Y43" s="477">
        <v>36</v>
      </c>
      <c r="Z43" s="477">
        <v>202108</v>
      </c>
      <c r="AA43" s="2487"/>
      <c r="AB43" s="2487"/>
      <c r="AC43" s="2487"/>
      <c r="AD43" s="2487"/>
      <c r="AE43" s="2487"/>
      <c r="AF43" s="2487"/>
      <c r="AG43" s="2487"/>
      <c r="AH43" s="2487"/>
      <c r="AI43" s="2487"/>
      <c r="AJ43" s="2487"/>
      <c r="AK43" s="2487"/>
      <c r="AV43" s="1230"/>
      <c r="AX43" s="1210"/>
      <c r="AY43" s="1210"/>
      <c r="AZ43" s="1210"/>
      <c r="BA43" s="1210"/>
      <c r="BB43" s="1210"/>
      <c r="BC43" s="1210"/>
      <c r="BD43" s="1210"/>
      <c r="BE43" s="1210"/>
      <c r="BF43" s="1210"/>
      <c r="BG43" s="1210"/>
      <c r="BH43" s="1210"/>
      <c r="BI43" s="1210"/>
      <c r="BJ43" s="1210"/>
      <c r="BK43" s="1210"/>
      <c r="BL43" s="1210"/>
      <c r="BM43" s="1210"/>
      <c r="BN43" s="1210"/>
      <c r="BO43" s="1210"/>
      <c r="BP43" s="1210"/>
      <c r="BQ43" s="1210"/>
      <c r="BR43" s="1210"/>
      <c r="BS43" s="1210"/>
      <c r="BT43" s="1210"/>
      <c r="BU43" s="1210"/>
    </row>
    <row r="44" spans="1:73" ht="15">
      <c r="B44" s="2526" t="s">
        <v>47</v>
      </c>
      <c r="C44" s="2492">
        <v>-1682</v>
      </c>
      <c r="I44" s="2494">
        <v>45716</v>
      </c>
      <c r="J44" s="2525">
        <f>-'G-3.04,5.01 PF AMI'!AE85</f>
        <v>-315594.16877950181</v>
      </c>
      <c r="K44" s="2488">
        <f t="shared" si="2"/>
        <v>32190605.215509195</v>
      </c>
      <c r="L44" s="2488">
        <f t="shared" si="6"/>
        <v>34084170.228186212</v>
      </c>
      <c r="M44" s="2488">
        <f t="shared" si="0"/>
        <v>-6760027.0952569302</v>
      </c>
      <c r="N44" s="2488">
        <f t="shared" si="7"/>
        <v>-7157675.7479191041</v>
      </c>
      <c r="P44" s="2494">
        <v>45716</v>
      </c>
      <c r="Q44" s="2525">
        <f>-'G-3.04,5.01 PF AMI'!AK85</f>
        <v>-89408.671805069913</v>
      </c>
      <c r="R44" s="2488">
        <f t="shared" si="3"/>
        <v>9119684.5241171028</v>
      </c>
      <c r="S44" s="2488">
        <f t="shared" si="8"/>
        <v>9656136.5549475271</v>
      </c>
      <c r="T44" s="2488">
        <f t="shared" si="1"/>
        <v>-1915133.7500645914</v>
      </c>
      <c r="U44" s="2488">
        <f t="shared" si="9"/>
        <v>-2027788.6765389806</v>
      </c>
      <c r="Y44" s="477">
        <v>37</v>
      </c>
      <c r="Z44" s="477">
        <v>202109</v>
      </c>
      <c r="AA44" s="2487"/>
      <c r="AB44" s="2487"/>
      <c r="AC44" s="2487"/>
      <c r="AD44" s="2487"/>
      <c r="AE44" s="2487"/>
      <c r="AF44" s="2487"/>
      <c r="AG44" s="2487"/>
      <c r="AH44" s="2487"/>
      <c r="AI44" s="2487"/>
      <c r="AJ44" s="2487"/>
      <c r="AK44" s="2487"/>
      <c r="AV44" s="1230" t="s">
        <v>978</v>
      </c>
      <c r="AW44" s="2527" t="s">
        <v>2231</v>
      </c>
      <c r="AX44" s="2528">
        <f t="shared" ref="AX44:BU44" si="14">SUM(AX11,AX16,AX22,AX27,AX30,AX37,AX42)</f>
        <v>126381946.45338751</v>
      </c>
      <c r="AY44" s="2528">
        <f t="shared" si="14"/>
        <v>280867688.36671168</v>
      </c>
      <c r="AZ44" s="2529">
        <f t="shared" si="14"/>
        <v>361464.74949076923</v>
      </c>
      <c r="BA44" s="2529">
        <f t="shared" si="14"/>
        <v>497878.7451754926</v>
      </c>
      <c r="BB44" s="2529">
        <f t="shared" si="14"/>
        <v>1025408.4113118204</v>
      </c>
      <c r="BC44" s="2529">
        <f t="shared" si="14"/>
        <v>3243142.8209745623</v>
      </c>
      <c r="BD44" s="2529">
        <f t="shared" si="14"/>
        <v>8190140.9398079664</v>
      </c>
      <c r="BE44" s="2529">
        <f t="shared" si="14"/>
        <v>8500698.1220863946</v>
      </c>
      <c r="BF44" s="2529">
        <f t="shared" si="14"/>
        <v>8854580.6055106446</v>
      </c>
      <c r="BG44" s="2529">
        <f t="shared" si="14"/>
        <v>12754415.927312931</v>
      </c>
      <c r="BH44" s="2529">
        <f t="shared" si="14"/>
        <v>13952521.49539957</v>
      </c>
      <c r="BI44" s="2529">
        <f t="shared" si="14"/>
        <v>14540967.65825218</v>
      </c>
      <c r="BJ44" s="2529">
        <f t="shared" si="14"/>
        <v>15212811.394486992</v>
      </c>
      <c r="BK44" s="2529">
        <f t="shared" si="14"/>
        <v>15829429.904757665</v>
      </c>
      <c r="BL44" s="2529">
        <f t="shared" si="14"/>
        <v>16471212.62612965</v>
      </c>
      <c r="BM44" s="2529">
        <f t="shared" si="14"/>
        <v>17138360.179178424</v>
      </c>
      <c r="BN44" s="2529">
        <f t="shared" si="14"/>
        <v>17649054.587178882</v>
      </c>
      <c r="BO44" s="2529">
        <f t="shared" si="14"/>
        <v>18366189.081199676</v>
      </c>
      <c r="BP44" s="2529">
        <f t="shared" si="14"/>
        <v>19112429.287298188</v>
      </c>
      <c r="BQ44" s="2529">
        <f t="shared" si="14"/>
        <v>19917231.184360646</v>
      </c>
      <c r="BR44" s="2529">
        <f t="shared" si="14"/>
        <v>20685364.12507049</v>
      </c>
      <c r="BS44" s="2529">
        <f t="shared" si="14"/>
        <v>21557721.348049998</v>
      </c>
      <c r="BT44" s="2529">
        <f t="shared" si="14"/>
        <v>22498895.591717657</v>
      </c>
      <c r="BU44" s="2529">
        <f t="shared" si="14"/>
        <v>4507769.581961127</v>
      </c>
    </row>
    <row r="45" spans="1:73" ht="15">
      <c r="B45" s="2526" t="s">
        <v>1712</v>
      </c>
      <c r="C45" s="2500">
        <f>C18/1000-C44</f>
        <v>-389.65900000000011</v>
      </c>
      <c r="I45" s="2494">
        <v>45747</v>
      </c>
      <c r="J45" s="2525">
        <f>-'G-3.04,5.01 PF AMI'!AE86</f>
        <v>-315594.16877950181</v>
      </c>
      <c r="K45" s="2488">
        <f t="shared" si="2"/>
        <v>31875011.046729691</v>
      </c>
      <c r="L45" s="2488">
        <f t="shared" si="6"/>
        <v>33768576.059406705</v>
      </c>
      <c r="M45" s="2488">
        <f t="shared" si="0"/>
        <v>-6693752.3198132347</v>
      </c>
      <c r="N45" s="2488">
        <f t="shared" si="7"/>
        <v>-7091400.9724754086</v>
      </c>
      <c r="P45" s="2494">
        <v>45747</v>
      </c>
      <c r="Q45" s="2525">
        <f>-'G-3.04,5.01 PF AMI'!AK86</f>
        <v>-89408.671805069913</v>
      </c>
      <c r="R45" s="2488">
        <f t="shared" si="3"/>
        <v>9030275.8523120321</v>
      </c>
      <c r="S45" s="2488">
        <f t="shared" si="8"/>
        <v>9566727.8831424583</v>
      </c>
      <c r="T45" s="2488">
        <f t="shared" si="1"/>
        <v>-1896357.9289855268</v>
      </c>
      <c r="U45" s="2488">
        <f t="shared" si="9"/>
        <v>-2009012.8554599157</v>
      </c>
      <c r="Y45" s="477">
        <v>38</v>
      </c>
      <c r="Z45" s="477">
        <v>202110</v>
      </c>
      <c r="AA45" s="2487">
        <f>AA1/143</f>
        <v>149003.71328671329</v>
      </c>
      <c r="AB45" s="2487">
        <f>AB1/143</f>
        <v>15855.748251748251</v>
      </c>
      <c r="AC45" s="2487">
        <f>AC1/143</f>
        <v>208146.90300699303</v>
      </c>
      <c r="AD45" s="2487">
        <f>AD1/143</f>
        <v>-15785.202797202797</v>
      </c>
      <c r="AE45" s="2487">
        <f t="shared" ref="AE45:AE76" si="15">SUM(AA45:AD45)</f>
        <v>357221.16174825176</v>
      </c>
      <c r="AF45" s="2487"/>
      <c r="AG45" s="2487">
        <f>AG1/143</f>
        <v>30843.139860139861</v>
      </c>
      <c r="AH45" s="2487">
        <f>AH1/143</f>
        <v>5777.4055944055945</v>
      </c>
      <c r="AI45" s="2487">
        <f>AI1/143</f>
        <v>72453.20006993007</v>
      </c>
      <c r="AJ45" s="2487">
        <f>AJ1/143</f>
        <v>-1059.4055944055945</v>
      </c>
      <c r="AK45" s="2487">
        <f t="shared" ref="AK45:AK60" si="16">SUM(AG45:AJ45)</f>
        <v>108014.33993006992</v>
      </c>
      <c r="AV45" s="1230"/>
      <c r="AW45" s="2530" t="s">
        <v>2232</v>
      </c>
      <c r="AX45" s="2531">
        <f>SUM(AX19:AX21,AX26,AX30,AX33:AX36,AX41)</f>
        <v>25063196.537639797</v>
      </c>
      <c r="AY45" s="2531">
        <f t="shared" ref="AY45:BU45" si="17">SUM(AY14,AY19:AY21,AY26,AY30,AY33:AY36,AY41)</f>
        <v>78036737.116697103</v>
      </c>
      <c r="AZ45" s="2515">
        <f t="shared" si="17"/>
        <v>32580</v>
      </c>
      <c r="BA45" s="2515">
        <f t="shared" si="17"/>
        <v>77954.932000000001</v>
      </c>
      <c r="BB45" s="2515">
        <f t="shared" si="17"/>
        <v>80293.579960000003</v>
      </c>
      <c r="BC45" s="2515">
        <f t="shared" si="17"/>
        <v>813630.00455878652</v>
      </c>
      <c r="BD45" s="2515">
        <f t="shared" si="17"/>
        <v>1964877.4762758007</v>
      </c>
      <c r="BE45" s="2515">
        <f t="shared" si="17"/>
        <v>2139981.6831892226</v>
      </c>
      <c r="BF45" s="2515">
        <f t="shared" si="17"/>
        <v>2338106.3803563048</v>
      </c>
      <c r="BG45" s="2515">
        <f t="shared" si="17"/>
        <v>3627937.6861876813</v>
      </c>
      <c r="BH45" s="2515">
        <f t="shared" si="17"/>
        <v>3771456.1781395813</v>
      </c>
      <c r="BI45" s="2515">
        <f t="shared" si="17"/>
        <v>3957279.3201213949</v>
      </c>
      <c r="BJ45" s="2515">
        <f t="shared" si="17"/>
        <v>4210334.6293687671</v>
      </c>
      <c r="BK45" s="2515">
        <f t="shared" si="17"/>
        <v>4391052.7497416362</v>
      </c>
      <c r="BL45" s="2515">
        <f t="shared" si="17"/>
        <v>4578799.223515016</v>
      </c>
      <c r="BM45" s="2515">
        <f t="shared" si="17"/>
        <v>4773824.0638004858</v>
      </c>
      <c r="BN45" s="2515">
        <f t="shared" si="17"/>
        <v>4976537.1287797866</v>
      </c>
      <c r="BO45" s="2515">
        <f t="shared" si="17"/>
        <v>5187088.5107722022</v>
      </c>
      <c r="BP45" s="2515">
        <f t="shared" si="17"/>
        <v>5405938.9407251095</v>
      </c>
      <c r="BQ45" s="2515">
        <f t="shared" si="17"/>
        <v>5633230.2087405873</v>
      </c>
      <c r="BR45" s="2515">
        <f t="shared" si="17"/>
        <v>5869475.6012752755</v>
      </c>
      <c r="BS45" s="2515">
        <f t="shared" si="17"/>
        <v>6147859.2939550094</v>
      </c>
      <c r="BT45" s="2515">
        <f t="shared" si="17"/>
        <v>6437232.3815572774</v>
      </c>
      <c r="BU45" s="2515">
        <f t="shared" si="17"/>
        <v>1621267.1436771918</v>
      </c>
    </row>
    <row r="46" spans="1:73" ht="15">
      <c r="B46" s="2526" t="s">
        <v>2233</v>
      </c>
      <c r="C46" s="2532">
        <f>SUM(C44:C45)</f>
        <v>-2071.6590000000001</v>
      </c>
      <c r="I46" s="2494">
        <v>45777</v>
      </c>
      <c r="J46" s="2525">
        <f>-'G-3.04,5.01 PF AMI'!AE87</f>
        <v>-315594.16877950181</v>
      </c>
      <c r="K46" s="2488">
        <f t="shared" si="2"/>
        <v>31559416.877950188</v>
      </c>
      <c r="L46" s="2488">
        <f t="shared" si="6"/>
        <v>33452981.890627205</v>
      </c>
      <c r="M46" s="2488">
        <f t="shared" si="0"/>
        <v>-6627477.5443695392</v>
      </c>
      <c r="N46" s="2488">
        <f t="shared" si="7"/>
        <v>-7025126.1970317131</v>
      </c>
      <c r="P46" s="2494">
        <v>45777</v>
      </c>
      <c r="Q46" s="2525">
        <f>-'G-3.04,5.01 PF AMI'!AK87</f>
        <v>-89408.671805069913</v>
      </c>
      <c r="R46" s="2488">
        <f t="shared" si="3"/>
        <v>8940867.1805069614</v>
      </c>
      <c r="S46" s="2488">
        <f t="shared" si="8"/>
        <v>9477319.2113373857</v>
      </c>
      <c r="T46" s="2488">
        <f t="shared" si="1"/>
        <v>-1877582.1079064619</v>
      </c>
      <c r="U46" s="2488">
        <f t="shared" si="9"/>
        <v>-1990237.0343808513</v>
      </c>
      <c r="Y46" s="477">
        <v>39</v>
      </c>
      <c r="Z46" s="477">
        <v>202111</v>
      </c>
      <c r="AA46" s="2487">
        <f t="shared" ref="AA46:AD59" si="18">AA45</f>
        <v>149003.71328671329</v>
      </c>
      <c r="AB46" s="2487">
        <f t="shared" si="18"/>
        <v>15855.748251748251</v>
      </c>
      <c r="AC46" s="2487">
        <f t="shared" si="18"/>
        <v>208146.90300699303</v>
      </c>
      <c r="AD46" s="2487">
        <f t="shared" si="18"/>
        <v>-15785.202797202797</v>
      </c>
      <c r="AE46" s="2487">
        <f t="shared" si="15"/>
        <v>357221.16174825176</v>
      </c>
      <c r="AF46" s="2487"/>
      <c r="AG46" s="2487">
        <f t="shared" ref="AG46:AJ59" si="19">AG45</f>
        <v>30843.139860139861</v>
      </c>
      <c r="AH46" s="2487">
        <f t="shared" si="19"/>
        <v>5777.4055944055945</v>
      </c>
      <c r="AI46" s="2487">
        <f t="shared" si="19"/>
        <v>72453.20006993007</v>
      </c>
      <c r="AJ46" s="2487">
        <f t="shared" si="19"/>
        <v>-1059.4055944055945</v>
      </c>
      <c r="AK46" s="2487">
        <f t="shared" si="16"/>
        <v>108014.33993006992</v>
      </c>
      <c r="AW46" s="2533" t="s">
        <v>2234</v>
      </c>
      <c r="AX46" s="2534">
        <f t="shared" ref="AX46:BU46" si="20">AX44-AX45</f>
        <v>101318749.91574772</v>
      </c>
      <c r="AY46" s="2534">
        <f t="shared" si="20"/>
        <v>202830951.25001457</v>
      </c>
      <c r="AZ46" s="2535">
        <f t="shared" si="20"/>
        <v>328884.74949076923</v>
      </c>
      <c r="BA46" s="2535">
        <f t="shared" si="20"/>
        <v>419923.81317549257</v>
      </c>
      <c r="BB46" s="2535">
        <f t="shared" si="20"/>
        <v>945114.83135182038</v>
      </c>
      <c r="BC46" s="2535">
        <f t="shared" si="20"/>
        <v>2429512.8164157756</v>
      </c>
      <c r="BD46" s="2535">
        <f t="shared" si="20"/>
        <v>6225263.4635321656</v>
      </c>
      <c r="BE46" s="2535">
        <f t="shared" si="20"/>
        <v>6360716.438897172</v>
      </c>
      <c r="BF46" s="2535">
        <f t="shared" si="20"/>
        <v>6516474.2251543403</v>
      </c>
      <c r="BG46" s="2535">
        <f t="shared" si="20"/>
        <v>9126478.2411252502</v>
      </c>
      <c r="BH46" s="2535">
        <f t="shared" si="20"/>
        <v>10181065.31725999</v>
      </c>
      <c r="BI46" s="2535">
        <f t="shared" si="20"/>
        <v>10583688.338130785</v>
      </c>
      <c r="BJ46" s="2535">
        <f t="shared" si="20"/>
        <v>11002476.765118225</v>
      </c>
      <c r="BK46" s="2535">
        <f t="shared" si="20"/>
        <v>11438377.155016029</v>
      </c>
      <c r="BL46" s="2535">
        <f t="shared" si="20"/>
        <v>11892413.402614634</v>
      </c>
      <c r="BM46" s="2535">
        <f t="shared" si="20"/>
        <v>12364536.115377938</v>
      </c>
      <c r="BN46" s="2535">
        <f t="shared" si="20"/>
        <v>12672517.458399095</v>
      </c>
      <c r="BO46" s="2535">
        <f t="shared" si="20"/>
        <v>13179100.570427474</v>
      </c>
      <c r="BP46" s="2535">
        <f t="shared" si="20"/>
        <v>13706490.346573077</v>
      </c>
      <c r="BQ46" s="2535">
        <f t="shared" si="20"/>
        <v>14284000.975620057</v>
      </c>
      <c r="BR46" s="2535">
        <f t="shared" si="20"/>
        <v>14815888.523795214</v>
      </c>
      <c r="BS46" s="2535">
        <f t="shared" si="20"/>
        <v>15409862.054094989</v>
      </c>
      <c r="BT46" s="2535">
        <f t="shared" si="20"/>
        <v>16061663.210160378</v>
      </c>
      <c r="BU46" s="2535">
        <f t="shared" si="20"/>
        <v>2886502.4382839352</v>
      </c>
    </row>
    <row r="47" spans="1:73" ht="15">
      <c r="I47" s="2494">
        <v>45808</v>
      </c>
      <c r="J47" s="2525">
        <f>-'G-3.04,5.01 PF AMI'!AE88</f>
        <v>-315594.16877950181</v>
      </c>
      <c r="K47" s="2488">
        <f t="shared" si="2"/>
        <v>31243822.709170684</v>
      </c>
      <c r="L47" s="2488">
        <f t="shared" si="6"/>
        <v>33137387.721847702</v>
      </c>
      <c r="M47" s="2488">
        <f t="shared" si="0"/>
        <v>-6561202.7689258438</v>
      </c>
      <c r="N47" s="2488">
        <f t="shared" si="7"/>
        <v>-6958851.4215880176</v>
      </c>
      <c r="P47" s="2494">
        <v>45808</v>
      </c>
      <c r="Q47" s="2525">
        <f>-'G-3.04,5.01 PF AMI'!AK88</f>
        <v>-89408.671805069913</v>
      </c>
      <c r="R47" s="2488">
        <f t="shared" si="3"/>
        <v>8851458.5087018907</v>
      </c>
      <c r="S47" s="2488">
        <f t="shared" si="8"/>
        <v>9387910.5395323131</v>
      </c>
      <c r="T47" s="2488">
        <f t="shared" si="1"/>
        <v>-1858806.2868273971</v>
      </c>
      <c r="U47" s="2488">
        <f t="shared" si="9"/>
        <v>-1971461.213301786</v>
      </c>
      <c r="Y47" s="477">
        <v>40</v>
      </c>
      <c r="Z47" s="477">
        <v>202112</v>
      </c>
      <c r="AA47" s="2487">
        <f t="shared" si="18"/>
        <v>149003.71328671329</v>
      </c>
      <c r="AB47" s="2487">
        <f t="shared" si="18"/>
        <v>15855.748251748251</v>
      </c>
      <c r="AC47" s="2487">
        <f t="shared" si="18"/>
        <v>208146.90300699303</v>
      </c>
      <c r="AD47" s="2487">
        <f t="shared" si="18"/>
        <v>-15785.202797202797</v>
      </c>
      <c r="AE47" s="2487">
        <f t="shared" si="15"/>
        <v>357221.16174825176</v>
      </c>
      <c r="AF47" s="2487"/>
      <c r="AG47" s="2487">
        <f t="shared" si="19"/>
        <v>30843.139860139861</v>
      </c>
      <c r="AH47" s="2487">
        <f t="shared" si="19"/>
        <v>5777.4055944055945</v>
      </c>
      <c r="AI47" s="2487">
        <f t="shared" si="19"/>
        <v>72453.20006993007</v>
      </c>
      <c r="AJ47" s="2487">
        <f t="shared" si="19"/>
        <v>-1059.4055944055945</v>
      </c>
      <c r="AK47" s="2487">
        <f t="shared" si="16"/>
        <v>108014.33993006992</v>
      </c>
      <c r="AW47" s="1230"/>
      <c r="AX47" s="2536"/>
      <c r="AY47" s="2536"/>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row>
    <row r="48" spans="1:73" ht="15">
      <c r="I48" s="2494">
        <v>45838</v>
      </c>
      <c r="J48" s="2525">
        <f>-'G-3.04,5.01 PF AMI'!AE89</f>
        <v>-315594.16877950181</v>
      </c>
      <c r="K48" s="2488">
        <f t="shared" si="2"/>
        <v>30928228.540391181</v>
      </c>
      <c r="L48" s="2488">
        <f t="shared" si="6"/>
        <v>32821793.553068202</v>
      </c>
      <c r="M48" s="2488">
        <f t="shared" si="0"/>
        <v>-6494927.9934821473</v>
      </c>
      <c r="N48" s="2488">
        <f t="shared" si="7"/>
        <v>-6892576.6461443221</v>
      </c>
      <c r="P48" s="2494">
        <v>45838</v>
      </c>
      <c r="Q48" s="2525">
        <f>-'G-3.04,5.01 PF AMI'!AK89</f>
        <v>-89408.671805069913</v>
      </c>
      <c r="R48" s="2488">
        <f t="shared" si="3"/>
        <v>8762049.83689682</v>
      </c>
      <c r="S48" s="2488">
        <f t="shared" si="8"/>
        <v>9298501.8677272443</v>
      </c>
      <c r="T48" s="2488">
        <f t="shared" si="1"/>
        <v>-1840030.4657483322</v>
      </c>
      <c r="U48" s="2488">
        <f t="shared" si="9"/>
        <v>-1952685.3922227209</v>
      </c>
      <c r="Y48" s="477">
        <v>41</v>
      </c>
      <c r="Z48" s="477">
        <v>202201</v>
      </c>
      <c r="AA48" s="2487">
        <f t="shared" si="18"/>
        <v>149003.71328671329</v>
      </c>
      <c r="AB48" s="2487">
        <f t="shared" si="18"/>
        <v>15855.748251748251</v>
      </c>
      <c r="AC48" s="2487">
        <f t="shared" si="18"/>
        <v>208146.90300699303</v>
      </c>
      <c r="AD48" s="2487">
        <f t="shared" si="18"/>
        <v>-15785.202797202797</v>
      </c>
      <c r="AE48" s="2487">
        <f t="shared" si="15"/>
        <v>357221.16174825176</v>
      </c>
      <c r="AF48" s="2487"/>
      <c r="AG48" s="2487">
        <f t="shared" si="19"/>
        <v>30843.139860139861</v>
      </c>
      <c r="AH48" s="2487">
        <f t="shared" si="19"/>
        <v>5777.4055944055945</v>
      </c>
      <c r="AI48" s="2487">
        <f t="shared" si="19"/>
        <v>72453.20006993007</v>
      </c>
      <c r="AJ48" s="2487">
        <f t="shared" si="19"/>
        <v>-1059.4055944055945</v>
      </c>
      <c r="AK48" s="2487">
        <f t="shared" si="16"/>
        <v>108014.33993006992</v>
      </c>
      <c r="AV48" s="477" t="s">
        <v>2235</v>
      </c>
      <c r="AW48" s="2533" t="s">
        <v>2236</v>
      </c>
      <c r="AX48" s="2534">
        <v>90363790.632169619</v>
      </c>
      <c r="AY48" s="2534">
        <v>208795312.09771231</v>
      </c>
      <c r="AZ48" s="1210"/>
      <c r="BA48" s="1210"/>
      <c r="BB48" s="1210"/>
      <c r="BC48" s="1210"/>
      <c r="BD48" s="1210"/>
      <c r="BE48" s="1210"/>
      <c r="BF48" s="1210"/>
      <c r="BG48" s="1210"/>
      <c r="BH48" s="1210"/>
      <c r="BI48" s="1210"/>
      <c r="BJ48" s="1210"/>
      <c r="BK48" s="1210"/>
      <c r="BL48" s="1210"/>
      <c r="BM48" s="1210"/>
      <c r="BN48" s="1210"/>
      <c r="BO48" s="1210"/>
      <c r="BP48" s="1210"/>
      <c r="BQ48" s="1210"/>
      <c r="BR48" s="1210"/>
      <c r="BS48" s="1210"/>
      <c r="BT48" s="1210"/>
      <c r="BU48" s="1210"/>
    </row>
    <row r="49" spans="9:62">
      <c r="I49" s="2494">
        <v>45869</v>
      </c>
      <c r="J49" s="2525">
        <f>-'G-3.04,5.01 PF AMI'!AE90</f>
        <v>-315594.16877950181</v>
      </c>
      <c r="K49" s="2488">
        <f t="shared" si="2"/>
        <v>30612634.371611677</v>
      </c>
      <c r="L49" s="2488">
        <f t="shared" si="6"/>
        <v>32506199.384288702</v>
      </c>
      <c r="M49" s="2488">
        <f t="shared" si="0"/>
        <v>-6428653.2180384519</v>
      </c>
      <c r="N49" s="2488">
        <f t="shared" si="7"/>
        <v>-6826301.8707006266</v>
      </c>
      <c r="P49" s="2494">
        <v>45869</v>
      </c>
      <c r="Q49" s="2525">
        <f>-'G-3.04,5.01 PF AMI'!AK90</f>
        <v>-89408.671805069913</v>
      </c>
      <c r="R49" s="2488">
        <f t="shared" si="3"/>
        <v>8672641.1650917493</v>
      </c>
      <c r="S49" s="2488">
        <f t="shared" si="8"/>
        <v>9209093.1959221717</v>
      </c>
      <c r="T49" s="2488">
        <f t="shared" si="1"/>
        <v>-1821254.6446692673</v>
      </c>
      <c r="U49" s="2488">
        <f t="shared" si="9"/>
        <v>-1933909.571143656</v>
      </c>
      <c r="Y49" s="477">
        <v>42</v>
      </c>
      <c r="Z49" s="477">
        <v>202202</v>
      </c>
      <c r="AA49" s="2487">
        <f t="shared" si="18"/>
        <v>149003.71328671329</v>
      </c>
      <c r="AB49" s="2487">
        <f t="shared" si="18"/>
        <v>15855.748251748251</v>
      </c>
      <c r="AC49" s="2487">
        <f t="shared" si="18"/>
        <v>208146.90300699303</v>
      </c>
      <c r="AD49" s="2487">
        <f t="shared" si="18"/>
        <v>-15785.202797202797</v>
      </c>
      <c r="AE49" s="2487">
        <f t="shared" si="15"/>
        <v>357221.16174825176</v>
      </c>
      <c r="AF49" s="2487"/>
      <c r="AG49" s="2487">
        <f t="shared" si="19"/>
        <v>30843.139860139861</v>
      </c>
      <c r="AH49" s="2487">
        <f t="shared" si="19"/>
        <v>5777.4055944055945</v>
      </c>
      <c r="AI49" s="2487">
        <f t="shared" si="19"/>
        <v>72453.20006993007</v>
      </c>
      <c r="AJ49" s="2487">
        <f t="shared" si="19"/>
        <v>-1059.4055944055945</v>
      </c>
      <c r="AK49" s="2487">
        <f t="shared" si="16"/>
        <v>108014.33993006992</v>
      </c>
    </row>
    <row r="50" spans="9:62" ht="15">
      <c r="I50" s="2494">
        <v>45900</v>
      </c>
      <c r="J50" s="2525">
        <f>-'G-3.04,5.01 PF AMI'!AE91</f>
        <v>-315594.16877950181</v>
      </c>
      <c r="K50" s="2488">
        <f t="shared" si="2"/>
        <v>30297040.202832174</v>
      </c>
      <c r="L50" s="2488">
        <f t="shared" si="6"/>
        <v>32190605.215509195</v>
      </c>
      <c r="M50" s="2488">
        <f t="shared" si="0"/>
        <v>-6362378.4425947564</v>
      </c>
      <c r="N50" s="2488">
        <f t="shared" si="7"/>
        <v>-6760027.0952569311</v>
      </c>
      <c r="P50" s="2494">
        <v>45900</v>
      </c>
      <c r="Q50" s="2525">
        <f>-'G-3.04,5.01 PF AMI'!AK91</f>
        <v>-89408.671805069913</v>
      </c>
      <c r="R50" s="2488">
        <f t="shared" si="3"/>
        <v>8583232.4932866786</v>
      </c>
      <c r="S50" s="2488">
        <f t="shared" si="8"/>
        <v>9119684.5241171028</v>
      </c>
      <c r="T50" s="2488">
        <f t="shared" si="1"/>
        <v>-1802478.8235902025</v>
      </c>
      <c r="U50" s="2488">
        <f t="shared" si="9"/>
        <v>-1915133.7500645916</v>
      </c>
      <c r="Y50" s="477">
        <v>43</v>
      </c>
      <c r="Z50" s="477">
        <v>202203</v>
      </c>
      <c r="AA50" s="2487">
        <f t="shared" si="18"/>
        <v>149003.71328671329</v>
      </c>
      <c r="AB50" s="2487">
        <f t="shared" si="18"/>
        <v>15855.748251748251</v>
      </c>
      <c r="AC50" s="2487">
        <f t="shared" si="18"/>
        <v>208146.90300699303</v>
      </c>
      <c r="AD50" s="2487">
        <f t="shared" si="18"/>
        <v>-15785.202797202797</v>
      </c>
      <c r="AE50" s="2487">
        <f t="shared" si="15"/>
        <v>357221.16174825176</v>
      </c>
      <c r="AF50" s="2487"/>
      <c r="AG50" s="2487">
        <f t="shared" si="19"/>
        <v>30843.139860139861</v>
      </c>
      <c r="AH50" s="2487">
        <f t="shared" si="19"/>
        <v>5777.4055944055945</v>
      </c>
      <c r="AI50" s="2487">
        <f t="shared" si="19"/>
        <v>72453.20006993007</v>
      </c>
      <c r="AJ50" s="2487">
        <f t="shared" si="19"/>
        <v>-1059.4055944055945</v>
      </c>
      <c r="AK50" s="2487">
        <f t="shared" si="16"/>
        <v>108014.33993006992</v>
      </c>
      <c r="AW50" s="2530" t="s">
        <v>2237</v>
      </c>
      <c r="AX50" s="2531">
        <f>AX44+AX48</f>
        <v>216745737.08555713</v>
      </c>
      <c r="AY50" s="2531">
        <f>AY44+AY48</f>
        <v>489663000.46442401</v>
      </c>
    </row>
    <row r="51" spans="9:62">
      <c r="I51" s="2494">
        <v>45930</v>
      </c>
      <c r="J51" s="2525">
        <f>-'G-3.04,5.01 PF AMI'!AE92</f>
        <v>-315594.16877950181</v>
      </c>
      <c r="K51" s="2488">
        <f t="shared" si="2"/>
        <v>29981446.03405267</v>
      </c>
      <c r="L51" s="2488">
        <f t="shared" si="6"/>
        <v>31875011.046729688</v>
      </c>
      <c r="M51" s="2488">
        <f t="shared" si="0"/>
        <v>-6296103.6671510609</v>
      </c>
      <c r="N51" s="2488">
        <f t="shared" si="7"/>
        <v>-6693752.3198132357</v>
      </c>
      <c r="P51" s="2494">
        <v>45930</v>
      </c>
      <c r="Q51" s="2525">
        <f>-'G-3.04,5.01 PF AMI'!AK92</f>
        <v>-89408.671805069913</v>
      </c>
      <c r="R51" s="2488">
        <f t="shared" si="3"/>
        <v>8493823.8214816079</v>
      </c>
      <c r="S51" s="2488">
        <f t="shared" si="8"/>
        <v>9030275.852312034</v>
      </c>
      <c r="T51" s="2488">
        <f t="shared" si="1"/>
        <v>-1783703.0025111376</v>
      </c>
      <c r="U51" s="2488">
        <f t="shared" si="9"/>
        <v>-1896357.928985527</v>
      </c>
      <c r="Y51" s="477">
        <v>44</v>
      </c>
      <c r="Z51" s="477">
        <v>202204</v>
      </c>
      <c r="AA51" s="2487">
        <f t="shared" si="18"/>
        <v>149003.71328671329</v>
      </c>
      <c r="AB51" s="2487">
        <f t="shared" si="18"/>
        <v>15855.748251748251</v>
      </c>
      <c r="AC51" s="2487">
        <f t="shared" si="18"/>
        <v>208146.90300699303</v>
      </c>
      <c r="AD51" s="2487">
        <f t="shared" si="18"/>
        <v>-15785.202797202797</v>
      </c>
      <c r="AE51" s="2487">
        <f t="shared" si="15"/>
        <v>357221.16174825176</v>
      </c>
      <c r="AF51" s="2487"/>
      <c r="AG51" s="2487">
        <f t="shared" si="19"/>
        <v>30843.139860139861</v>
      </c>
      <c r="AH51" s="2487">
        <f t="shared" si="19"/>
        <v>5777.4055944055945</v>
      </c>
      <c r="AI51" s="2487">
        <f t="shared" si="19"/>
        <v>72453.20006993007</v>
      </c>
      <c r="AJ51" s="2487">
        <f t="shared" si="19"/>
        <v>-1059.4055944055945</v>
      </c>
      <c r="AK51" s="2487">
        <f t="shared" si="16"/>
        <v>108014.33993006992</v>
      </c>
    </row>
    <row r="52" spans="9:62">
      <c r="I52" s="2494">
        <v>45961</v>
      </c>
      <c r="J52" s="2525">
        <f>-'G-3.04,5.01 PF AMI'!AE93</f>
        <v>-315594.16877950181</v>
      </c>
      <c r="K52" s="2488">
        <f t="shared" si="2"/>
        <v>29665851.865273166</v>
      </c>
      <c r="L52" s="2488">
        <f t="shared" si="6"/>
        <v>31559416.877950188</v>
      </c>
      <c r="M52" s="2488">
        <f t="shared" si="0"/>
        <v>-6229828.8917073645</v>
      </c>
      <c r="N52" s="2488">
        <f t="shared" si="7"/>
        <v>-6627477.5443695402</v>
      </c>
      <c r="P52" s="2494">
        <v>45961</v>
      </c>
      <c r="Q52" s="2525">
        <f>-'G-3.04,5.01 PF AMI'!AK93</f>
        <v>-89408.671805069913</v>
      </c>
      <c r="R52" s="2488">
        <f t="shared" si="3"/>
        <v>8404415.1496765371</v>
      </c>
      <c r="S52" s="2488">
        <f t="shared" si="8"/>
        <v>8940867.1805069614</v>
      </c>
      <c r="T52" s="2488">
        <f t="shared" si="1"/>
        <v>-1764927.1814320728</v>
      </c>
      <c r="U52" s="2488">
        <f t="shared" si="9"/>
        <v>-1877582.1079064619</v>
      </c>
      <c r="Y52" s="477">
        <v>45</v>
      </c>
      <c r="Z52" s="477">
        <v>202205</v>
      </c>
      <c r="AA52" s="2487">
        <f t="shared" si="18"/>
        <v>149003.71328671329</v>
      </c>
      <c r="AB52" s="2487">
        <f t="shared" si="18"/>
        <v>15855.748251748251</v>
      </c>
      <c r="AC52" s="2487">
        <f t="shared" si="18"/>
        <v>208146.90300699303</v>
      </c>
      <c r="AD52" s="2487">
        <f t="shared" si="18"/>
        <v>-15785.202797202797</v>
      </c>
      <c r="AE52" s="2487">
        <f t="shared" si="15"/>
        <v>357221.16174825176</v>
      </c>
      <c r="AF52" s="2487"/>
      <c r="AG52" s="2487">
        <f t="shared" si="19"/>
        <v>30843.139860139861</v>
      </c>
      <c r="AH52" s="2487">
        <f t="shared" si="19"/>
        <v>5777.4055944055945</v>
      </c>
      <c r="AI52" s="2487">
        <f t="shared" si="19"/>
        <v>72453.20006993007</v>
      </c>
      <c r="AJ52" s="2487">
        <f t="shared" si="19"/>
        <v>-1059.4055944055945</v>
      </c>
      <c r="AK52" s="2487">
        <f t="shared" si="16"/>
        <v>108014.33993006992</v>
      </c>
      <c r="AX52" s="1210"/>
    </row>
    <row r="53" spans="9:62">
      <c r="I53" s="2494">
        <v>45991</v>
      </c>
      <c r="J53" s="2525">
        <f>-'G-3.04,5.01 PF AMI'!AE94</f>
        <v>-315594.16877950181</v>
      </c>
      <c r="K53" s="2488">
        <f t="shared" si="2"/>
        <v>29350257.696493663</v>
      </c>
      <c r="L53" s="2488">
        <f t="shared" si="6"/>
        <v>31243822.709170684</v>
      </c>
      <c r="M53" s="2488">
        <f t="shared" si="0"/>
        <v>-6163554.116263669</v>
      </c>
      <c r="N53" s="2488">
        <f t="shared" si="7"/>
        <v>-6561202.7689258447</v>
      </c>
      <c r="P53" s="2494">
        <v>45991</v>
      </c>
      <c r="Q53" s="2525">
        <f>-'G-3.04,5.01 PF AMI'!AK94</f>
        <v>-89408.671805069913</v>
      </c>
      <c r="R53" s="2488">
        <f t="shared" si="3"/>
        <v>8315006.4778714674</v>
      </c>
      <c r="S53" s="2488">
        <f t="shared" si="8"/>
        <v>8851458.5087018907</v>
      </c>
      <c r="T53" s="2488">
        <f t="shared" si="1"/>
        <v>-1746151.3603530081</v>
      </c>
      <c r="U53" s="2488">
        <f t="shared" si="9"/>
        <v>-1858806.2868273968</v>
      </c>
      <c r="Y53" s="477">
        <v>46</v>
      </c>
      <c r="Z53" s="477">
        <v>202206</v>
      </c>
      <c r="AA53" s="2487">
        <f t="shared" si="18"/>
        <v>149003.71328671329</v>
      </c>
      <c r="AB53" s="2487">
        <f t="shared" si="18"/>
        <v>15855.748251748251</v>
      </c>
      <c r="AC53" s="2487">
        <f t="shared" si="18"/>
        <v>208146.90300699303</v>
      </c>
      <c r="AD53" s="2487">
        <f t="shared" si="18"/>
        <v>-15785.202797202797</v>
      </c>
      <c r="AE53" s="2487">
        <f t="shared" si="15"/>
        <v>357221.16174825176</v>
      </c>
      <c r="AF53" s="2487"/>
      <c r="AG53" s="2487">
        <f t="shared" si="19"/>
        <v>30843.139860139861</v>
      </c>
      <c r="AH53" s="2487">
        <f t="shared" si="19"/>
        <v>5777.4055944055945</v>
      </c>
      <c r="AI53" s="2487">
        <f t="shared" si="19"/>
        <v>72453.20006993007</v>
      </c>
      <c r="AJ53" s="2487">
        <f t="shared" si="19"/>
        <v>-1059.4055944055945</v>
      </c>
      <c r="AK53" s="2487">
        <f t="shared" si="16"/>
        <v>108014.33993006992</v>
      </c>
    </row>
    <row r="54" spans="9:62">
      <c r="I54" s="2494">
        <v>46022</v>
      </c>
      <c r="J54" s="2525">
        <f>-'G-3.04,5.01 PF AMI'!AE95</f>
        <v>-315594.16877950181</v>
      </c>
      <c r="K54" s="2488">
        <f t="shared" si="2"/>
        <v>29034663.527714159</v>
      </c>
      <c r="L54" s="2525">
        <f t="shared" si="6"/>
        <v>30928228.540391181</v>
      </c>
      <c r="M54" s="2488">
        <f t="shared" si="0"/>
        <v>-6097279.3408199735</v>
      </c>
      <c r="N54" s="2525">
        <f t="shared" si="7"/>
        <v>-6494927.9934821492</v>
      </c>
      <c r="P54" s="2494">
        <v>46022</v>
      </c>
      <c r="Q54" s="2525">
        <f>-'G-3.04,5.01 PF AMI'!AK95</f>
        <v>-89408.671805069913</v>
      </c>
      <c r="R54" s="2488">
        <f t="shared" si="3"/>
        <v>8225597.8060663976</v>
      </c>
      <c r="S54" s="2525">
        <f t="shared" si="8"/>
        <v>8762049.83689682</v>
      </c>
      <c r="T54" s="2488">
        <f t="shared" si="1"/>
        <v>-1727375.5392739435</v>
      </c>
      <c r="U54" s="2525">
        <f t="shared" si="9"/>
        <v>-1840030.4657483322</v>
      </c>
      <c r="Y54" s="477">
        <v>47</v>
      </c>
      <c r="Z54" s="477">
        <v>202207</v>
      </c>
      <c r="AA54" s="2487">
        <f t="shared" si="18"/>
        <v>149003.71328671329</v>
      </c>
      <c r="AB54" s="2487">
        <f t="shared" si="18"/>
        <v>15855.748251748251</v>
      </c>
      <c r="AC54" s="2487">
        <f t="shared" si="18"/>
        <v>208146.90300699303</v>
      </c>
      <c r="AD54" s="2487">
        <f t="shared" si="18"/>
        <v>-15785.202797202797</v>
      </c>
      <c r="AE54" s="2487">
        <f t="shared" si="15"/>
        <v>357221.16174825176</v>
      </c>
      <c r="AF54" s="2487"/>
      <c r="AG54" s="2487">
        <f t="shared" si="19"/>
        <v>30843.139860139861</v>
      </c>
      <c r="AH54" s="2487">
        <f t="shared" si="19"/>
        <v>5777.4055944055945</v>
      </c>
      <c r="AI54" s="2487">
        <f t="shared" si="19"/>
        <v>72453.20006993007</v>
      </c>
      <c r="AJ54" s="2487">
        <f t="shared" si="19"/>
        <v>-1059.4055944055945</v>
      </c>
      <c r="AK54" s="2487">
        <f t="shared" si="16"/>
        <v>108014.33993006992</v>
      </c>
      <c r="AX54" s="1210">
        <f t="shared" ref="AX54:BJ54" si="21">SUM(AX14,AX19,AX20,AX21,AX26,AX30,AX33:AX36,AX41)</f>
        <v>35416113.902249433</v>
      </c>
      <c r="AY54" s="1210">
        <f t="shared" si="21"/>
        <v>78036737.116697103</v>
      </c>
      <c r="AZ54" s="1210">
        <f t="shared" si="21"/>
        <v>32580</v>
      </c>
      <c r="BA54" s="1210">
        <f t="shared" si="21"/>
        <v>77954.932000000001</v>
      </c>
      <c r="BB54" s="1210">
        <f t="shared" si="21"/>
        <v>80293.579960000003</v>
      </c>
      <c r="BC54" s="1210">
        <f t="shared" si="21"/>
        <v>813630.00455878652</v>
      </c>
      <c r="BD54" s="1210">
        <f t="shared" si="21"/>
        <v>1964877.4762758007</v>
      </c>
      <c r="BE54" s="1210">
        <f t="shared" si="21"/>
        <v>2139981.6831892226</v>
      </c>
      <c r="BF54" s="1210">
        <f t="shared" si="21"/>
        <v>2338106.3803563048</v>
      </c>
      <c r="BG54" s="1210">
        <f t="shared" si="21"/>
        <v>3627937.6861876813</v>
      </c>
      <c r="BH54" s="1210">
        <f t="shared" si="21"/>
        <v>3771456.1781395813</v>
      </c>
      <c r="BI54" s="1210">
        <f t="shared" si="21"/>
        <v>3957279.3201213949</v>
      </c>
      <c r="BJ54" s="1210">
        <f t="shared" si="21"/>
        <v>4210334.6293687671</v>
      </c>
    </row>
    <row r="55" spans="9:62">
      <c r="I55" s="2494">
        <v>46053</v>
      </c>
      <c r="J55" s="2537">
        <f>-'G-3.04,5.01 PF AMI'!AE96</f>
        <v>-315594.16877950181</v>
      </c>
      <c r="K55" s="2488">
        <f t="shared" si="2"/>
        <v>28719069.358934656</v>
      </c>
      <c r="L55" s="2488">
        <f t="shared" si="6"/>
        <v>30612634.371611681</v>
      </c>
      <c r="M55" s="2488">
        <f t="shared" si="0"/>
        <v>-6031004.5653762771</v>
      </c>
      <c r="N55" s="2488">
        <f t="shared" si="7"/>
        <v>-6428653.2180384537</v>
      </c>
      <c r="P55" s="2494">
        <v>46053</v>
      </c>
      <c r="Q55" s="2537">
        <f>-'G-3.04,5.01 PF AMI'!AK96</f>
        <v>-89408.671805069913</v>
      </c>
      <c r="R55" s="2488">
        <f t="shared" si="3"/>
        <v>8136189.1342613278</v>
      </c>
      <c r="S55" s="2488">
        <f t="shared" si="8"/>
        <v>8672641.1650917493</v>
      </c>
      <c r="T55" s="2488">
        <f t="shared" si="1"/>
        <v>-1708599.7181948787</v>
      </c>
      <c r="U55" s="2488">
        <f t="shared" si="9"/>
        <v>-1821254.6446692673</v>
      </c>
      <c r="Y55" s="477">
        <v>48</v>
      </c>
      <c r="Z55" s="477">
        <v>202208</v>
      </c>
      <c r="AA55" s="2487">
        <f t="shared" si="18"/>
        <v>149003.71328671329</v>
      </c>
      <c r="AB55" s="2487">
        <f t="shared" si="18"/>
        <v>15855.748251748251</v>
      </c>
      <c r="AC55" s="2487">
        <f t="shared" si="18"/>
        <v>208146.90300699303</v>
      </c>
      <c r="AD55" s="2487">
        <f t="shared" si="18"/>
        <v>-15785.202797202797</v>
      </c>
      <c r="AE55" s="2487">
        <f t="shared" si="15"/>
        <v>357221.16174825176</v>
      </c>
      <c r="AF55" s="2487"/>
      <c r="AG55" s="2487">
        <f t="shared" si="19"/>
        <v>30843.139860139861</v>
      </c>
      <c r="AH55" s="2487">
        <f t="shared" si="19"/>
        <v>5777.4055944055945</v>
      </c>
      <c r="AI55" s="2487">
        <f t="shared" si="19"/>
        <v>72453.20006993007</v>
      </c>
      <c r="AJ55" s="2487">
        <f t="shared" si="19"/>
        <v>-1059.4055944055945</v>
      </c>
      <c r="AK55" s="2487">
        <f t="shared" si="16"/>
        <v>108014.33993006992</v>
      </c>
      <c r="AX55" s="1210">
        <f t="shared" ref="AX55:BJ55" si="22">AX44-AX54</f>
        <v>90965832.551138073</v>
      </c>
      <c r="AY55" s="1210">
        <f t="shared" si="22"/>
        <v>202830951.25001457</v>
      </c>
      <c r="AZ55" s="1210">
        <f t="shared" si="22"/>
        <v>328884.74949076923</v>
      </c>
      <c r="BA55" s="1210">
        <f t="shared" si="22"/>
        <v>419923.81317549257</v>
      </c>
      <c r="BB55" s="1210">
        <f t="shared" si="22"/>
        <v>945114.83135182038</v>
      </c>
      <c r="BC55" s="1210">
        <f t="shared" si="22"/>
        <v>2429512.8164157756</v>
      </c>
      <c r="BD55" s="1210">
        <f t="shared" si="22"/>
        <v>6225263.4635321656</v>
      </c>
      <c r="BE55" s="1210">
        <f t="shared" si="22"/>
        <v>6360716.438897172</v>
      </c>
      <c r="BF55" s="2490">
        <f t="shared" si="22"/>
        <v>6516474.2251543403</v>
      </c>
      <c r="BG55" s="2490">
        <f t="shared" si="22"/>
        <v>9126478.2411252502</v>
      </c>
      <c r="BH55" s="1210">
        <f t="shared" si="22"/>
        <v>10181065.31725999</v>
      </c>
      <c r="BI55" s="2490">
        <f t="shared" si="22"/>
        <v>10583688.338130785</v>
      </c>
      <c r="BJ55" s="2490">
        <f t="shared" si="22"/>
        <v>11002476.765118225</v>
      </c>
    </row>
    <row r="56" spans="9:62" ht="15">
      <c r="I56" s="2494">
        <v>46081</v>
      </c>
      <c r="J56" s="2537">
        <f>-'G-3.04,5.01 PF AMI'!AE97</f>
        <v>-315594.16877950181</v>
      </c>
      <c r="K56" s="2488">
        <f t="shared" si="2"/>
        <v>28403475.190155152</v>
      </c>
      <c r="L56" s="2488">
        <f t="shared" si="6"/>
        <v>30297040.202832174</v>
      </c>
      <c r="M56" s="2488">
        <f t="shared" si="0"/>
        <v>-5964729.7899325816</v>
      </c>
      <c r="N56" s="2488">
        <f t="shared" si="7"/>
        <v>-6362378.4425947564</v>
      </c>
      <c r="P56" s="2494">
        <v>46081</v>
      </c>
      <c r="Q56" s="2537">
        <f>-'G-3.04,5.01 PF AMI'!AK97</f>
        <v>-89408.671805069913</v>
      </c>
      <c r="R56" s="2488">
        <f t="shared" si="3"/>
        <v>8046780.462456258</v>
      </c>
      <c r="S56" s="2488">
        <f t="shared" si="8"/>
        <v>8583232.4932866786</v>
      </c>
      <c r="T56" s="2488">
        <f t="shared" si="1"/>
        <v>-1689823.897115814</v>
      </c>
      <c r="U56" s="2488">
        <f t="shared" si="9"/>
        <v>-1802478.8235902025</v>
      </c>
      <c r="Y56" s="477">
        <v>49</v>
      </c>
      <c r="Z56" s="477">
        <v>202209</v>
      </c>
      <c r="AA56" s="2487">
        <f t="shared" si="18"/>
        <v>149003.71328671329</v>
      </c>
      <c r="AB56" s="2487">
        <f t="shared" si="18"/>
        <v>15855.748251748251</v>
      </c>
      <c r="AC56" s="2487">
        <f t="shared" si="18"/>
        <v>208146.90300699303</v>
      </c>
      <c r="AD56" s="2487">
        <f t="shared" si="18"/>
        <v>-15785.202797202797</v>
      </c>
      <c r="AE56" s="2487">
        <f t="shared" si="15"/>
        <v>357221.16174825176</v>
      </c>
      <c r="AF56" s="2487"/>
      <c r="AG56" s="2487">
        <f t="shared" si="19"/>
        <v>30843.139860139861</v>
      </c>
      <c r="AH56" s="2487">
        <f t="shared" si="19"/>
        <v>5777.4055944055945</v>
      </c>
      <c r="AI56" s="2487">
        <f t="shared" si="19"/>
        <v>72453.20006993007</v>
      </c>
      <c r="AJ56" s="2487">
        <f t="shared" si="19"/>
        <v>-1059.4055944055945</v>
      </c>
      <c r="AK56" s="2487">
        <f t="shared" si="16"/>
        <v>108014.33993006992</v>
      </c>
      <c r="BF56" s="2538" t="s">
        <v>662</v>
      </c>
      <c r="BG56" s="2538" t="s">
        <v>698</v>
      </c>
      <c r="BI56" s="2538" t="s">
        <v>697</v>
      </c>
      <c r="BJ56" s="2538" t="s">
        <v>670</v>
      </c>
    </row>
    <row r="57" spans="9:62">
      <c r="I57" s="2494">
        <v>46112</v>
      </c>
      <c r="J57" s="2537">
        <f>-'G-3.04,5.01 PF AMI'!AE98</f>
        <v>-315594.16877950181</v>
      </c>
      <c r="K57" s="2488">
        <f t="shared" si="2"/>
        <v>28087881.021375649</v>
      </c>
      <c r="L57" s="2488">
        <f t="shared" si="6"/>
        <v>29981446.034052666</v>
      </c>
      <c r="M57" s="2488">
        <f t="shared" si="0"/>
        <v>-5898455.0144888861</v>
      </c>
      <c r="N57" s="2488">
        <f t="shared" si="7"/>
        <v>-6296103.6671510609</v>
      </c>
      <c r="P57" s="2494">
        <v>46112</v>
      </c>
      <c r="Q57" s="2537">
        <f>-'G-3.04,5.01 PF AMI'!AK98</f>
        <v>-89408.671805069913</v>
      </c>
      <c r="R57" s="2488">
        <f t="shared" si="3"/>
        <v>7957371.7906511882</v>
      </c>
      <c r="S57" s="2488">
        <f t="shared" si="8"/>
        <v>8493823.821481606</v>
      </c>
      <c r="T57" s="2488">
        <f t="shared" si="1"/>
        <v>-1671048.0760367494</v>
      </c>
      <c r="U57" s="2488">
        <f t="shared" si="9"/>
        <v>-1783703.0025111381</v>
      </c>
      <c r="Y57" s="477">
        <v>50</v>
      </c>
      <c r="Z57" s="477">
        <v>202210</v>
      </c>
      <c r="AA57" s="2487">
        <f t="shared" si="18"/>
        <v>149003.71328671329</v>
      </c>
      <c r="AB57" s="2487">
        <f t="shared" si="18"/>
        <v>15855.748251748251</v>
      </c>
      <c r="AC57" s="2487">
        <f t="shared" si="18"/>
        <v>208146.90300699303</v>
      </c>
      <c r="AD57" s="2487">
        <f t="shared" si="18"/>
        <v>-15785.202797202797</v>
      </c>
      <c r="AE57" s="2487">
        <f t="shared" si="15"/>
        <v>357221.16174825176</v>
      </c>
      <c r="AF57" s="2487"/>
      <c r="AG57" s="2487">
        <f t="shared" si="19"/>
        <v>30843.139860139861</v>
      </c>
      <c r="AH57" s="2487">
        <f t="shared" si="19"/>
        <v>5777.4055944055945</v>
      </c>
      <c r="AI57" s="2487">
        <f t="shared" si="19"/>
        <v>72453.20006993007</v>
      </c>
      <c r="AJ57" s="2487">
        <f t="shared" si="19"/>
        <v>-1059.4055944055945</v>
      </c>
      <c r="AK57" s="2487">
        <f t="shared" si="16"/>
        <v>108014.33993006992</v>
      </c>
    </row>
    <row r="58" spans="9:62">
      <c r="I58" s="2494">
        <v>46142</v>
      </c>
      <c r="J58" s="2537">
        <f>-'G-3.04,5.01 PF AMI'!AE99</f>
        <v>-315594.16877950181</v>
      </c>
      <c r="K58" s="2488">
        <f t="shared" si="2"/>
        <v>27772286.852596145</v>
      </c>
      <c r="L58" s="2488">
        <f t="shared" si="6"/>
        <v>29665851.865273163</v>
      </c>
      <c r="M58" s="2488">
        <f t="shared" si="0"/>
        <v>-5832180.2390451906</v>
      </c>
      <c r="N58" s="2488">
        <f t="shared" si="7"/>
        <v>-6229828.8917073654</v>
      </c>
      <c r="P58" s="2494">
        <v>46142</v>
      </c>
      <c r="Q58" s="2537">
        <f>-'G-3.04,5.01 PF AMI'!AK99</f>
        <v>-89408.671805069913</v>
      </c>
      <c r="R58" s="2488">
        <f t="shared" si="3"/>
        <v>7867963.1188461185</v>
      </c>
      <c r="S58" s="2488">
        <f t="shared" si="8"/>
        <v>8404415.1496765371</v>
      </c>
      <c r="T58" s="2488">
        <f t="shared" si="1"/>
        <v>-1652272.2549576848</v>
      </c>
      <c r="U58" s="2488">
        <f t="shared" si="9"/>
        <v>-1764927.1814320732</v>
      </c>
      <c r="Y58" s="477">
        <v>51</v>
      </c>
      <c r="Z58" s="477">
        <v>202211</v>
      </c>
      <c r="AA58" s="2487">
        <f t="shared" si="18"/>
        <v>149003.71328671329</v>
      </c>
      <c r="AB58" s="2487">
        <f t="shared" si="18"/>
        <v>15855.748251748251</v>
      </c>
      <c r="AC58" s="2487">
        <f t="shared" si="18"/>
        <v>208146.90300699303</v>
      </c>
      <c r="AD58" s="2487">
        <f t="shared" si="18"/>
        <v>-15785.202797202797</v>
      </c>
      <c r="AE58" s="2487">
        <f t="shared" si="15"/>
        <v>357221.16174825176</v>
      </c>
      <c r="AF58" s="2487"/>
      <c r="AG58" s="2487">
        <f t="shared" si="19"/>
        <v>30843.139860139861</v>
      </c>
      <c r="AH58" s="2487">
        <f t="shared" si="19"/>
        <v>5777.4055944055945</v>
      </c>
      <c r="AI58" s="2487">
        <f t="shared" si="19"/>
        <v>72453.20006993007</v>
      </c>
      <c r="AJ58" s="2487">
        <f t="shared" si="19"/>
        <v>-1059.4055944055945</v>
      </c>
      <c r="AK58" s="2487">
        <f t="shared" si="16"/>
        <v>108014.33993006992</v>
      </c>
    </row>
    <row r="59" spans="9:62">
      <c r="I59" s="2494">
        <v>46173</v>
      </c>
      <c r="J59" s="2537">
        <f>-'G-3.04,5.01 PF AMI'!AE100</f>
        <v>-315594.16877950181</v>
      </c>
      <c r="K59" s="2488">
        <f t="shared" si="2"/>
        <v>27456692.683816642</v>
      </c>
      <c r="L59" s="2488">
        <f t="shared" si="6"/>
        <v>29350257.696493667</v>
      </c>
      <c r="M59" s="2488">
        <f t="shared" si="0"/>
        <v>-5765905.4636014942</v>
      </c>
      <c r="N59" s="2488">
        <f t="shared" si="7"/>
        <v>-6163554.1162636681</v>
      </c>
      <c r="P59" s="2494">
        <v>46173</v>
      </c>
      <c r="Q59" s="2537">
        <f>-'G-3.04,5.01 PF AMI'!AK100</f>
        <v>-89408.671805069913</v>
      </c>
      <c r="R59" s="2488">
        <f t="shared" si="3"/>
        <v>7778554.4470410487</v>
      </c>
      <c r="S59" s="2488">
        <f t="shared" si="8"/>
        <v>8315006.4778714692</v>
      </c>
      <c r="T59" s="2488">
        <f t="shared" si="1"/>
        <v>-1633496.4338786202</v>
      </c>
      <c r="U59" s="2488">
        <f t="shared" si="9"/>
        <v>-1746151.3603530086</v>
      </c>
      <c r="Y59" s="477">
        <v>52</v>
      </c>
      <c r="Z59" s="477">
        <v>202212</v>
      </c>
      <c r="AA59" s="2487">
        <f t="shared" si="18"/>
        <v>149003.71328671329</v>
      </c>
      <c r="AB59" s="2487">
        <f t="shared" si="18"/>
        <v>15855.748251748251</v>
      </c>
      <c r="AC59" s="2487">
        <f t="shared" si="18"/>
        <v>208146.90300699303</v>
      </c>
      <c r="AD59" s="2487">
        <f t="shared" si="18"/>
        <v>-15785.202797202797</v>
      </c>
      <c r="AE59" s="2487">
        <f t="shared" si="15"/>
        <v>357221.16174825176</v>
      </c>
      <c r="AF59" s="2487"/>
      <c r="AG59" s="2487">
        <f t="shared" si="19"/>
        <v>30843.139860139861</v>
      </c>
      <c r="AH59" s="2487">
        <f t="shared" si="19"/>
        <v>5777.4055944055945</v>
      </c>
      <c r="AI59" s="2487">
        <f t="shared" si="19"/>
        <v>72453.20006993007</v>
      </c>
      <c r="AJ59" s="2487">
        <f t="shared" si="19"/>
        <v>-1059.4055944055945</v>
      </c>
      <c r="AK59" s="2487">
        <f t="shared" si="16"/>
        <v>108014.33993006992</v>
      </c>
    </row>
    <row r="60" spans="9:62">
      <c r="I60" s="2494">
        <v>46203</v>
      </c>
      <c r="J60" s="2537">
        <f>-'G-3.04,5.01 PF AMI'!AE101</f>
        <v>-315594.16877950181</v>
      </c>
      <c r="K60" s="2488">
        <f t="shared" si="2"/>
        <v>27141098.515037138</v>
      </c>
      <c r="L60" s="2488">
        <f t="shared" si="6"/>
        <v>29034663.527714163</v>
      </c>
      <c r="M60" s="2488">
        <f t="shared" si="0"/>
        <v>-5699630.6881577987</v>
      </c>
      <c r="N60" s="2488">
        <f t="shared" si="7"/>
        <v>-6097279.3408199726</v>
      </c>
      <c r="P60" s="2494">
        <v>46203</v>
      </c>
      <c r="Q60" s="2537">
        <f>-'G-3.04,5.01 PF AMI'!AK101</f>
        <v>-89408.671805069913</v>
      </c>
      <c r="R60" s="2488">
        <f t="shared" si="3"/>
        <v>7689145.7752359789</v>
      </c>
      <c r="S60" s="2488">
        <f t="shared" si="8"/>
        <v>8225597.8060663976</v>
      </c>
      <c r="T60" s="2488">
        <f t="shared" si="1"/>
        <v>-1614720.6127995555</v>
      </c>
      <c r="U60" s="2488">
        <f t="shared" si="9"/>
        <v>-1727375.5392739431</v>
      </c>
      <c r="Y60" s="477">
        <v>53</v>
      </c>
      <c r="Z60" s="477">
        <v>202301</v>
      </c>
      <c r="AA60" s="2487">
        <f>(AA6-AA45-AA46-AA47-AA48-AA49-AA50-AA51-AA52-AA53-AA54-AA55-AA56-AA57-AA58-AA59)/128</f>
        <v>141673.76797421335</v>
      </c>
      <c r="AB60" s="2487">
        <f>(AB6-AB45-AB46-AB47-AB48-AB49-AB50-AB51-AB52-AB53-AB54-AB55-AB56-AB57-AB58-AB59)/128</f>
        <v>9212.1931736232491</v>
      </c>
      <c r="AC60" s="2487">
        <f>(AC6-AC45-AC46-AC47-AC48-AC49-AC50-AC51-AC52-AC53-AC54-AC55-AC56-AC57-AC58-AC59)/128</f>
        <v>180859.29027261797</v>
      </c>
      <c r="AD60" s="2487">
        <f>(AD6-AD45-AD46-AD47-AD48-AD49-AD50-AD51-AD52-AD53-AD54-AD55-AD56-AD57-AD58-AD59)/128</f>
        <v>-16151.082640952791</v>
      </c>
      <c r="AE60" s="2487">
        <f t="shared" si="15"/>
        <v>315594.16877950181</v>
      </c>
      <c r="AF60" s="2487"/>
      <c r="AG60" s="2487">
        <f>(AG6-AG45-AG46-AG47-AG48-AG49-AG50-AG51-AG52-AG53-AG54-AG55-AG56-AG57-AG58-AG59)/128</f>
        <v>28472.18673513988</v>
      </c>
      <c r="AH60" s="2487">
        <f>(AH6-AH45-AH46-AH47-AH48-AH49-AH50-AH51-AH52-AH53-AH54-AH55-AH56-AH57-AH58-AH59)/128</f>
        <v>3233.4334850305936</v>
      </c>
      <c r="AI60" s="2487">
        <f>(AI6-AI45-AI46-AI47-AI48-AI49-AI50-AI51-AI52-AI53-AI54-AI55-AI56-AI57-AI58-AI59)/128</f>
        <v>59670.591944930027</v>
      </c>
      <c r="AJ60" s="2487">
        <f>(AJ6-AJ45-AJ46-AJ47-AJ48-AJ49-AJ50-AJ51-AJ52-AJ53-AJ54-AJ55-AJ56-AJ57-AJ58-AJ59)/128</f>
        <v>-1967.5403600305935</v>
      </c>
      <c r="AK60" s="2487">
        <f t="shared" si="16"/>
        <v>89408.671805069913</v>
      </c>
    </row>
    <row r="61" spans="9:62">
      <c r="I61" s="2494">
        <v>46234</v>
      </c>
      <c r="J61" s="2537">
        <f>-'G-3.04,5.01 PF AMI'!AE102</f>
        <v>-315594.16877950181</v>
      </c>
      <c r="K61" s="2488">
        <f t="shared" si="2"/>
        <v>26825504.346257634</v>
      </c>
      <c r="L61" s="2488">
        <f t="shared" si="6"/>
        <v>28719069.358934656</v>
      </c>
      <c r="M61" s="2488">
        <f t="shared" si="0"/>
        <v>-5633355.9127141032</v>
      </c>
      <c r="N61" s="2488">
        <f t="shared" si="7"/>
        <v>-6031004.5653762771</v>
      </c>
      <c r="P61" s="2494">
        <v>46234</v>
      </c>
      <c r="Q61" s="2537">
        <f>-'G-3.04,5.01 PF AMI'!AK102</f>
        <v>-89408.671805069913</v>
      </c>
      <c r="R61" s="2488">
        <f t="shared" si="3"/>
        <v>7599737.1034309091</v>
      </c>
      <c r="S61" s="2488">
        <f t="shared" si="8"/>
        <v>8136189.1342613287</v>
      </c>
      <c r="T61" s="2488">
        <f t="shared" si="1"/>
        <v>-1595944.7917204909</v>
      </c>
      <c r="U61" s="2488">
        <f t="shared" si="9"/>
        <v>-1708599.7181948787</v>
      </c>
      <c r="Y61" s="477">
        <v>54</v>
      </c>
      <c r="Z61" s="477">
        <v>202302</v>
      </c>
      <c r="AA61" s="2487">
        <f t="shared" ref="AA61:AD76" si="23">AA60</f>
        <v>141673.76797421335</v>
      </c>
      <c r="AB61" s="2487">
        <f t="shared" si="23"/>
        <v>9212.1931736232491</v>
      </c>
      <c r="AC61" s="2487">
        <f t="shared" si="23"/>
        <v>180859.29027261797</v>
      </c>
      <c r="AD61" s="2487">
        <f t="shared" si="23"/>
        <v>-16151.082640952791</v>
      </c>
      <c r="AE61" s="2487">
        <f t="shared" si="15"/>
        <v>315594.16877950181</v>
      </c>
      <c r="AF61" s="2487"/>
      <c r="AG61" s="2487">
        <f t="shared" ref="AG61:AK76" si="24">AG60</f>
        <v>28472.18673513988</v>
      </c>
      <c r="AH61" s="2487">
        <f t="shared" si="24"/>
        <v>3233.4334850305936</v>
      </c>
      <c r="AI61" s="2487">
        <f t="shared" si="24"/>
        <v>59670.591944930027</v>
      </c>
      <c r="AJ61" s="2487">
        <f t="shared" si="24"/>
        <v>-1967.5403600305935</v>
      </c>
      <c r="AK61" s="2487">
        <f t="shared" si="24"/>
        <v>89408.671805069913</v>
      </c>
    </row>
    <row r="62" spans="9:62">
      <c r="I62" s="2494">
        <v>46265</v>
      </c>
      <c r="J62" s="2537">
        <f>-'G-3.04,5.01 PF AMI'!AE103</f>
        <v>-315594.16877950181</v>
      </c>
      <c r="K62" s="2488">
        <f t="shared" si="2"/>
        <v>26509910.177478131</v>
      </c>
      <c r="L62" s="2488">
        <f t="shared" si="6"/>
        <v>28403475.190155149</v>
      </c>
      <c r="M62" s="2488">
        <f t="shared" si="0"/>
        <v>-5567081.1372704068</v>
      </c>
      <c r="N62" s="2488">
        <f t="shared" si="7"/>
        <v>-5964729.7899325816</v>
      </c>
      <c r="P62" s="2494">
        <v>46265</v>
      </c>
      <c r="Q62" s="2537">
        <f>-'G-3.04,5.01 PF AMI'!AK103</f>
        <v>-89408.671805069913</v>
      </c>
      <c r="R62" s="2488">
        <f t="shared" si="3"/>
        <v>7510328.4316258393</v>
      </c>
      <c r="S62" s="2488">
        <f t="shared" si="8"/>
        <v>8046780.4624562589</v>
      </c>
      <c r="T62" s="2488">
        <f t="shared" si="1"/>
        <v>-1577168.9706414263</v>
      </c>
      <c r="U62" s="2488">
        <f t="shared" si="9"/>
        <v>-1689823.8971158143</v>
      </c>
      <c r="Y62" s="477">
        <v>55</v>
      </c>
      <c r="Z62" s="477">
        <v>202303</v>
      </c>
      <c r="AA62" s="2487">
        <f t="shared" si="23"/>
        <v>141673.76797421335</v>
      </c>
      <c r="AB62" s="2487">
        <f t="shared" si="23"/>
        <v>9212.1931736232491</v>
      </c>
      <c r="AC62" s="2487">
        <f t="shared" si="23"/>
        <v>180859.29027261797</v>
      </c>
      <c r="AD62" s="2487">
        <f t="shared" si="23"/>
        <v>-16151.082640952791</v>
      </c>
      <c r="AE62" s="2487">
        <f t="shared" si="15"/>
        <v>315594.16877950181</v>
      </c>
      <c r="AF62" s="2487"/>
      <c r="AG62" s="2487">
        <f t="shared" si="24"/>
        <v>28472.18673513988</v>
      </c>
      <c r="AH62" s="2487">
        <f t="shared" si="24"/>
        <v>3233.4334850305936</v>
      </c>
      <c r="AI62" s="2487">
        <f t="shared" si="24"/>
        <v>59670.591944930027</v>
      </c>
      <c r="AJ62" s="2487">
        <f t="shared" si="24"/>
        <v>-1967.5403600305935</v>
      </c>
      <c r="AK62" s="2487">
        <f t="shared" si="24"/>
        <v>89408.671805069913</v>
      </c>
    </row>
    <row r="63" spans="9:62">
      <c r="I63" s="2494">
        <v>46295</v>
      </c>
      <c r="J63" s="2537">
        <f>-'G-3.04,5.01 PF AMI'!AE104</f>
        <v>-315594.16877950181</v>
      </c>
      <c r="K63" s="2488">
        <f t="shared" si="2"/>
        <v>26194316.008698627</v>
      </c>
      <c r="L63" s="2488">
        <f t="shared" si="6"/>
        <v>28087881.021375645</v>
      </c>
      <c r="M63" s="2488">
        <f t="shared" si="0"/>
        <v>-5500806.3618267113</v>
      </c>
      <c r="N63" s="2488">
        <f t="shared" si="7"/>
        <v>-5898455.0144888861</v>
      </c>
      <c r="P63" s="2494">
        <v>46295</v>
      </c>
      <c r="Q63" s="2537">
        <f>-'G-3.04,5.01 PF AMI'!AK104</f>
        <v>-89408.671805069913</v>
      </c>
      <c r="R63" s="2488">
        <f t="shared" si="3"/>
        <v>7420919.7598207695</v>
      </c>
      <c r="S63" s="2488">
        <f t="shared" si="8"/>
        <v>7957371.7906511882</v>
      </c>
      <c r="T63" s="2488">
        <f t="shared" si="1"/>
        <v>-1558393.1495623617</v>
      </c>
      <c r="U63" s="2488">
        <f t="shared" si="9"/>
        <v>-1671048.0760367494</v>
      </c>
      <c r="Y63" s="477">
        <v>56</v>
      </c>
      <c r="Z63" s="477">
        <v>202304</v>
      </c>
      <c r="AA63" s="2487">
        <f t="shared" si="23"/>
        <v>141673.76797421335</v>
      </c>
      <c r="AB63" s="2487">
        <f t="shared" si="23"/>
        <v>9212.1931736232491</v>
      </c>
      <c r="AC63" s="2487">
        <f t="shared" si="23"/>
        <v>180859.29027261797</v>
      </c>
      <c r="AD63" s="2487">
        <f t="shared" si="23"/>
        <v>-16151.082640952791</v>
      </c>
      <c r="AE63" s="2487">
        <f t="shared" si="15"/>
        <v>315594.16877950181</v>
      </c>
      <c r="AF63" s="2487"/>
      <c r="AG63" s="2487">
        <f t="shared" si="24"/>
        <v>28472.18673513988</v>
      </c>
      <c r="AH63" s="2487">
        <f t="shared" si="24"/>
        <v>3233.4334850305936</v>
      </c>
      <c r="AI63" s="2487">
        <f t="shared" si="24"/>
        <v>59670.591944930027</v>
      </c>
      <c r="AJ63" s="2487">
        <f t="shared" si="24"/>
        <v>-1967.5403600305935</v>
      </c>
      <c r="AK63" s="2487">
        <f t="shared" si="24"/>
        <v>89408.671805069913</v>
      </c>
    </row>
    <row r="64" spans="9:62">
      <c r="I64" s="2494">
        <v>46326</v>
      </c>
      <c r="J64" s="2537">
        <f>-'G-3.04,5.01 PF AMI'!AE105</f>
        <v>-315594.16877950181</v>
      </c>
      <c r="K64" s="2488">
        <f t="shared" si="2"/>
        <v>25878721.839919124</v>
      </c>
      <c r="L64" s="2488">
        <f t="shared" si="6"/>
        <v>27772286.852596149</v>
      </c>
      <c r="M64" s="2488">
        <f t="shared" si="0"/>
        <v>-5434531.5863830158</v>
      </c>
      <c r="N64" s="2488">
        <f t="shared" si="7"/>
        <v>-5832180.2390451888</v>
      </c>
      <c r="P64" s="2494">
        <v>46326</v>
      </c>
      <c r="Q64" s="2537">
        <f>-'G-3.04,5.01 PF AMI'!AK105</f>
        <v>-89408.671805069913</v>
      </c>
      <c r="R64" s="2488">
        <f t="shared" si="3"/>
        <v>7331511.0880156998</v>
      </c>
      <c r="S64" s="2488">
        <f t="shared" si="8"/>
        <v>7867963.1188461194</v>
      </c>
      <c r="T64" s="2488">
        <f t="shared" si="1"/>
        <v>-1539617.3284832968</v>
      </c>
      <c r="U64" s="2488">
        <f t="shared" si="9"/>
        <v>-1652272.254957685</v>
      </c>
      <c r="Y64" s="477">
        <v>57</v>
      </c>
      <c r="Z64" s="477">
        <v>202305</v>
      </c>
      <c r="AA64" s="2487">
        <f t="shared" si="23"/>
        <v>141673.76797421335</v>
      </c>
      <c r="AB64" s="2487">
        <f t="shared" si="23"/>
        <v>9212.1931736232491</v>
      </c>
      <c r="AC64" s="2487">
        <f t="shared" si="23"/>
        <v>180859.29027261797</v>
      </c>
      <c r="AD64" s="2487">
        <f t="shared" si="23"/>
        <v>-16151.082640952791</v>
      </c>
      <c r="AE64" s="2487">
        <f t="shared" si="15"/>
        <v>315594.16877950181</v>
      </c>
      <c r="AF64" s="2487"/>
      <c r="AG64" s="2487">
        <f t="shared" si="24"/>
        <v>28472.18673513988</v>
      </c>
      <c r="AH64" s="2487">
        <f t="shared" si="24"/>
        <v>3233.4334850305936</v>
      </c>
      <c r="AI64" s="2487">
        <f t="shared" si="24"/>
        <v>59670.591944930027</v>
      </c>
      <c r="AJ64" s="2487">
        <f t="shared" si="24"/>
        <v>-1967.5403600305935</v>
      </c>
      <c r="AK64" s="2487">
        <f t="shared" si="24"/>
        <v>89408.671805069913</v>
      </c>
    </row>
    <row r="65" spans="9:37">
      <c r="I65" s="2494">
        <v>46356</v>
      </c>
      <c r="J65" s="2537">
        <f>-'G-3.04,5.01 PF AMI'!AE106</f>
        <v>-315594.16877950181</v>
      </c>
      <c r="K65" s="2488">
        <f t="shared" si="2"/>
        <v>25563127.67113962</v>
      </c>
      <c r="L65" s="2488">
        <f t="shared" si="6"/>
        <v>27456692.683816642</v>
      </c>
      <c r="M65" s="2488">
        <f t="shared" si="0"/>
        <v>-5368256.8109393204</v>
      </c>
      <c r="N65" s="2488">
        <f t="shared" si="7"/>
        <v>-5765905.4636014933</v>
      </c>
      <c r="P65" s="2494">
        <v>46356</v>
      </c>
      <c r="Q65" s="2537">
        <f>-'G-3.04,5.01 PF AMI'!AK106</f>
        <v>-89408.671805069913</v>
      </c>
      <c r="R65" s="2488">
        <f t="shared" si="3"/>
        <v>7242102.41621063</v>
      </c>
      <c r="S65" s="2488">
        <f t="shared" si="8"/>
        <v>7778554.4470410496</v>
      </c>
      <c r="T65" s="2488">
        <f t="shared" si="1"/>
        <v>-1520841.5074042322</v>
      </c>
      <c r="U65" s="2488">
        <f t="shared" si="9"/>
        <v>-1633496.4338786204</v>
      </c>
      <c r="Y65" s="477">
        <v>58</v>
      </c>
      <c r="Z65" s="477">
        <v>202306</v>
      </c>
      <c r="AA65" s="2487">
        <f t="shared" si="23"/>
        <v>141673.76797421335</v>
      </c>
      <c r="AB65" s="2487">
        <f t="shared" si="23"/>
        <v>9212.1931736232491</v>
      </c>
      <c r="AC65" s="2487">
        <f t="shared" si="23"/>
        <v>180859.29027261797</v>
      </c>
      <c r="AD65" s="2487">
        <f t="shared" si="23"/>
        <v>-16151.082640952791</v>
      </c>
      <c r="AE65" s="2487">
        <f t="shared" si="15"/>
        <v>315594.16877950181</v>
      </c>
      <c r="AF65" s="2487"/>
      <c r="AG65" s="2487">
        <f t="shared" si="24"/>
        <v>28472.18673513988</v>
      </c>
      <c r="AH65" s="2487">
        <f t="shared" si="24"/>
        <v>3233.4334850305936</v>
      </c>
      <c r="AI65" s="2487">
        <f t="shared" si="24"/>
        <v>59670.591944930027</v>
      </c>
      <c r="AJ65" s="2487">
        <f t="shared" si="24"/>
        <v>-1967.5403600305935</v>
      </c>
      <c r="AK65" s="2487">
        <f t="shared" si="24"/>
        <v>89408.671805069913</v>
      </c>
    </row>
    <row r="66" spans="9:37">
      <c r="I66" s="2494">
        <v>46387</v>
      </c>
      <c r="J66" s="2537">
        <f>-'G-3.04,5.01 PF AMI'!AE107</f>
        <v>-315594.16877950181</v>
      </c>
      <c r="K66" s="2488">
        <f t="shared" si="2"/>
        <v>25247533.502360117</v>
      </c>
      <c r="L66" s="2525">
        <f t="shared" si="6"/>
        <v>27141098.515037138</v>
      </c>
      <c r="M66" s="2488">
        <f t="shared" si="0"/>
        <v>-5301982.0354956239</v>
      </c>
      <c r="N66" s="2525">
        <f t="shared" si="7"/>
        <v>-5699630.6881577978</v>
      </c>
      <c r="P66" s="2494">
        <v>46387</v>
      </c>
      <c r="Q66" s="2537">
        <f>-'G-3.04,5.01 PF AMI'!AK107</f>
        <v>-89408.671805069913</v>
      </c>
      <c r="R66" s="2488">
        <f t="shared" si="3"/>
        <v>7152693.7444055602</v>
      </c>
      <c r="S66" s="2525">
        <f t="shared" si="8"/>
        <v>7689145.7752359807</v>
      </c>
      <c r="T66" s="2488">
        <f t="shared" si="1"/>
        <v>-1502065.6863251675</v>
      </c>
      <c r="U66" s="2525">
        <f t="shared" si="9"/>
        <v>-1614720.6127995558</v>
      </c>
      <c r="Y66" s="477">
        <v>59</v>
      </c>
      <c r="Z66" s="477">
        <v>202307</v>
      </c>
      <c r="AA66" s="2487">
        <f t="shared" si="23"/>
        <v>141673.76797421335</v>
      </c>
      <c r="AB66" s="2487">
        <f t="shared" si="23"/>
        <v>9212.1931736232491</v>
      </c>
      <c r="AC66" s="2487">
        <f t="shared" si="23"/>
        <v>180859.29027261797</v>
      </c>
      <c r="AD66" s="2487">
        <f t="shared" si="23"/>
        <v>-16151.082640952791</v>
      </c>
      <c r="AE66" s="2487">
        <f t="shared" si="15"/>
        <v>315594.16877950181</v>
      </c>
      <c r="AF66" s="2487"/>
      <c r="AG66" s="2487">
        <f t="shared" si="24"/>
        <v>28472.18673513988</v>
      </c>
      <c r="AH66" s="2487">
        <f t="shared" si="24"/>
        <v>3233.4334850305936</v>
      </c>
      <c r="AI66" s="2487">
        <f t="shared" si="24"/>
        <v>59670.591944930027</v>
      </c>
      <c r="AJ66" s="2487">
        <f t="shared" si="24"/>
        <v>-1967.5403600305935</v>
      </c>
      <c r="AK66" s="2487">
        <f t="shared" si="24"/>
        <v>89408.671805069913</v>
      </c>
    </row>
    <row r="67" spans="9:37">
      <c r="I67" s="2494">
        <v>46418</v>
      </c>
      <c r="J67" s="2488">
        <f>-'G-3.04,5.01 PF AMI'!AE108</f>
        <v>-315594.16877950181</v>
      </c>
      <c r="K67" s="2488">
        <f t="shared" si="2"/>
        <v>24931939.333580613</v>
      </c>
      <c r="L67" s="2488">
        <f t="shared" si="6"/>
        <v>26825504.346257631</v>
      </c>
      <c r="M67" s="2488">
        <f t="shared" ref="M67:M130" si="25">K67*-0.21</f>
        <v>-5235707.2600519285</v>
      </c>
      <c r="N67" s="2488">
        <f t="shared" si="7"/>
        <v>-5633355.9127141023</v>
      </c>
      <c r="P67" s="2494">
        <v>46418</v>
      </c>
      <c r="Q67" s="2488">
        <f>-'G-3.04,5.01 PF AMI'!AK108</f>
        <v>-89408.671805069913</v>
      </c>
      <c r="R67" s="2488">
        <f t="shared" si="3"/>
        <v>7063285.0726004904</v>
      </c>
      <c r="S67" s="2488">
        <f t="shared" si="8"/>
        <v>7599737.1034309119</v>
      </c>
      <c r="T67" s="2488">
        <f t="shared" ref="T67:T130" si="26">R67*-0.21</f>
        <v>-1483289.8652461029</v>
      </c>
      <c r="U67" s="2488">
        <f t="shared" si="9"/>
        <v>-1595944.7917204909</v>
      </c>
      <c r="Y67" s="477">
        <v>60</v>
      </c>
      <c r="Z67" s="477">
        <v>202308</v>
      </c>
      <c r="AA67" s="2487">
        <f t="shared" si="23"/>
        <v>141673.76797421335</v>
      </c>
      <c r="AB67" s="2487">
        <f t="shared" si="23"/>
        <v>9212.1931736232491</v>
      </c>
      <c r="AC67" s="2487">
        <f t="shared" si="23"/>
        <v>180859.29027261797</v>
      </c>
      <c r="AD67" s="2487">
        <f t="shared" si="23"/>
        <v>-16151.082640952791</v>
      </c>
      <c r="AE67" s="2487">
        <f t="shared" si="15"/>
        <v>315594.16877950181</v>
      </c>
      <c r="AF67" s="2487"/>
      <c r="AG67" s="2487">
        <f t="shared" si="24"/>
        <v>28472.18673513988</v>
      </c>
      <c r="AH67" s="2487">
        <f t="shared" si="24"/>
        <v>3233.4334850305936</v>
      </c>
      <c r="AI67" s="2487">
        <f t="shared" si="24"/>
        <v>59670.591944930027</v>
      </c>
      <c r="AJ67" s="2487">
        <f t="shared" si="24"/>
        <v>-1967.5403600305935</v>
      </c>
      <c r="AK67" s="2487">
        <f t="shared" si="24"/>
        <v>89408.671805069913</v>
      </c>
    </row>
    <row r="68" spans="9:37">
      <c r="I68" s="2494">
        <v>46446</v>
      </c>
      <c r="J68" s="2488">
        <f>-'G-3.04,5.01 PF AMI'!AE109</f>
        <v>-315594.16877950181</v>
      </c>
      <c r="K68" s="2488">
        <f t="shared" ref="K68:K131" si="27">J68+K67</f>
        <v>24616345.16480111</v>
      </c>
      <c r="L68" s="2488">
        <f t="shared" si="6"/>
        <v>26509910.177478131</v>
      </c>
      <c r="M68" s="2488">
        <f t="shared" si="25"/>
        <v>-5169432.484608233</v>
      </c>
      <c r="N68" s="2488">
        <f t="shared" si="7"/>
        <v>-5567081.1372704068</v>
      </c>
      <c r="P68" s="2494">
        <v>46446</v>
      </c>
      <c r="Q68" s="2488">
        <f>-'G-3.04,5.01 PF AMI'!AK109</f>
        <v>-89408.671805069913</v>
      </c>
      <c r="R68" s="2488">
        <f t="shared" ref="R68:R131" si="28">Q68+R67</f>
        <v>6973876.4007954206</v>
      </c>
      <c r="S68" s="2488">
        <f t="shared" si="8"/>
        <v>7510328.4316258384</v>
      </c>
      <c r="T68" s="2488">
        <f t="shared" si="26"/>
        <v>-1464514.0441670383</v>
      </c>
      <c r="U68" s="2488">
        <f t="shared" si="9"/>
        <v>-1577168.970641426</v>
      </c>
      <c r="Y68" s="477">
        <v>61</v>
      </c>
      <c r="Z68" s="477">
        <v>202309</v>
      </c>
      <c r="AA68" s="2487">
        <f t="shared" si="23"/>
        <v>141673.76797421335</v>
      </c>
      <c r="AB68" s="2487">
        <f t="shared" si="23"/>
        <v>9212.1931736232491</v>
      </c>
      <c r="AC68" s="2487">
        <f t="shared" si="23"/>
        <v>180859.29027261797</v>
      </c>
      <c r="AD68" s="2487">
        <f t="shared" si="23"/>
        <v>-16151.082640952791</v>
      </c>
      <c r="AE68" s="2487">
        <f t="shared" si="15"/>
        <v>315594.16877950181</v>
      </c>
      <c r="AF68" s="2487"/>
      <c r="AG68" s="2487">
        <f t="shared" si="24"/>
        <v>28472.18673513988</v>
      </c>
      <c r="AH68" s="2487">
        <f t="shared" si="24"/>
        <v>3233.4334850305936</v>
      </c>
      <c r="AI68" s="2487">
        <f t="shared" si="24"/>
        <v>59670.591944930027</v>
      </c>
      <c r="AJ68" s="2487">
        <f t="shared" si="24"/>
        <v>-1967.5403600305935</v>
      </c>
      <c r="AK68" s="2487">
        <f t="shared" si="24"/>
        <v>89408.671805069913</v>
      </c>
    </row>
    <row r="69" spans="9:37">
      <c r="I69" s="2494">
        <v>46477</v>
      </c>
      <c r="J69" s="2488">
        <f>-'G-3.04,5.01 PF AMI'!AE110</f>
        <v>-315594.16877950181</v>
      </c>
      <c r="K69" s="2488">
        <f t="shared" si="27"/>
        <v>24300750.996021606</v>
      </c>
      <c r="L69" s="2488">
        <f t="shared" si="6"/>
        <v>26194316.008698627</v>
      </c>
      <c r="M69" s="2488">
        <f t="shared" si="25"/>
        <v>-5103157.7091645375</v>
      </c>
      <c r="N69" s="2488">
        <f t="shared" si="7"/>
        <v>-5500806.3618267113</v>
      </c>
      <c r="P69" s="2494">
        <v>46477</v>
      </c>
      <c r="Q69" s="2488">
        <f>-'G-3.04,5.01 PF AMI'!AK110</f>
        <v>-89408.671805069913</v>
      </c>
      <c r="R69" s="2488">
        <f t="shared" si="28"/>
        <v>6884467.7289903508</v>
      </c>
      <c r="S69" s="2488">
        <f t="shared" si="8"/>
        <v>7420919.7598207677</v>
      </c>
      <c r="T69" s="2488">
        <f t="shared" si="26"/>
        <v>-1445738.2230879737</v>
      </c>
      <c r="U69" s="2488">
        <f t="shared" si="9"/>
        <v>-1558393.1495623617</v>
      </c>
      <c r="Y69" s="477">
        <v>62</v>
      </c>
      <c r="Z69" s="477">
        <v>202310</v>
      </c>
      <c r="AA69" s="2487">
        <f t="shared" si="23"/>
        <v>141673.76797421335</v>
      </c>
      <c r="AB69" s="2487">
        <f t="shared" si="23"/>
        <v>9212.1931736232491</v>
      </c>
      <c r="AC69" s="2487">
        <f t="shared" si="23"/>
        <v>180859.29027261797</v>
      </c>
      <c r="AD69" s="2487">
        <f t="shared" si="23"/>
        <v>-16151.082640952791</v>
      </c>
      <c r="AE69" s="2487">
        <f t="shared" si="15"/>
        <v>315594.16877950181</v>
      </c>
      <c r="AF69" s="2487"/>
      <c r="AG69" s="2487">
        <f t="shared" si="24"/>
        <v>28472.18673513988</v>
      </c>
      <c r="AH69" s="2487">
        <f t="shared" si="24"/>
        <v>3233.4334850305936</v>
      </c>
      <c r="AI69" s="2487">
        <f t="shared" si="24"/>
        <v>59670.591944930027</v>
      </c>
      <c r="AJ69" s="2487">
        <f t="shared" si="24"/>
        <v>-1967.5403600305935</v>
      </c>
      <c r="AK69" s="2487">
        <f t="shared" si="24"/>
        <v>89408.671805069913</v>
      </c>
    </row>
    <row r="70" spans="9:37">
      <c r="I70" s="2494">
        <v>46507</v>
      </c>
      <c r="J70" s="2488">
        <f>-'G-3.04,5.01 PF AMI'!AE111</f>
        <v>-315594.16877950181</v>
      </c>
      <c r="K70" s="2488">
        <f t="shared" si="27"/>
        <v>23985156.827242102</v>
      </c>
      <c r="L70" s="2488">
        <f t="shared" si="6"/>
        <v>25878721.839919124</v>
      </c>
      <c r="M70" s="2488">
        <f t="shared" si="25"/>
        <v>-5036882.9337208411</v>
      </c>
      <c r="N70" s="2488">
        <f t="shared" si="7"/>
        <v>-5434531.5863830158</v>
      </c>
      <c r="P70" s="2494">
        <v>46507</v>
      </c>
      <c r="Q70" s="2488">
        <f>-'G-3.04,5.01 PF AMI'!AK111</f>
        <v>-89408.671805069913</v>
      </c>
      <c r="R70" s="2488">
        <f t="shared" si="28"/>
        <v>6795059.0571852811</v>
      </c>
      <c r="S70" s="2488">
        <f t="shared" si="8"/>
        <v>7331511.0880156979</v>
      </c>
      <c r="T70" s="2488">
        <f t="shared" si="26"/>
        <v>-1426962.402008909</v>
      </c>
      <c r="U70" s="2488">
        <f t="shared" si="9"/>
        <v>-1539617.3284832973</v>
      </c>
      <c r="Y70" s="477">
        <v>63</v>
      </c>
      <c r="Z70" s="477">
        <v>202311</v>
      </c>
      <c r="AA70" s="2487">
        <f t="shared" si="23"/>
        <v>141673.76797421335</v>
      </c>
      <c r="AB70" s="2487">
        <f t="shared" si="23"/>
        <v>9212.1931736232491</v>
      </c>
      <c r="AC70" s="2487">
        <f t="shared" si="23"/>
        <v>180859.29027261797</v>
      </c>
      <c r="AD70" s="2487">
        <f t="shared" si="23"/>
        <v>-16151.082640952791</v>
      </c>
      <c r="AE70" s="2487">
        <f t="shared" si="15"/>
        <v>315594.16877950181</v>
      </c>
      <c r="AF70" s="2487"/>
      <c r="AG70" s="2487">
        <f t="shared" si="24"/>
        <v>28472.18673513988</v>
      </c>
      <c r="AH70" s="2487">
        <f t="shared" si="24"/>
        <v>3233.4334850305936</v>
      </c>
      <c r="AI70" s="2487">
        <f t="shared" si="24"/>
        <v>59670.591944930027</v>
      </c>
      <c r="AJ70" s="2487">
        <f t="shared" si="24"/>
        <v>-1967.5403600305935</v>
      </c>
      <c r="AK70" s="2487">
        <f t="shared" si="24"/>
        <v>89408.671805069913</v>
      </c>
    </row>
    <row r="71" spans="9:37">
      <c r="I71" s="2494">
        <v>46538</v>
      </c>
      <c r="J71" s="2488">
        <f>-'G-3.04,5.01 PF AMI'!AE112</f>
        <v>-315594.16877950181</v>
      </c>
      <c r="K71" s="2488">
        <f t="shared" si="27"/>
        <v>23669562.658462599</v>
      </c>
      <c r="L71" s="2488">
        <f t="shared" si="6"/>
        <v>25563127.671139624</v>
      </c>
      <c r="M71" s="2488">
        <f t="shared" si="25"/>
        <v>-4970608.1582771456</v>
      </c>
      <c r="N71" s="2488">
        <f t="shared" si="7"/>
        <v>-5368256.8109393204</v>
      </c>
      <c r="P71" s="2494">
        <v>46538</v>
      </c>
      <c r="Q71" s="2488">
        <f>-'G-3.04,5.01 PF AMI'!AK112</f>
        <v>-89408.671805069913</v>
      </c>
      <c r="R71" s="2488">
        <f t="shared" si="28"/>
        <v>6705650.3853802113</v>
      </c>
      <c r="S71" s="2488">
        <f t="shared" si="8"/>
        <v>7242102.416210629</v>
      </c>
      <c r="T71" s="2488">
        <f t="shared" si="26"/>
        <v>-1408186.5809298444</v>
      </c>
      <c r="U71" s="2488">
        <f t="shared" si="9"/>
        <v>-1520841.5074042324</v>
      </c>
      <c r="Y71" s="477">
        <v>64</v>
      </c>
      <c r="Z71" s="477">
        <v>202312</v>
      </c>
      <c r="AA71" s="2487">
        <f t="shared" si="23"/>
        <v>141673.76797421335</v>
      </c>
      <c r="AB71" s="2487">
        <f t="shared" si="23"/>
        <v>9212.1931736232491</v>
      </c>
      <c r="AC71" s="2487">
        <f t="shared" si="23"/>
        <v>180859.29027261797</v>
      </c>
      <c r="AD71" s="2487">
        <f t="shared" si="23"/>
        <v>-16151.082640952791</v>
      </c>
      <c r="AE71" s="2487">
        <f t="shared" si="15"/>
        <v>315594.16877950181</v>
      </c>
      <c r="AF71" s="2487"/>
      <c r="AG71" s="2487">
        <f t="shared" si="24"/>
        <v>28472.18673513988</v>
      </c>
      <c r="AH71" s="2487">
        <f t="shared" si="24"/>
        <v>3233.4334850305936</v>
      </c>
      <c r="AI71" s="2487">
        <f t="shared" si="24"/>
        <v>59670.591944930027</v>
      </c>
      <c r="AJ71" s="2487">
        <f t="shared" si="24"/>
        <v>-1967.5403600305935</v>
      </c>
      <c r="AK71" s="2487">
        <f t="shared" si="24"/>
        <v>89408.671805069913</v>
      </c>
    </row>
    <row r="72" spans="9:37">
      <c r="I72" s="2494">
        <v>46568</v>
      </c>
      <c r="J72" s="2488">
        <f>-'G-3.04,5.01 PF AMI'!AE113</f>
        <v>-315594.16877950181</v>
      </c>
      <c r="K72" s="2488">
        <f t="shared" si="27"/>
        <v>23353968.489683095</v>
      </c>
      <c r="L72" s="2488">
        <f t="shared" si="6"/>
        <v>25247533.502360117</v>
      </c>
      <c r="M72" s="2488">
        <f t="shared" si="25"/>
        <v>-4904333.3828334501</v>
      </c>
      <c r="N72" s="2488">
        <f t="shared" si="7"/>
        <v>-5301982.0354956249</v>
      </c>
      <c r="P72" s="2494">
        <v>46568</v>
      </c>
      <c r="Q72" s="2488">
        <f>-'G-3.04,5.01 PF AMI'!AK113</f>
        <v>-89408.671805069913</v>
      </c>
      <c r="R72" s="2488">
        <f t="shared" si="28"/>
        <v>6616241.7135751415</v>
      </c>
      <c r="S72" s="2488">
        <f t="shared" si="8"/>
        <v>7152693.7444055602</v>
      </c>
      <c r="T72" s="2488">
        <f t="shared" si="26"/>
        <v>-1389410.7598507795</v>
      </c>
      <c r="U72" s="2488">
        <f t="shared" si="9"/>
        <v>-1502065.6863251675</v>
      </c>
      <c r="Y72" s="477">
        <v>65</v>
      </c>
      <c r="Z72" s="477">
        <v>202401</v>
      </c>
      <c r="AA72" s="2487">
        <f t="shared" si="23"/>
        <v>141673.76797421335</v>
      </c>
      <c r="AB72" s="2487">
        <f t="shared" si="23"/>
        <v>9212.1931736232491</v>
      </c>
      <c r="AC72" s="2487">
        <f t="shared" si="23"/>
        <v>180859.29027261797</v>
      </c>
      <c r="AD72" s="2487">
        <f t="shared" si="23"/>
        <v>-16151.082640952791</v>
      </c>
      <c r="AE72" s="2487">
        <f t="shared" si="15"/>
        <v>315594.16877950181</v>
      </c>
      <c r="AF72" s="2487"/>
      <c r="AG72" s="2487">
        <f t="shared" si="24"/>
        <v>28472.18673513988</v>
      </c>
      <c r="AH72" s="2487">
        <f t="shared" si="24"/>
        <v>3233.4334850305936</v>
      </c>
      <c r="AI72" s="2487">
        <f t="shared" si="24"/>
        <v>59670.591944930027</v>
      </c>
      <c r="AJ72" s="2487">
        <f t="shared" si="24"/>
        <v>-1967.5403600305935</v>
      </c>
      <c r="AK72" s="2487">
        <f t="shared" si="24"/>
        <v>89408.671805069913</v>
      </c>
    </row>
    <row r="73" spans="9:37">
      <c r="I73" s="2494">
        <v>46599</v>
      </c>
      <c r="J73" s="2488">
        <f>-'G-3.04,5.01 PF AMI'!AE114</f>
        <v>-315594.16877950181</v>
      </c>
      <c r="K73" s="2488">
        <f t="shared" si="27"/>
        <v>23038374.320903592</v>
      </c>
      <c r="L73" s="2488">
        <f t="shared" si="6"/>
        <v>24931939.333580613</v>
      </c>
      <c r="M73" s="2488">
        <f t="shared" si="25"/>
        <v>-4838058.6073897537</v>
      </c>
      <c r="N73" s="2488">
        <f t="shared" si="7"/>
        <v>-5235707.2600519285</v>
      </c>
      <c r="P73" s="2494">
        <v>46599</v>
      </c>
      <c r="Q73" s="2488">
        <f>-'G-3.04,5.01 PF AMI'!AK114</f>
        <v>-89408.671805069913</v>
      </c>
      <c r="R73" s="2488">
        <f t="shared" si="28"/>
        <v>6526833.0417700717</v>
      </c>
      <c r="S73" s="2488">
        <f t="shared" si="8"/>
        <v>7063285.0726004904</v>
      </c>
      <c r="T73" s="2488">
        <f t="shared" si="26"/>
        <v>-1370634.9387717149</v>
      </c>
      <c r="U73" s="2488">
        <f t="shared" si="9"/>
        <v>-1483289.8652461029</v>
      </c>
      <c r="Y73" s="477">
        <v>66</v>
      </c>
      <c r="Z73" s="477">
        <v>202402</v>
      </c>
      <c r="AA73" s="2487">
        <f t="shared" si="23"/>
        <v>141673.76797421335</v>
      </c>
      <c r="AB73" s="2487">
        <f t="shared" si="23"/>
        <v>9212.1931736232491</v>
      </c>
      <c r="AC73" s="2487">
        <f t="shared" si="23"/>
        <v>180859.29027261797</v>
      </c>
      <c r="AD73" s="2487">
        <f t="shared" si="23"/>
        <v>-16151.082640952791</v>
      </c>
      <c r="AE73" s="2487">
        <f t="shared" si="15"/>
        <v>315594.16877950181</v>
      </c>
      <c r="AF73" s="2487"/>
      <c r="AG73" s="2487">
        <f t="shared" si="24"/>
        <v>28472.18673513988</v>
      </c>
      <c r="AH73" s="2487">
        <f t="shared" si="24"/>
        <v>3233.4334850305936</v>
      </c>
      <c r="AI73" s="2487">
        <f t="shared" si="24"/>
        <v>59670.591944930027</v>
      </c>
      <c r="AJ73" s="2487">
        <f t="shared" si="24"/>
        <v>-1967.5403600305935</v>
      </c>
      <c r="AK73" s="2487">
        <f t="shared" si="24"/>
        <v>89408.671805069913</v>
      </c>
    </row>
    <row r="74" spans="9:37">
      <c r="I74" s="2494">
        <v>46630</v>
      </c>
      <c r="J74" s="2488">
        <f>-'G-3.04,5.01 PF AMI'!AE115</f>
        <v>-315594.16877950181</v>
      </c>
      <c r="K74" s="2488">
        <f t="shared" si="27"/>
        <v>22722780.152124088</v>
      </c>
      <c r="L74" s="2488">
        <f t="shared" si="6"/>
        <v>24616345.16480111</v>
      </c>
      <c r="M74" s="2488">
        <f t="shared" si="25"/>
        <v>-4771783.8319460582</v>
      </c>
      <c r="N74" s="2488">
        <f t="shared" si="7"/>
        <v>-5169432.484608233</v>
      </c>
      <c r="P74" s="2494">
        <v>46630</v>
      </c>
      <c r="Q74" s="2488">
        <f>-'G-3.04,5.01 PF AMI'!AK115</f>
        <v>-89408.671805069913</v>
      </c>
      <c r="R74" s="2488">
        <f t="shared" si="28"/>
        <v>6437424.3699650019</v>
      </c>
      <c r="S74" s="2488">
        <f t="shared" si="8"/>
        <v>6973876.4007954197</v>
      </c>
      <c r="T74" s="2488">
        <f t="shared" si="26"/>
        <v>-1351859.1176926503</v>
      </c>
      <c r="U74" s="2488">
        <f t="shared" si="9"/>
        <v>-1464514.0441670381</v>
      </c>
      <c r="Y74" s="477">
        <v>67</v>
      </c>
      <c r="Z74" s="477">
        <v>202403</v>
      </c>
      <c r="AA74" s="2487">
        <f t="shared" si="23"/>
        <v>141673.76797421335</v>
      </c>
      <c r="AB74" s="2487">
        <f t="shared" si="23"/>
        <v>9212.1931736232491</v>
      </c>
      <c r="AC74" s="2487">
        <f t="shared" si="23"/>
        <v>180859.29027261797</v>
      </c>
      <c r="AD74" s="2487">
        <f t="shared" si="23"/>
        <v>-16151.082640952791</v>
      </c>
      <c r="AE74" s="2487">
        <f t="shared" si="15"/>
        <v>315594.16877950181</v>
      </c>
      <c r="AF74" s="2487"/>
      <c r="AG74" s="2487">
        <f t="shared" si="24"/>
        <v>28472.18673513988</v>
      </c>
      <c r="AH74" s="2487">
        <f t="shared" si="24"/>
        <v>3233.4334850305936</v>
      </c>
      <c r="AI74" s="2487">
        <f t="shared" si="24"/>
        <v>59670.591944930027</v>
      </c>
      <c r="AJ74" s="2487">
        <f t="shared" si="24"/>
        <v>-1967.5403600305935</v>
      </c>
      <c r="AK74" s="2487">
        <f t="shared" si="24"/>
        <v>89408.671805069913</v>
      </c>
    </row>
    <row r="75" spans="9:37">
      <c r="I75" s="2494">
        <v>46660</v>
      </c>
      <c r="J75" s="2488">
        <f>-'G-3.04,5.01 PF AMI'!AE116</f>
        <v>-315594.16877950181</v>
      </c>
      <c r="K75" s="2488">
        <f t="shared" si="27"/>
        <v>22407185.983344585</v>
      </c>
      <c r="L75" s="2488">
        <f t="shared" si="6"/>
        <v>24300750.99602161</v>
      </c>
      <c r="M75" s="2488">
        <f t="shared" si="25"/>
        <v>-4705509.0565023627</v>
      </c>
      <c r="N75" s="2488">
        <f t="shared" si="7"/>
        <v>-5103157.7091645375</v>
      </c>
      <c r="P75" s="2494">
        <v>46660</v>
      </c>
      <c r="Q75" s="2488">
        <f>-'G-3.04,5.01 PF AMI'!AK116</f>
        <v>-89408.671805069913</v>
      </c>
      <c r="R75" s="2488">
        <f t="shared" si="28"/>
        <v>6348015.6981599322</v>
      </c>
      <c r="S75" s="2488">
        <f t="shared" si="8"/>
        <v>6884467.7289903508</v>
      </c>
      <c r="T75" s="2488">
        <f t="shared" si="26"/>
        <v>-1333083.2966135857</v>
      </c>
      <c r="U75" s="2488">
        <f t="shared" si="9"/>
        <v>-1445738.2230879737</v>
      </c>
      <c r="Y75" s="477">
        <v>68</v>
      </c>
      <c r="Z75" s="477">
        <v>202404</v>
      </c>
      <c r="AA75" s="2487">
        <f t="shared" si="23"/>
        <v>141673.76797421335</v>
      </c>
      <c r="AB75" s="2487">
        <f t="shared" si="23"/>
        <v>9212.1931736232491</v>
      </c>
      <c r="AC75" s="2487">
        <f t="shared" si="23"/>
        <v>180859.29027261797</v>
      </c>
      <c r="AD75" s="2487">
        <f t="shared" si="23"/>
        <v>-16151.082640952791</v>
      </c>
      <c r="AE75" s="2487">
        <f t="shared" si="15"/>
        <v>315594.16877950181</v>
      </c>
      <c r="AF75" s="2487"/>
      <c r="AG75" s="2487">
        <f t="shared" si="24"/>
        <v>28472.18673513988</v>
      </c>
      <c r="AH75" s="2487">
        <f t="shared" si="24"/>
        <v>3233.4334850305936</v>
      </c>
      <c r="AI75" s="2487">
        <f t="shared" si="24"/>
        <v>59670.591944930027</v>
      </c>
      <c r="AJ75" s="2487">
        <f t="shared" si="24"/>
        <v>-1967.5403600305935</v>
      </c>
      <c r="AK75" s="2487">
        <f t="shared" si="24"/>
        <v>89408.671805069913</v>
      </c>
    </row>
    <row r="76" spans="9:37">
      <c r="I76" s="2494">
        <v>46691</v>
      </c>
      <c r="J76" s="2488">
        <f>-'G-3.04,5.01 PF AMI'!AE117</f>
        <v>-315594.16877950181</v>
      </c>
      <c r="K76" s="2488">
        <f t="shared" si="27"/>
        <v>22091591.814565081</v>
      </c>
      <c r="L76" s="2488">
        <f t="shared" si="6"/>
        <v>23985156.827242102</v>
      </c>
      <c r="M76" s="2488">
        <f t="shared" si="25"/>
        <v>-4639234.2810586672</v>
      </c>
      <c r="N76" s="2488">
        <f t="shared" si="7"/>
        <v>-5036882.933720842</v>
      </c>
      <c r="P76" s="2494">
        <v>46691</v>
      </c>
      <c r="Q76" s="2488">
        <f>-'G-3.04,5.01 PF AMI'!AK117</f>
        <v>-89408.671805069913</v>
      </c>
      <c r="R76" s="2488">
        <f t="shared" si="28"/>
        <v>6258607.0263548624</v>
      </c>
      <c r="S76" s="2488">
        <f t="shared" si="8"/>
        <v>6795059.0571852811</v>
      </c>
      <c r="T76" s="2488">
        <f t="shared" si="26"/>
        <v>-1314307.475534521</v>
      </c>
      <c r="U76" s="2488">
        <f t="shared" si="9"/>
        <v>-1426962.4020089088</v>
      </c>
      <c r="Y76" s="477">
        <v>69</v>
      </c>
      <c r="Z76" s="477">
        <v>202405</v>
      </c>
      <c r="AA76" s="2487">
        <f t="shared" si="23"/>
        <v>141673.76797421335</v>
      </c>
      <c r="AB76" s="2487">
        <f t="shared" si="23"/>
        <v>9212.1931736232491</v>
      </c>
      <c r="AC76" s="2487">
        <f t="shared" si="23"/>
        <v>180859.29027261797</v>
      </c>
      <c r="AD76" s="2487">
        <f t="shared" si="23"/>
        <v>-16151.082640952791</v>
      </c>
      <c r="AE76" s="2487">
        <f t="shared" si="15"/>
        <v>315594.16877950181</v>
      </c>
      <c r="AF76" s="2487"/>
      <c r="AG76" s="2487">
        <f t="shared" si="24"/>
        <v>28472.18673513988</v>
      </c>
      <c r="AH76" s="2487">
        <f t="shared" si="24"/>
        <v>3233.4334850305936</v>
      </c>
      <c r="AI76" s="2487">
        <f t="shared" si="24"/>
        <v>59670.591944930027</v>
      </c>
      <c r="AJ76" s="2487">
        <f t="shared" si="24"/>
        <v>-1967.5403600305935</v>
      </c>
      <c r="AK76" s="2487">
        <f t="shared" si="24"/>
        <v>89408.671805069913</v>
      </c>
    </row>
    <row r="77" spans="9:37">
      <c r="I77" s="2494">
        <v>46721</v>
      </c>
      <c r="J77" s="2488">
        <f>-'G-3.04,5.01 PF AMI'!AE118</f>
        <v>-315594.16877950181</v>
      </c>
      <c r="K77" s="2488">
        <f t="shared" si="27"/>
        <v>21775997.645785578</v>
      </c>
      <c r="L77" s="2488">
        <f t="shared" si="6"/>
        <v>23669562.658462599</v>
      </c>
      <c r="M77" s="2488">
        <f t="shared" si="25"/>
        <v>-4572959.5056149708</v>
      </c>
      <c r="N77" s="2488">
        <f t="shared" si="7"/>
        <v>-4970608.1582771465</v>
      </c>
      <c r="P77" s="2494">
        <v>46721</v>
      </c>
      <c r="Q77" s="2488">
        <f>-'G-3.04,5.01 PF AMI'!AK118</f>
        <v>-89408.671805069913</v>
      </c>
      <c r="R77" s="2488">
        <f t="shared" si="28"/>
        <v>6169198.3545497926</v>
      </c>
      <c r="S77" s="2488">
        <f t="shared" si="8"/>
        <v>6705650.3853802113</v>
      </c>
      <c r="T77" s="2488">
        <f t="shared" si="26"/>
        <v>-1295531.6544554564</v>
      </c>
      <c r="U77" s="2488">
        <f t="shared" si="9"/>
        <v>-1408186.5809298444</v>
      </c>
      <c r="Y77" s="477">
        <v>70</v>
      </c>
      <c r="Z77" s="477">
        <v>202406</v>
      </c>
      <c r="AA77" s="2487">
        <f t="shared" ref="AA77:AD92" si="29">AA76</f>
        <v>141673.76797421335</v>
      </c>
      <c r="AB77" s="2487">
        <f t="shared" si="29"/>
        <v>9212.1931736232491</v>
      </c>
      <c r="AC77" s="2487">
        <f t="shared" si="29"/>
        <v>180859.29027261797</v>
      </c>
      <c r="AD77" s="2487">
        <f t="shared" si="29"/>
        <v>-16151.082640952791</v>
      </c>
      <c r="AE77" s="2487">
        <f t="shared" ref="AE77:AE108" si="30">SUM(AA77:AD77)</f>
        <v>315594.16877950181</v>
      </c>
      <c r="AF77" s="2487"/>
      <c r="AG77" s="2487">
        <f t="shared" ref="AG77:AK92" si="31">AG76</f>
        <v>28472.18673513988</v>
      </c>
      <c r="AH77" s="2487">
        <f t="shared" si="31"/>
        <v>3233.4334850305936</v>
      </c>
      <c r="AI77" s="2487">
        <f t="shared" si="31"/>
        <v>59670.591944930027</v>
      </c>
      <c r="AJ77" s="2487">
        <f t="shared" si="31"/>
        <v>-1967.5403600305935</v>
      </c>
      <c r="AK77" s="2487">
        <f t="shared" si="31"/>
        <v>89408.671805069913</v>
      </c>
    </row>
    <row r="78" spans="9:37">
      <c r="I78" s="2494">
        <v>46752</v>
      </c>
      <c r="J78" s="2488">
        <f>-'G-3.04,5.01 PF AMI'!AE119</f>
        <v>-315594.16877950181</v>
      </c>
      <c r="K78" s="2488">
        <f t="shared" si="27"/>
        <v>21460403.477006074</v>
      </c>
      <c r="L78" s="2488">
        <f t="shared" si="6"/>
        <v>23353968.489683095</v>
      </c>
      <c r="M78" s="2488">
        <f t="shared" si="25"/>
        <v>-4506684.7301712753</v>
      </c>
      <c r="N78" s="2488">
        <f t="shared" si="7"/>
        <v>-4904333.382833451</v>
      </c>
      <c r="P78" s="2494">
        <v>46752</v>
      </c>
      <c r="Q78" s="2488">
        <f>-'G-3.04,5.01 PF AMI'!AK119</f>
        <v>-89408.671805069913</v>
      </c>
      <c r="R78" s="2488">
        <f t="shared" si="28"/>
        <v>6079789.6827447228</v>
      </c>
      <c r="S78" s="2488">
        <f t="shared" si="8"/>
        <v>6616241.7135751406</v>
      </c>
      <c r="T78" s="2488">
        <f t="shared" si="26"/>
        <v>-1276755.8333763918</v>
      </c>
      <c r="U78" s="2488">
        <f t="shared" si="9"/>
        <v>-1389410.7598507795</v>
      </c>
      <c r="Y78" s="477">
        <v>71</v>
      </c>
      <c r="Z78" s="477">
        <v>202407</v>
      </c>
      <c r="AA78" s="2487">
        <f t="shared" si="29"/>
        <v>141673.76797421335</v>
      </c>
      <c r="AB78" s="2487">
        <f t="shared" si="29"/>
        <v>9212.1931736232491</v>
      </c>
      <c r="AC78" s="2487">
        <f t="shared" si="29"/>
        <v>180859.29027261797</v>
      </c>
      <c r="AD78" s="2487">
        <f t="shared" si="29"/>
        <v>-16151.082640952791</v>
      </c>
      <c r="AE78" s="2487">
        <f t="shared" si="30"/>
        <v>315594.16877950181</v>
      </c>
      <c r="AF78" s="2487"/>
      <c r="AG78" s="2487">
        <f t="shared" si="31"/>
        <v>28472.18673513988</v>
      </c>
      <c r="AH78" s="2487">
        <f t="shared" si="31"/>
        <v>3233.4334850305936</v>
      </c>
      <c r="AI78" s="2487">
        <f t="shared" si="31"/>
        <v>59670.591944930027</v>
      </c>
      <c r="AJ78" s="2487">
        <f t="shared" si="31"/>
        <v>-1967.5403600305935</v>
      </c>
      <c r="AK78" s="2487">
        <f t="shared" si="31"/>
        <v>89408.671805069913</v>
      </c>
    </row>
    <row r="79" spans="9:37">
      <c r="I79" s="2494">
        <v>46783</v>
      </c>
      <c r="J79" s="2488">
        <f>-'G-3.04,5.01 PF AMI'!AE120</f>
        <v>-315594.16877950181</v>
      </c>
      <c r="K79" s="2488">
        <f t="shared" si="27"/>
        <v>21144809.30822657</v>
      </c>
      <c r="L79" s="2488">
        <f t="shared" si="6"/>
        <v>23038374.320903596</v>
      </c>
      <c r="M79" s="2488">
        <f t="shared" si="25"/>
        <v>-4440409.9547275798</v>
      </c>
      <c r="N79" s="2488">
        <f t="shared" si="7"/>
        <v>-4838058.6073897546</v>
      </c>
      <c r="P79" s="2494">
        <v>46783</v>
      </c>
      <c r="Q79" s="2488">
        <f>-'G-3.04,5.01 PF AMI'!AK120</f>
        <v>-89408.671805069913</v>
      </c>
      <c r="R79" s="2488">
        <f t="shared" si="28"/>
        <v>5990381.010939653</v>
      </c>
      <c r="S79" s="2488">
        <f t="shared" si="8"/>
        <v>6526833.0417700717</v>
      </c>
      <c r="T79" s="2488">
        <f t="shared" si="26"/>
        <v>-1257980.0122973272</v>
      </c>
      <c r="U79" s="2488">
        <f t="shared" si="9"/>
        <v>-1370634.9387717152</v>
      </c>
      <c r="Y79" s="477">
        <v>72</v>
      </c>
      <c r="Z79" s="477">
        <v>202408</v>
      </c>
      <c r="AA79" s="2487">
        <f t="shared" si="29"/>
        <v>141673.76797421335</v>
      </c>
      <c r="AB79" s="2487">
        <f t="shared" si="29"/>
        <v>9212.1931736232491</v>
      </c>
      <c r="AC79" s="2487">
        <f t="shared" si="29"/>
        <v>180859.29027261797</v>
      </c>
      <c r="AD79" s="2487">
        <f t="shared" si="29"/>
        <v>-16151.082640952791</v>
      </c>
      <c r="AE79" s="2487">
        <f t="shared" si="30"/>
        <v>315594.16877950181</v>
      </c>
      <c r="AF79" s="2487"/>
      <c r="AG79" s="2487">
        <f t="shared" si="31"/>
        <v>28472.18673513988</v>
      </c>
      <c r="AH79" s="2487">
        <f t="shared" si="31"/>
        <v>3233.4334850305936</v>
      </c>
      <c r="AI79" s="2487">
        <f t="shared" si="31"/>
        <v>59670.591944930027</v>
      </c>
      <c r="AJ79" s="2487">
        <f t="shared" si="31"/>
        <v>-1967.5403600305935</v>
      </c>
      <c r="AK79" s="2487">
        <f t="shared" si="31"/>
        <v>89408.671805069913</v>
      </c>
    </row>
    <row r="80" spans="9:37">
      <c r="I80" s="2494">
        <v>46812</v>
      </c>
      <c r="J80" s="2488">
        <f>-'G-3.04,5.01 PF AMI'!AE121</f>
        <v>-315594.16877950181</v>
      </c>
      <c r="K80" s="2488">
        <f t="shared" si="27"/>
        <v>20829215.139447067</v>
      </c>
      <c r="L80" s="2488">
        <f t="shared" si="6"/>
        <v>22722780.152124088</v>
      </c>
      <c r="M80" s="2488">
        <f t="shared" si="25"/>
        <v>-4374135.1792838844</v>
      </c>
      <c r="N80" s="2488">
        <f t="shared" si="7"/>
        <v>-4771783.8319460591</v>
      </c>
      <c r="P80" s="2494">
        <v>46812</v>
      </c>
      <c r="Q80" s="2488">
        <f>-'G-3.04,5.01 PF AMI'!AK121</f>
        <v>-89408.671805069913</v>
      </c>
      <c r="R80" s="2488">
        <f t="shared" si="28"/>
        <v>5900972.3391345832</v>
      </c>
      <c r="S80" s="2488">
        <f t="shared" si="8"/>
        <v>6437424.3699650029</v>
      </c>
      <c r="T80" s="2488">
        <f t="shared" si="26"/>
        <v>-1239204.1912182625</v>
      </c>
      <c r="U80" s="2488">
        <f t="shared" si="9"/>
        <v>-1351859.1176926505</v>
      </c>
      <c r="Y80" s="477">
        <v>73</v>
      </c>
      <c r="Z80" s="477">
        <v>202409</v>
      </c>
      <c r="AA80" s="2487">
        <f t="shared" si="29"/>
        <v>141673.76797421335</v>
      </c>
      <c r="AB80" s="2487">
        <f t="shared" si="29"/>
        <v>9212.1931736232491</v>
      </c>
      <c r="AC80" s="2487">
        <f t="shared" si="29"/>
        <v>180859.29027261797</v>
      </c>
      <c r="AD80" s="2487">
        <f t="shared" si="29"/>
        <v>-16151.082640952791</v>
      </c>
      <c r="AE80" s="2487">
        <f t="shared" si="30"/>
        <v>315594.16877950181</v>
      </c>
      <c r="AF80" s="2487"/>
      <c r="AG80" s="2487">
        <f t="shared" si="31"/>
        <v>28472.18673513988</v>
      </c>
      <c r="AH80" s="2487">
        <f t="shared" si="31"/>
        <v>3233.4334850305936</v>
      </c>
      <c r="AI80" s="2487">
        <f t="shared" si="31"/>
        <v>59670.591944930027</v>
      </c>
      <c r="AJ80" s="2487">
        <f t="shared" si="31"/>
        <v>-1967.5403600305935</v>
      </c>
      <c r="AK80" s="2487">
        <f t="shared" si="31"/>
        <v>89408.671805069913</v>
      </c>
    </row>
    <row r="81" spans="9:37">
      <c r="I81" s="2494">
        <v>46843</v>
      </c>
      <c r="J81" s="2488">
        <f>-'G-3.04,5.01 PF AMI'!AE122</f>
        <v>-315594.16877950181</v>
      </c>
      <c r="K81" s="2488">
        <f t="shared" si="27"/>
        <v>20513620.970667563</v>
      </c>
      <c r="L81" s="2488">
        <f t="shared" si="6"/>
        <v>22407185.983344585</v>
      </c>
      <c r="M81" s="2488">
        <f t="shared" si="25"/>
        <v>-4307860.4038401879</v>
      </c>
      <c r="N81" s="2488">
        <f t="shared" si="7"/>
        <v>-4705509.0565023636</v>
      </c>
      <c r="P81" s="2494">
        <v>46843</v>
      </c>
      <c r="Q81" s="2488">
        <f>-'G-3.04,5.01 PF AMI'!AK122</f>
        <v>-89408.671805069913</v>
      </c>
      <c r="R81" s="2488">
        <f t="shared" si="28"/>
        <v>5811563.6673295135</v>
      </c>
      <c r="S81" s="2488">
        <f t="shared" si="8"/>
        <v>6348015.6981599331</v>
      </c>
      <c r="T81" s="2488">
        <f t="shared" si="26"/>
        <v>-1220428.3701391977</v>
      </c>
      <c r="U81" s="2488">
        <f t="shared" si="9"/>
        <v>-1333083.2966135859</v>
      </c>
      <c r="Y81" s="477">
        <v>74</v>
      </c>
      <c r="Z81" s="477">
        <v>202410</v>
      </c>
      <c r="AA81" s="2487">
        <f t="shared" si="29"/>
        <v>141673.76797421335</v>
      </c>
      <c r="AB81" s="2487">
        <f t="shared" si="29"/>
        <v>9212.1931736232491</v>
      </c>
      <c r="AC81" s="2487">
        <f t="shared" si="29"/>
        <v>180859.29027261797</v>
      </c>
      <c r="AD81" s="2487">
        <f t="shared" si="29"/>
        <v>-16151.082640952791</v>
      </c>
      <c r="AE81" s="2487">
        <f t="shared" si="30"/>
        <v>315594.16877950181</v>
      </c>
      <c r="AF81" s="2487"/>
      <c r="AG81" s="2487">
        <f t="shared" si="31"/>
        <v>28472.18673513988</v>
      </c>
      <c r="AH81" s="2487">
        <f t="shared" si="31"/>
        <v>3233.4334850305936</v>
      </c>
      <c r="AI81" s="2487">
        <f t="shared" si="31"/>
        <v>59670.591944930027</v>
      </c>
      <c r="AJ81" s="2487">
        <f t="shared" si="31"/>
        <v>-1967.5403600305935</v>
      </c>
      <c r="AK81" s="2487">
        <f t="shared" si="31"/>
        <v>89408.671805069913</v>
      </c>
    </row>
    <row r="82" spans="9:37">
      <c r="I82" s="2494">
        <v>46873</v>
      </c>
      <c r="J82" s="2488">
        <f>-'G-3.04,5.01 PF AMI'!AE123</f>
        <v>-315594.16877950181</v>
      </c>
      <c r="K82" s="2488">
        <f t="shared" si="27"/>
        <v>20198026.80188806</v>
      </c>
      <c r="L82" s="2488">
        <f t="shared" si="6"/>
        <v>22091591.814565081</v>
      </c>
      <c r="M82" s="2488">
        <f t="shared" si="25"/>
        <v>-4241585.6283964925</v>
      </c>
      <c r="N82" s="2488">
        <f t="shared" si="7"/>
        <v>-4639234.2810586682</v>
      </c>
      <c r="P82" s="2494">
        <v>46873</v>
      </c>
      <c r="Q82" s="2488">
        <f>-'G-3.04,5.01 PF AMI'!AK123</f>
        <v>-89408.671805069913</v>
      </c>
      <c r="R82" s="2488">
        <f t="shared" si="28"/>
        <v>5722154.9955244437</v>
      </c>
      <c r="S82" s="2488">
        <f t="shared" si="8"/>
        <v>6258607.0263548633</v>
      </c>
      <c r="T82" s="2488">
        <f t="shared" si="26"/>
        <v>-1201652.5490601331</v>
      </c>
      <c r="U82" s="2488">
        <f t="shared" si="9"/>
        <v>-1314307.4755345213</v>
      </c>
      <c r="Y82" s="477">
        <v>75</v>
      </c>
      <c r="Z82" s="477">
        <v>202411</v>
      </c>
      <c r="AA82" s="2487">
        <f t="shared" si="29"/>
        <v>141673.76797421335</v>
      </c>
      <c r="AB82" s="2487">
        <f t="shared" si="29"/>
        <v>9212.1931736232491</v>
      </c>
      <c r="AC82" s="2487">
        <f t="shared" si="29"/>
        <v>180859.29027261797</v>
      </c>
      <c r="AD82" s="2487">
        <f t="shared" si="29"/>
        <v>-16151.082640952791</v>
      </c>
      <c r="AE82" s="2487">
        <f t="shared" si="30"/>
        <v>315594.16877950181</v>
      </c>
      <c r="AF82" s="2487"/>
      <c r="AG82" s="2487">
        <f t="shared" si="31"/>
        <v>28472.18673513988</v>
      </c>
      <c r="AH82" s="2487">
        <f t="shared" si="31"/>
        <v>3233.4334850305936</v>
      </c>
      <c r="AI82" s="2487">
        <f t="shared" si="31"/>
        <v>59670.591944930027</v>
      </c>
      <c r="AJ82" s="2487">
        <f t="shared" si="31"/>
        <v>-1967.5403600305935</v>
      </c>
      <c r="AK82" s="2487">
        <f t="shared" si="31"/>
        <v>89408.671805069913</v>
      </c>
    </row>
    <row r="83" spans="9:37">
      <c r="I83" s="2494">
        <v>46904</v>
      </c>
      <c r="J83" s="2488">
        <f>-'G-3.04,5.01 PF AMI'!AE124</f>
        <v>-315594.16877950181</v>
      </c>
      <c r="K83" s="2488">
        <f t="shared" si="27"/>
        <v>19882432.633108556</v>
      </c>
      <c r="L83" s="2488">
        <f t="shared" ref="L83:L146" si="32">(((K71+K83)/2)+K72+K73+K74+K75+K76+K77+K78+K79+K80+K81+K82)/12</f>
        <v>21775997.645785574</v>
      </c>
      <c r="M83" s="2488">
        <f t="shared" si="25"/>
        <v>-4175310.8529527965</v>
      </c>
      <c r="N83" s="2488">
        <f t="shared" ref="N83:N146" si="33">(((M71+M83)/2)+M72+M73+M74+M75+M76+M77+M78+M79+M80+M81+M82)/12</f>
        <v>-4572959.5056149727</v>
      </c>
      <c r="P83" s="2494">
        <v>46904</v>
      </c>
      <c r="Q83" s="2488">
        <f>-'G-3.04,5.01 PF AMI'!AK124</f>
        <v>-89408.671805069913</v>
      </c>
      <c r="R83" s="2488">
        <f t="shared" si="28"/>
        <v>5632746.3237193739</v>
      </c>
      <c r="S83" s="2488">
        <f t="shared" ref="S83:S146" si="34">(((R71+R83)/2)+R72+R73+R74+R75+R76+R77+R78+R79+R80+R81+R82)/12</f>
        <v>6169198.3545497926</v>
      </c>
      <c r="T83" s="2488">
        <f t="shared" si="26"/>
        <v>-1182876.7279810684</v>
      </c>
      <c r="U83" s="2488">
        <f t="shared" ref="U83:U146" si="35">(((T71+T83)/2)+T72+T73+T74+T75+T76+T77+T78+T79+T80+T81+T82)/12</f>
        <v>-1295531.6544554564</v>
      </c>
      <c r="Y83" s="477">
        <v>76</v>
      </c>
      <c r="Z83" s="477">
        <v>202412</v>
      </c>
      <c r="AA83" s="2487">
        <f t="shared" si="29"/>
        <v>141673.76797421335</v>
      </c>
      <c r="AB83" s="2487">
        <f t="shared" si="29"/>
        <v>9212.1931736232491</v>
      </c>
      <c r="AC83" s="2487">
        <f t="shared" si="29"/>
        <v>180859.29027261797</v>
      </c>
      <c r="AD83" s="2487">
        <f t="shared" si="29"/>
        <v>-16151.082640952791</v>
      </c>
      <c r="AE83" s="2487">
        <f t="shared" si="30"/>
        <v>315594.16877950181</v>
      </c>
      <c r="AF83" s="2487"/>
      <c r="AG83" s="2487">
        <f t="shared" si="31"/>
        <v>28472.18673513988</v>
      </c>
      <c r="AH83" s="2487">
        <f t="shared" si="31"/>
        <v>3233.4334850305936</v>
      </c>
      <c r="AI83" s="2487">
        <f t="shared" si="31"/>
        <v>59670.591944930027</v>
      </c>
      <c r="AJ83" s="2487">
        <f t="shared" si="31"/>
        <v>-1967.5403600305935</v>
      </c>
      <c r="AK83" s="2487">
        <f t="shared" si="31"/>
        <v>89408.671805069913</v>
      </c>
    </row>
    <row r="84" spans="9:37">
      <c r="I84" s="2494">
        <v>46934</v>
      </c>
      <c r="J84" s="2488">
        <f>-'G-3.04,5.01 PF AMI'!AE125</f>
        <v>-315594.16877950181</v>
      </c>
      <c r="K84" s="2488">
        <f t="shared" si="27"/>
        <v>19566838.464329053</v>
      </c>
      <c r="L84" s="2488">
        <f t="shared" si="32"/>
        <v>21460403.477006074</v>
      </c>
      <c r="M84" s="2488">
        <f t="shared" si="25"/>
        <v>-4109036.077509101</v>
      </c>
      <c r="N84" s="2488">
        <f t="shared" si="33"/>
        <v>-4506684.7301712753</v>
      </c>
      <c r="P84" s="2494">
        <v>46934</v>
      </c>
      <c r="Q84" s="2488">
        <f>-'G-3.04,5.01 PF AMI'!AK125</f>
        <v>-89408.671805069913</v>
      </c>
      <c r="R84" s="2488">
        <f t="shared" si="28"/>
        <v>5543337.6519143041</v>
      </c>
      <c r="S84" s="2488">
        <f t="shared" si="34"/>
        <v>6079789.6827447219</v>
      </c>
      <c r="T84" s="2488">
        <f t="shared" si="26"/>
        <v>-1164100.9069020038</v>
      </c>
      <c r="U84" s="2488">
        <f t="shared" si="35"/>
        <v>-1276755.8333763916</v>
      </c>
      <c r="Y84" s="477">
        <v>77</v>
      </c>
      <c r="Z84" s="477">
        <v>202501</v>
      </c>
      <c r="AA84" s="2487">
        <f t="shared" si="29"/>
        <v>141673.76797421335</v>
      </c>
      <c r="AB84" s="2487">
        <f t="shared" si="29"/>
        <v>9212.1931736232491</v>
      </c>
      <c r="AC84" s="2487">
        <f t="shared" si="29"/>
        <v>180859.29027261797</v>
      </c>
      <c r="AD84" s="2487">
        <f t="shared" si="29"/>
        <v>-16151.082640952791</v>
      </c>
      <c r="AE84" s="2487">
        <f t="shared" si="30"/>
        <v>315594.16877950181</v>
      </c>
      <c r="AF84" s="2487"/>
      <c r="AG84" s="2487">
        <f t="shared" si="31"/>
        <v>28472.18673513988</v>
      </c>
      <c r="AH84" s="2487">
        <f t="shared" si="31"/>
        <v>3233.4334850305936</v>
      </c>
      <c r="AI84" s="2487">
        <f t="shared" si="31"/>
        <v>59670.591944930027</v>
      </c>
      <c r="AJ84" s="2487">
        <f t="shared" si="31"/>
        <v>-1967.5403600305935</v>
      </c>
      <c r="AK84" s="2487">
        <f t="shared" si="31"/>
        <v>89408.671805069913</v>
      </c>
    </row>
    <row r="85" spans="9:37">
      <c r="I85" s="2494">
        <v>46965</v>
      </c>
      <c r="J85" s="2488">
        <f>-'G-3.04,5.01 PF AMI'!AE126</f>
        <v>-315594.16877950181</v>
      </c>
      <c r="K85" s="2488">
        <f t="shared" si="27"/>
        <v>19251244.295549549</v>
      </c>
      <c r="L85" s="2488">
        <f t="shared" si="32"/>
        <v>21144809.30822657</v>
      </c>
      <c r="M85" s="2488">
        <f t="shared" si="25"/>
        <v>-4042761.3020654051</v>
      </c>
      <c r="N85" s="2488">
        <f t="shared" si="33"/>
        <v>-4440409.9547275798</v>
      </c>
      <c r="P85" s="2494">
        <v>46965</v>
      </c>
      <c r="Q85" s="2488">
        <f>-'G-3.04,5.01 PF AMI'!AK126</f>
        <v>-89408.671805069913</v>
      </c>
      <c r="R85" s="2488">
        <f t="shared" si="28"/>
        <v>5453928.9801092343</v>
      </c>
      <c r="S85" s="2488">
        <f t="shared" si="34"/>
        <v>5990381.010939653</v>
      </c>
      <c r="T85" s="2488">
        <f t="shared" si="26"/>
        <v>-1145325.0858229392</v>
      </c>
      <c r="U85" s="2488">
        <f t="shared" si="35"/>
        <v>-1257980.0122973272</v>
      </c>
      <c r="Y85" s="477">
        <v>78</v>
      </c>
      <c r="Z85" s="477">
        <v>202502</v>
      </c>
      <c r="AA85" s="2487">
        <f t="shared" si="29"/>
        <v>141673.76797421335</v>
      </c>
      <c r="AB85" s="2487">
        <f t="shared" si="29"/>
        <v>9212.1931736232491</v>
      </c>
      <c r="AC85" s="2487">
        <f t="shared" si="29"/>
        <v>180859.29027261797</v>
      </c>
      <c r="AD85" s="2487">
        <f t="shared" si="29"/>
        <v>-16151.082640952791</v>
      </c>
      <c r="AE85" s="2487">
        <f t="shared" si="30"/>
        <v>315594.16877950181</v>
      </c>
      <c r="AF85" s="2487"/>
      <c r="AG85" s="2487">
        <f t="shared" si="31"/>
        <v>28472.18673513988</v>
      </c>
      <c r="AH85" s="2487">
        <f t="shared" si="31"/>
        <v>3233.4334850305936</v>
      </c>
      <c r="AI85" s="2487">
        <f t="shared" si="31"/>
        <v>59670.591944930027</v>
      </c>
      <c r="AJ85" s="2487">
        <f t="shared" si="31"/>
        <v>-1967.5403600305935</v>
      </c>
      <c r="AK85" s="2487">
        <f t="shared" si="31"/>
        <v>89408.671805069913</v>
      </c>
    </row>
    <row r="86" spans="9:37">
      <c r="I86" s="2494">
        <v>46996</v>
      </c>
      <c r="J86" s="2488">
        <f>-'G-3.04,5.01 PF AMI'!AE127</f>
        <v>-315594.16877950181</v>
      </c>
      <c r="K86" s="2488">
        <f t="shared" si="27"/>
        <v>18935650.126770046</v>
      </c>
      <c r="L86" s="2488">
        <f t="shared" si="32"/>
        <v>20829215.139447067</v>
      </c>
      <c r="M86" s="2488">
        <f t="shared" si="25"/>
        <v>-3976486.5266217096</v>
      </c>
      <c r="N86" s="2488">
        <f t="shared" si="33"/>
        <v>-4374135.1792838825</v>
      </c>
      <c r="P86" s="2494">
        <v>46996</v>
      </c>
      <c r="Q86" s="2488">
        <f>-'G-3.04,5.01 PF AMI'!AK127</f>
        <v>-89408.671805069913</v>
      </c>
      <c r="R86" s="2488">
        <f t="shared" si="28"/>
        <v>5364520.3083041646</v>
      </c>
      <c r="S86" s="2488">
        <f t="shared" si="34"/>
        <v>5900972.3391345823</v>
      </c>
      <c r="T86" s="2488">
        <f t="shared" si="26"/>
        <v>-1126549.2647438745</v>
      </c>
      <c r="U86" s="2488">
        <f t="shared" si="35"/>
        <v>-1239204.1912182625</v>
      </c>
      <c r="Y86" s="477">
        <v>79</v>
      </c>
      <c r="Z86" s="477">
        <v>202503</v>
      </c>
      <c r="AA86" s="2487">
        <f t="shared" si="29"/>
        <v>141673.76797421335</v>
      </c>
      <c r="AB86" s="2487">
        <f t="shared" si="29"/>
        <v>9212.1931736232491</v>
      </c>
      <c r="AC86" s="2487">
        <f t="shared" si="29"/>
        <v>180859.29027261797</v>
      </c>
      <c r="AD86" s="2487">
        <f t="shared" si="29"/>
        <v>-16151.082640952791</v>
      </c>
      <c r="AE86" s="2487">
        <f t="shared" si="30"/>
        <v>315594.16877950181</v>
      </c>
      <c r="AF86" s="2487"/>
      <c r="AG86" s="2487">
        <f t="shared" si="31"/>
        <v>28472.18673513988</v>
      </c>
      <c r="AH86" s="2487">
        <f t="shared" si="31"/>
        <v>3233.4334850305936</v>
      </c>
      <c r="AI86" s="2487">
        <f t="shared" si="31"/>
        <v>59670.591944930027</v>
      </c>
      <c r="AJ86" s="2487">
        <f t="shared" si="31"/>
        <v>-1967.5403600305935</v>
      </c>
      <c r="AK86" s="2487">
        <f t="shared" si="31"/>
        <v>89408.671805069913</v>
      </c>
    </row>
    <row r="87" spans="9:37">
      <c r="I87" s="2494">
        <v>47026</v>
      </c>
      <c r="J87" s="2488">
        <f>-'G-3.04,5.01 PF AMI'!AE128</f>
        <v>-315594.16877950181</v>
      </c>
      <c r="K87" s="2488">
        <f t="shared" si="27"/>
        <v>18620055.957990542</v>
      </c>
      <c r="L87" s="2488">
        <f t="shared" si="32"/>
        <v>20513620.970667563</v>
      </c>
      <c r="M87" s="2488">
        <f t="shared" si="25"/>
        <v>-3910211.7511780136</v>
      </c>
      <c r="N87" s="2488">
        <f t="shared" si="33"/>
        <v>-4307860.403840187</v>
      </c>
      <c r="P87" s="2494">
        <v>47026</v>
      </c>
      <c r="Q87" s="2488">
        <f>-'G-3.04,5.01 PF AMI'!AK128</f>
        <v>-89408.671805069913</v>
      </c>
      <c r="R87" s="2488">
        <f t="shared" si="28"/>
        <v>5275111.6364990948</v>
      </c>
      <c r="S87" s="2488">
        <f t="shared" si="34"/>
        <v>5811563.6673295135</v>
      </c>
      <c r="T87" s="2488">
        <f t="shared" si="26"/>
        <v>-1107773.4436648099</v>
      </c>
      <c r="U87" s="2488">
        <f t="shared" si="35"/>
        <v>-1220428.3701391977</v>
      </c>
      <c r="Y87" s="477">
        <v>80</v>
      </c>
      <c r="Z87" s="477">
        <v>202504</v>
      </c>
      <c r="AA87" s="2487">
        <f t="shared" si="29"/>
        <v>141673.76797421335</v>
      </c>
      <c r="AB87" s="2487">
        <f t="shared" si="29"/>
        <v>9212.1931736232491</v>
      </c>
      <c r="AC87" s="2487">
        <f t="shared" si="29"/>
        <v>180859.29027261797</v>
      </c>
      <c r="AD87" s="2487">
        <f t="shared" si="29"/>
        <v>-16151.082640952791</v>
      </c>
      <c r="AE87" s="2487">
        <f t="shared" si="30"/>
        <v>315594.16877950181</v>
      </c>
      <c r="AF87" s="2487"/>
      <c r="AG87" s="2487">
        <f t="shared" si="31"/>
        <v>28472.18673513988</v>
      </c>
      <c r="AH87" s="2487">
        <f t="shared" si="31"/>
        <v>3233.4334850305936</v>
      </c>
      <c r="AI87" s="2487">
        <f t="shared" si="31"/>
        <v>59670.591944930027</v>
      </c>
      <c r="AJ87" s="2487">
        <f t="shared" si="31"/>
        <v>-1967.5403600305935</v>
      </c>
      <c r="AK87" s="2487">
        <f t="shared" si="31"/>
        <v>89408.671805069913</v>
      </c>
    </row>
    <row r="88" spans="9:37">
      <c r="I88" s="2494">
        <v>47057</v>
      </c>
      <c r="J88" s="2488">
        <f>-'G-3.04,5.01 PF AMI'!AE129</f>
        <v>-315594.16877950181</v>
      </c>
      <c r="K88" s="2488">
        <f t="shared" si="27"/>
        <v>18304461.789211039</v>
      </c>
      <c r="L88" s="2488">
        <f t="shared" si="32"/>
        <v>20198026.80188806</v>
      </c>
      <c r="M88" s="2488">
        <f t="shared" si="25"/>
        <v>-3843936.9757343181</v>
      </c>
      <c r="N88" s="2488">
        <f t="shared" si="33"/>
        <v>-4241585.6283964915</v>
      </c>
      <c r="P88" s="2494">
        <v>47057</v>
      </c>
      <c r="Q88" s="2488">
        <f>-'G-3.04,5.01 PF AMI'!AK129</f>
        <v>-89408.671805069913</v>
      </c>
      <c r="R88" s="2488">
        <f t="shared" si="28"/>
        <v>5185702.964694025</v>
      </c>
      <c r="S88" s="2488">
        <f t="shared" si="34"/>
        <v>5722154.9955244437</v>
      </c>
      <c r="T88" s="2488">
        <f t="shared" si="26"/>
        <v>-1088997.6225857453</v>
      </c>
      <c r="U88" s="2488">
        <f t="shared" si="35"/>
        <v>-1201652.5490601331</v>
      </c>
      <c r="Y88" s="477">
        <v>81</v>
      </c>
      <c r="Z88" s="477">
        <v>202505</v>
      </c>
      <c r="AA88" s="2487">
        <f t="shared" si="29"/>
        <v>141673.76797421335</v>
      </c>
      <c r="AB88" s="2487">
        <f t="shared" si="29"/>
        <v>9212.1931736232491</v>
      </c>
      <c r="AC88" s="2487">
        <f t="shared" si="29"/>
        <v>180859.29027261797</v>
      </c>
      <c r="AD88" s="2487">
        <f t="shared" si="29"/>
        <v>-16151.082640952791</v>
      </c>
      <c r="AE88" s="2487">
        <f t="shared" si="30"/>
        <v>315594.16877950181</v>
      </c>
      <c r="AF88" s="2487"/>
      <c r="AG88" s="2487">
        <f t="shared" si="31"/>
        <v>28472.18673513988</v>
      </c>
      <c r="AH88" s="2487">
        <f t="shared" si="31"/>
        <v>3233.4334850305936</v>
      </c>
      <c r="AI88" s="2487">
        <f t="shared" si="31"/>
        <v>59670.591944930027</v>
      </c>
      <c r="AJ88" s="2487">
        <f t="shared" si="31"/>
        <v>-1967.5403600305935</v>
      </c>
      <c r="AK88" s="2487">
        <f t="shared" si="31"/>
        <v>89408.671805069913</v>
      </c>
    </row>
    <row r="89" spans="9:37">
      <c r="I89" s="2494">
        <v>47087</v>
      </c>
      <c r="J89" s="2488">
        <f>-'G-3.04,5.01 PF AMI'!AE130</f>
        <v>-315594.16877950181</v>
      </c>
      <c r="K89" s="2488">
        <f t="shared" si="27"/>
        <v>17988867.620431535</v>
      </c>
      <c r="L89" s="2488">
        <f t="shared" si="32"/>
        <v>19882432.633108556</v>
      </c>
      <c r="M89" s="2488">
        <f t="shared" si="25"/>
        <v>-3777662.2002906222</v>
      </c>
      <c r="N89" s="2488">
        <f t="shared" si="33"/>
        <v>-4175310.8529527956</v>
      </c>
      <c r="P89" s="2494">
        <v>47087</v>
      </c>
      <c r="Q89" s="2488">
        <f>-'G-3.04,5.01 PF AMI'!AK130</f>
        <v>-89408.671805069913</v>
      </c>
      <c r="R89" s="2488">
        <f t="shared" si="28"/>
        <v>5096294.2928889552</v>
      </c>
      <c r="S89" s="2488">
        <f t="shared" si="34"/>
        <v>5632746.3237193739</v>
      </c>
      <c r="T89" s="2488">
        <f t="shared" si="26"/>
        <v>-1070221.8015066807</v>
      </c>
      <c r="U89" s="2488">
        <f t="shared" si="35"/>
        <v>-1182876.7279810684</v>
      </c>
      <c r="Y89" s="477">
        <v>82</v>
      </c>
      <c r="Z89" s="477">
        <v>202506</v>
      </c>
      <c r="AA89" s="2487">
        <f t="shared" si="29"/>
        <v>141673.76797421335</v>
      </c>
      <c r="AB89" s="2487">
        <f t="shared" si="29"/>
        <v>9212.1931736232491</v>
      </c>
      <c r="AC89" s="2487">
        <f t="shared" si="29"/>
        <v>180859.29027261797</v>
      </c>
      <c r="AD89" s="2487">
        <f t="shared" si="29"/>
        <v>-16151.082640952791</v>
      </c>
      <c r="AE89" s="2487">
        <f t="shared" si="30"/>
        <v>315594.16877950181</v>
      </c>
      <c r="AF89" s="2487"/>
      <c r="AG89" s="2487">
        <f t="shared" si="31"/>
        <v>28472.18673513988</v>
      </c>
      <c r="AH89" s="2487">
        <f t="shared" si="31"/>
        <v>3233.4334850305936</v>
      </c>
      <c r="AI89" s="2487">
        <f t="shared" si="31"/>
        <v>59670.591944930027</v>
      </c>
      <c r="AJ89" s="2487">
        <f t="shared" si="31"/>
        <v>-1967.5403600305935</v>
      </c>
      <c r="AK89" s="2487">
        <f t="shared" si="31"/>
        <v>89408.671805069913</v>
      </c>
    </row>
    <row r="90" spans="9:37">
      <c r="I90" s="2494">
        <v>47118</v>
      </c>
      <c r="J90" s="2488">
        <f>-'G-3.04,5.01 PF AMI'!AE131</f>
        <v>-315594.16877950181</v>
      </c>
      <c r="K90" s="2488">
        <f t="shared" si="27"/>
        <v>17673273.451652031</v>
      </c>
      <c r="L90" s="2488">
        <f t="shared" si="32"/>
        <v>19566838.464329053</v>
      </c>
      <c r="M90" s="2488">
        <f t="shared" si="25"/>
        <v>-3711387.4248469262</v>
      </c>
      <c r="N90" s="2488">
        <f t="shared" si="33"/>
        <v>-4109036.0775091001</v>
      </c>
      <c r="P90" s="2494">
        <v>47118</v>
      </c>
      <c r="Q90" s="2488">
        <f>-'G-3.04,5.01 PF AMI'!AK131</f>
        <v>-89408.671805069913</v>
      </c>
      <c r="R90" s="2488">
        <f t="shared" si="28"/>
        <v>5006885.6210838854</v>
      </c>
      <c r="S90" s="2488">
        <f t="shared" si="34"/>
        <v>5543337.6519143032</v>
      </c>
      <c r="T90" s="2488">
        <f t="shared" si="26"/>
        <v>-1051445.9804276158</v>
      </c>
      <c r="U90" s="2488">
        <f t="shared" si="35"/>
        <v>-1164100.9069020038</v>
      </c>
      <c r="Y90" s="477">
        <v>83</v>
      </c>
      <c r="Z90" s="477">
        <v>202507</v>
      </c>
      <c r="AA90" s="2487">
        <f t="shared" si="29"/>
        <v>141673.76797421335</v>
      </c>
      <c r="AB90" s="2487">
        <f t="shared" si="29"/>
        <v>9212.1931736232491</v>
      </c>
      <c r="AC90" s="2487">
        <f t="shared" si="29"/>
        <v>180859.29027261797</v>
      </c>
      <c r="AD90" s="2487">
        <f t="shared" si="29"/>
        <v>-16151.082640952791</v>
      </c>
      <c r="AE90" s="2487">
        <f t="shared" si="30"/>
        <v>315594.16877950181</v>
      </c>
      <c r="AF90" s="2487"/>
      <c r="AG90" s="2487">
        <f t="shared" si="31"/>
        <v>28472.18673513988</v>
      </c>
      <c r="AH90" s="2487">
        <f t="shared" si="31"/>
        <v>3233.4334850305936</v>
      </c>
      <c r="AI90" s="2487">
        <f t="shared" si="31"/>
        <v>59670.591944930027</v>
      </c>
      <c r="AJ90" s="2487">
        <f t="shared" si="31"/>
        <v>-1967.5403600305935</v>
      </c>
      <c r="AK90" s="2487">
        <f t="shared" si="31"/>
        <v>89408.671805069913</v>
      </c>
    </row>
    <row r="91" spans="9:37">
      <c r="I91" s="2494">
        <v>47149</v>
      </c>
      <c r="J91" s="2488">
        <f>-'G-3.04,5.01 PF AMI'!AE132</f>
        <v>-315594.16877950181</v>
      </c>
      <c r="K91" s="2488">
        <f t="shared" si="27"/>
        <v>17357679.282872528</v>
      </c>
      <c r="L91" s="2488">
        <f t="shared" si="32"/>
        <v>19251244.295549549</v>
      </c>
      <c r="M91" s="2488">
        <f t="shared" si="25"/>
        <v>-3645112.6494032308</v>
      </c>
      <c r="N91" s="2488">
        <f t="shared" si="33"/>
        <v>-4042761.3020654046</v>
      </c>
      <c r="P91" s="2494">
        <v>47149</v>
      </c>
      <c r="Q91" s="2488">
        <f>-'G-3.04,5.01 PF AMI'!AK132</f>
        <v>-89408.671805069913</v>
      </c>
      <c r="R91" s="2488">
        <f t="shared" si="28"/>
        <v>4917476.9492788156</v>
      </c>
      <c r="S91" s="2488">
        <f t="shared" si="34"/>
        <v>5453928.9801092343</v>
      </c>
      <c r="T91" s="2488">
        <f t="shared" si="26"/>
        <v>-1032670.1593485513</v>
      </c>
      <c r="U91" s="2488">
        <f t="shared" si="35"/>
        <v>-1145325.0858229392</v>
      </c>
      <c r="Y91" s="477">
        <v>84</v>
      </c>
      <c r="Z91" s="477">
        <v>202508</v>
      </c>
      <c r="AA91" s="2487">
        <f t="shared" si="29"/>
        <v>141673.76797421335</v>
      </c>
      <c r="AB91" s="2487">
        <f t="shared" si="29"/>
        <v>9212.1931736232491</v>
      </c>
      <c r="AC91" s="2487">
        <f t="shared" si="29"/>
        <v>180859.29027261797</v>
      </c>
      <c r="AD91" s="2487">
        <f t="shared" si="29"/>
        <v>-16151.082640952791</v>
      </c>
      <c r="AE91" s="2487">
        <f t="shared" si="30"/>
        <v>315594.16877950181</v>
      </c>
      <c r="AF91" s="2487"/>
      <c r="AG91" s="2487">
        <f t="shared" si="31"/>
        <v>28472.18673513988</v>
      </c>
      <c r="AH91" s="2487">
        <f t="shared" si="31"/>
        <v>3233.4334850305936</v>
      </c>
      <c r="AI91" s="2487">
        <f t="shared" si="31"/>
        <v>59670.591944930027</v>
      </c>
      <c r="AJ91" s="2487">
        <f t="shared" si="31"/>
        <v>-1967.5403600305935</v>
      </c>
      <c r="AK91" s="2487">
        <f t="shared" si="31"/>
        <v>89408.671805069913</v>
      </c>
    </row>
    <row r="92" spans="9:37">
      <c r="I92" s="2494">
        <v>47177</v>
      </c>
      <c r="J92" s="2488">
        <f>-'G-3.04,5.01 PF AMI'!AE133</f>
        <v>-315594.16877950181</v>
      </c>
      <c r="K92" s="2488">
        <f t="shared" si="27"/>
        <v>17042085.114093024</v>
      </c>
      <c r="L92" s="2488">
        <f t="shared" si="32"/>
        <v>18935650.126770046</v>
      </c>
      <c r="M92" s="2488">
        <f t="shared" si="25"/>
        <v>-3578837.8739595348</v>
      </c>
      <c r="N92" s="2488">
        <f t="shared" si="33"/>
        <v>-3976486.5266217091</v>
      </c>
      <c r="P92" s="2494">
        <v>47177</v>
      </c>
      <c r="Q92" s="2488">
        <f>-'G-3.04,5.01 PF AMI'!AK133</f>
        <v>-89408.671805069913</v>
      </c>
      <c r="R92" s="2488">
        <f t="shared" si="28"/>
        <v>4828068.2774737459</v>
      </c>
      <c r="S92" s="2488">
        <f t="shared" si="34"/>
        <v>5364520.3083041636</v>
      </c>
      <c r="T92" s="2488">
        <f t="shared" si="26"/>
        <v>-1013894.3382694866</v>
      </c>
      <c r="U92" s="2488">
        <f t="shared" si="35"/>
        <v>-1126549.2647438745</v>
      </c>
      <c r="Y92" s="477">
        <v>85</v>
      </c>
      <c r="Z92" s="477">
        <v>202509</v>
      </c>
      <c r="AA92" s="2487">
        <f t="shared" si="29"/>
        <v>141673.76797421335</v>
      </c>
      <c r="AB92" s="2487">
        <f t="shared" si="29"/>
        <v>9212.1931736232491</v>
      </c>
      <c r="AC92" s="2487">
        <f t="shared" si="29"/>
        <v>180859.29027261797</v>
      </c>
      <c r="AD92" s="2487">
        <f t="shared" si="29"/>
        <v>-16151.082640952791</v>
      </c>
      <c r="AE92" s="2487">
        <f t="shared" si="30"/>
        <v>315594.16877950181</v>
      </c>
      <c r="AF92" s="2487"/>
      <c r="AG92" s="2487">
        <f t="shared" si="31"/>
        <v>28472.18673513988</v>
      </c>
      <c r="AH92" s="2487">
        <f t="shared" si="31"/>
        <v>3233.4334850305936</v>
      </c>
      <c r="AI92" s="2487">
        <f t="shared" si="31"/>
        <v>59670.591944930027</v>
      </c>
      <c r="AJ92" s="2487">
        <f t="shared" si="31"/>
        <v>-1967.5403600305935</v>
      </c>
      <c r="AK92" s="2487">
        <f t="shared" si="31"/>
        <v>89408.671805069913</v>
      </c>
    </row>
    <row r="93" spans="9:37">
      <c r="I93" s="2494">
        <v>47208</v>
      </c>
      <c r="J93" s="2488">
        <f>-'G-3.04,5.01 PF AMI'!AE134</f>
        <v>-315594.16877950181</v>
      </c>
      <c r="K93" s="2488">
        <f t="shared" si="27"/>
        <v>16726490.945313523</v>
      </c>
      <c r="L93" s="2488">
        <f t="shared" si="32"/>
        <v>18620055.957990546</v>
      </c>
      <c r="M93" s="2488">
        <f t="shared" si="25"/>
        <v>-3512563.0985158398</v>
      </c>
      <c r="N93" s="2488">
        <f t="shared" si="33"/>
        <v>-3910211.7511780136</v>
      </c>
      <c r="P93" s="2494">
        <v>47208</v>
      </c>
      <c r="Q93" s="2488">
        <f>-'G-3.04,5.01 PF AMI'!AK134</f>
        <v>-89408.671805069913</v>
      </c>
      <c r="R93" s="2488">
        <f t="shared" si="28"/>
        <v>4738659.6056686761</v>
      </c>
      <c r="S93" s="2488">
        <f t="shared" si="34"/>
        <v>5275111.6364990948</v>
      </c>
      <c r="T93" s="2488">
        <f t="shared" si="26"/>
        <v>-995118.51719042193</v>
      </c>
      <c r="U93" s="2488">
        <f t="shared" si="35"/>
        <v>-1107773.4436648099</v>
      </c>
      <c r="Y93" s="477">
        <v>86</v>
      </c>
      <c r="Z93" s="477">
        <v>202510</v>
      </c>
      <c r="AA93" s="2487">
        <f t="shared" ref="AA93:AD108" si="36">AA92</f>
        <v>141673.76797421335</v>
      </c>
      <c r="AB93" s="2487">
        <f t="shared" si="36"/>
        <v>9212.1931736232491</v>
      </c>
      <c r="AC93" s="2487">
        <f t="shared" si="36"/>
        <v>180859.29027261797</v>
      </c>
      <c r="AD93" s="2487">
        <f t="shared" si="36"/>
        <v>-16151.082640952791</v>
      </c>
      <c r="AE93" s="2487">
        <f t="shared" si="30"/>
        <v>315594.16877950181</v>
      </c>
      <c r="AF93" s="2487"/>
      <c r="AG93" s="2487">
        <f t="shared" ref="AG93:AK108" si="37">AG92</f>
        <v>28472.18673513988</v>
      </c>
      <c r="AH93" s="2487">
        <f t="shared" si="37"/>
        <v>3233.4334850305936</v>
      </c>
      <c r="AI93" s="2487">
        <f t="shared" si="37"/>
        <v>59670.591944930027</v>
      </c>
      <c r="AJ93" s="2487">
        <f t="shared" si="37"/>
        <v>-1967.5403600305935</v>
      </c>
      <c r="AK93" s="2487">
        <f t="shared" si="37"/>
        <v>89408.671805069913</v>
      </c>
    </row>
    <row r="94" spans="9:37">
      <c r="I94" s="2494">
        <v>47238</v>
      </c>
      <c r="J94" s="2488">
        <f>-'G-3.04,5.01 PF AMI'!AE135</f>
        <v>-315594.16877950181</v>
      </c>
      <c r="K94" s="2488">
        <f t="shared" si="27"/>
        <v>16410896.776534021</v>
      </c>
      <c r="L94" s="2488">
        <f t="shared" si="32"/>
        <v>18304461.789211039</v>
      </c>
      <c r="M94" s="2488">
        <f t="shared" si="25"/>
        <v>-3446288.3230721443</v>
      </c>
      <c r="N94" s="2488">
        <f t="shared" si="33"/>
        <v>-3843936.9757343177</v>
      </c>
      <c r="P94" s="2494">
        <v>47238</v>
      </c>
      <c r="Q94" s="2488">
        <f>-'G-3.04,5.01 PF AMI'!AK135</f>
        <v>-89408.671805069913</v>
      </c>
      <c r="R94" s="2488">
        <f t="shared" si="28"/>
        <v>4649250.9338636063</v>
      </c>
      <c r="S94" s="2488">
        <f t="shared" si="34"/>
        <v>5185702.9646940259</v>
      </c>
      <c r="T94" s="2488">
        <f t="shared" si="26"/>
        <v>-976342.69611135731</v>
      </c>
      <c r="U94" s="2488">
        <f t="shared" si="35"/>
        <v>-1088997.6225857453</v>
      </c>
      <c r="Y94" s="477">
        <v>87</v>
      </c>
      <c r="Z94" s="477">
        <v>202511</v>
      </c>
      <c r="AA94" s="2487">
        <f t="shared" si="36"/>
        <v>141673.76797421335</v>
      </c>
      <c r="AB94" s="2487">
        <f t="shared" si="36"/>
        <v>9212.1931736232491</v>
      </c>
      <c r="AC94" s="2487">
        <f t="shared" si="36"/>
        <v>180859.29027261797</v>
      </c>
      <c r="AD94" s="2487">
        <f t="shared" si="36"/>
        <v>-16151.082640952791</v>
      </c>
      <c r="AE94" s="2487">
        <f t="shared" si="30"/>
        <v>315594.16877950181</v>
      </c>
      <c r="AF94" s="2487"/>
      <c r="AG94" s="2487">
        <f t="shared" si="37"/>
        <v>28472.18673513988</v>
      </c>
      <c r="AH94" s="2487">
        <f t="shared" si="37"/>
        <v>3233.4334850305936</v>
      </c>
      <c r="AI94" s="2487">
        <f t="shared" si="37"/>
        <v>59670.591944930027</v>
      </c>
      <c r="AJ94" s="2487">
        <f t="shared" si="37"/>
        <v>-1967.5403600305935</v>
      </c>
      <c r="AK94" s="2487">
        <f t="shared" si="37"/>
        <v>89408.671805069913</v>
      </c>
    </row>
    <row r="95" spans="9:37">
      <c r="I95" s="2494">
        <v>47269</v>
      </c>
      <c r="J95" s="2488">
        <f>-'G-3.04,5.01 PF AMI'!AE136</f>
        <v>-315594.16877950181</v>
      </c>
      <c r="K95" s="2488">
        <f t="shared" si="27"/>
        <v>16095302.607754519</v>
      </c>
      <c r="L95" s="2488">
        <f t="shared" si="32"/>
        <v>17988867.620431535</v>
      </c>
      <c r="M95" s="2488">
        <f t="shared" si="25"/>
        <v>-3380013.5476284488</v>
      </c>
      <c r="N95" s="2488">
        <f t="shared" si="33"/>
        <v>-3777662.2002906222</v>
      </c>
      <c r="P95" s="2494">
        <v>47269</v>
      </c>
      <c r="Q95" s="2488">
        <f>-'G-3.04,5.01 PF AMI'!AK136</f>
        <v>-89408.671805069913</v>
      </c>
      <c r="R95" s="2488">
        <f t="shared" si="28"/>
        <v>4559842.2620585365</v>
      </c>
      <c r="S95" s="2488">
        <f t="shared" si="34"/>
        <v>5096294.2928889552</v>
      </c>
      <c r="T95" s="2488">
        <f t="shared" si="26"/>
        <v>-957566.87503229268</v>
      </c>
      <c r="U95" s="2488">
        <f t="shared" si="35"/>
        <v>-1070221.8015066807</v>
      </c>
      <c r="Y95" s="477">
        <v>88</v>
      </c>
      <c r="Z95" s="477">
        <v>202512</v>
      </c>
      <c r="AA95" s="2487">
        <f t="shared" si="36"/>
        <v>141673.76797421335</v>
      </c>
      <c r="AB95" s="2487">
        <f t="shared" si="36"/>
        <v>9212.1931736232491</v>
      </c>
      <c r="AC95" s="2487">
        <f t="shared" si="36"/>
        <v>180859.29027261797</v>
      </c>
      <c r="AD95" s="2487">
        <f t="shared" si="36"/>
        <v>-16151.082640952791</v>
      </c>
      <c r="AE95" s="2487">
        <f t="shared" si="30"/>
        <v>315594.16877950181</v>
      </c>
      <c r="AF95" s="2487"/>
      <c r="AG95" s="2487">
        <f t="shared" si="37"/>
        <v>28472.18673513988</v>
      </c>
      <c r="AH95" s="2487">
        <f t="shared" si="37"/>
        <v>3233.4334850305936</v>
      </c>
      <c r="AI95" s="2487">
        <f t="shared" si="37"/>
        <v>59670.591944930027</v>
      </c>
      <c r="AJ95" s="2487">
        <f t="shared" si="37"/>
        <v>-1967.5403600305935</v>
      </c>
      <c r="AK95" s="2487">
        <f t="shared" si="37"/>
        <v>89408.671805069913</v>
      </c>
    </row>
    <row r="96" spans="9:37">
      <c r="I96" s="2494">
        <v>47299</v>
      </c>
      <c r="J96" s="2488">
        <f>-'G-3.04,5.01 PF AMI'!AE137</f>
        <v>-315594.16877950181</v>
      </c>
      <c r="K96" s="2488">
        <f t="shared" si="27"/>
        <v>15779708.438975018</v>
      </c>
      <c r="L96" s="2488">
        <f t="shared" si="32"/>
        <v>17673273.451652031</v>
      </c>
      <c r="M96" s="2488">
        <f t="shared" si="25"/>
        <v>-3313738.7721847533</v>
      </c>
      <c r="N96" s="2488">
        <f t="shared" si="33"/>
        <v>-3711387.4248469262</v>
      </c>
      <c r="P96" s="2494">
        <v>47299</v>
      </c>
      <c r="Q96" s="2488">
        <f>-'G-3.04,5.01 PF AMI'!AK137</f>
        <v>-89408.671805069913</v>
      </c>
      <c r="R96" s="2488">
        <f t="shared" si="28"/>
        <v>4470433.5902534667</v>
      </c>
      <c r="S96" s="2488">
        <f t="shared" si="34"/>
        <v>5006885.6210838864</v>
      </c>
      <c r="T96" s="2488">
        <f t="shared" si="26"/>
        <v>-938791.05395322794</v>
      </c>
      <c r="U96" s="2488">
        <f t="shared" si="35"/>
        <v>-1051445.980427616</v>
      </c>
      <c r="Y96" s="477">
        <v>89</v>
      </c>
      <c r="Z96" s="477">
        <v>202601</v>
      </c>
      <c r="AA96" s="2487">
        <f t="shared" si="36"/>
        <v>141673.76797421335</v>
      </c>
      <c r="AB96" s="2487">
        <f t="shared" si="36"/>
        <v>9212.1931736232491</v>
      </c>
      <c r="AC96" s="2487">
        <f t="shared" si="36"/>
        <v>180859.29027261797</v>
      </c>
      <c r="AD96" s="2487">
        <f t="shared" si="36"/>
        <v>-16151.082640952791</v>
      </c>
      <c r="AE96" s="2487">
        <f t="shared" si="30"/>
        <v>315594.16877950181</v>
      </c>
      <c r="AF96" s="2487"/>
      <c r="AG96" s="2487">
        <f t="shared" si="37"/>
        <v>28472.18673513988</v>
      </c>
      <c r="AH96" s="2487">
        <f t="shared" si="37"/>
        <v>3233.4334850305936</v>
      </c>
      <c r="AI96" s="2487">
        <f t="shared" si="37"/>
        <v>59670.591944930027</v>
      </c>
      <c r="AJ96" s="2487">
        <f t="shared" si="37"/>
        <v>-1967.5403600305935</v>
      </c>
      <c r="AK96" s="2487">
        <f t="shared" si="37"/>
        <v>89408.671805069913</v>
      </c>
    </row>
    <row r="97" spans="9:37">
      <c r="I97" s="2494">
        <v>47330</v>
      </c>
      <c r="J97" s="2488">
        <f>-'G-3.04,5.01 PF AMI'!AE138</f>
        <v>-315594.16877950181</v>
      </c>
      <c r="K97" s="2488">
        <f t="shared" si="27"/>
        <v>15464114.270195516</v>
      </c>
      <c r="L97" s="2488">
        <f t="shared" si="32"/>
        <v>17357679.282872528</v>
      </c>
      <c r="M97" s="2488">
        <f t="shared" si="25"/>
        <v>-3247463.9967410583</v>
      </c>
      <c r="N97" s="2488">
        <f t="shared" si="33"/>
        <v>-3645112.6494032308</v>
      </c>
      <c r="P97" s="2494">
        <v>47330</v>
      </c>
      <c r="Q97" s="2488">
        <f>-'G-3.04,5.01 PF AMI'!AK138</f>
        <v>-89408.671805069913</v>
      </c>
      <c r="R97" s="2488">
        <f t="shared" si="28"/>
        <v>4381024.918448397</v>
      </c>
      <c r="S97" s="2488">
        <f t="shared" si="34"/>
        <v>4917476.9492788156</v>
      </c>
      <c r="T97" s="2488">
        <f t="shared" si="26"/>
        <v>-920015.23287416331</v>
      </c>
      <c r="U97" s="2488">
        <f t="shared" si="35"/>
        <v>-1032670.1593485513</v>
      </c>
      <c r="Y97" s="477">
        <v>90</v>
      </c>
      <c r="Z97" s="477">
        <v>202602</v>
      </c>
      <c r="AA97" s="2487">
        <f t="shared" si="36"/>
        <v>141673.76797421335</v>
      </c>
      <c r="AB97" s="2487">
        <f t="shared" si="36"/>
        <v>9212.1931736232491</v>
      </c>
      <c r="AC97" s="2487">
        <f t="shared" si="36"/>
        <v>180859.29027261797</v>
      </c>
      <c r="AD97" s="2487">
        <f t="shared" si="36"/>
        <v>-16151.082640952791</v>
      </c>
      <c r="AE97" s="2487">
        <f t="shared" si="30"/>
        <v>315594.16877950181</v>
      </c>
      <c r="AF97" s="2487"/>
      <c r="AG97" s="2487">
        <f t="shared" si="37"/>
        <v>28472.18673513988</v>
      </c>
      <c r="AH97" s="2487">
        <f t="shared" si="37"/>
        <v>3233.4334850305936</v>
      </c>
      <c r="AI97" s="2487">
        <f t="shared" si="37"/>
        <v>59670.591944930027</v>
      </c>
      <c r="AJ97" s="2487">
        <f t="shared" si="37"/>
        <v>-1967.5403600305935</v>
      </c>
      <c r="AK97" s="2487">
        <f t="shared" si="37"/>
        <v>89408.671805069913</v>
      </c>
    </row>
    <row r="98" spans="9:37">
      <c r="I98" s="2494">
        <v>47361</v>
      </c>
      <c r="J98" s="2488">
        <f>-'G-3.04,5.01 PF AMI'!AE139</f>
        <v>-315594.16877950181</v>
      </c>
      <c r="K98" s="2488">
        <f t="shared" si="27"/>
        <v>15148520.101416014</v>
      </c>
      <c r="L98" s="2488">
        <f t="shared" si="32"/>
        <v>17042085.114093024</v>
      </c>
      <c r="M98" s="2488">
        <f t="shared" si="25"/>
        <v>-3181189.2212973628</v>
      </c>
      <c r="N98" s="2488">
        <f t="shared" si="33"/>
        <v>-3578837.8739595353</v>
      </c>
      <c r="P98" s="2494">
        <v>47361</v>
      </c>
      <c r="Q98" s="2488">
        <f>-'G-3.04,5.01 PF AMI'!AK139</f>
        <v>-89408.671805069913</v>
      </c>
      <c r="R98" s="2488">
        <f t="shared" si="28"/>
        <v>4291616.2466433272</v>
      </c>
      <c r="S98" s="2488">
        <f t="shared" si="34"/>
        <v>4828068.2774737459</v>
      </c>
      <c r="T98" s="2488">
        <f t="shared" si="26"/>
        <v>-901239.41179509868</v>
      </c>
      <c r="U98" s="2488">
        <f t="shared" si="35"/>
        <v>-1013894.3382694867</v>
      </c>
      <c r="Y98" s="477">
        <v>91</v>
      </c>
      <c r="Z98" s="477">
        <v>202603</v>
      </c>
      <c r="AA98" s="2487">
        <f t="shared" si="36"/>
        <v>141673.76797421335</v>
      </c>
      <c r="AB98" s="2487">
        <f t="shared" si="36"/>
        <v>9212.1931736232491</v>
      </c>
      <c r="AC98" s="2487">
        <f t="shared" si="36"/>
        <v>180859.29027261797</v>
      </c>
      <c r="AD98" s="2487">
        <f t="shared" si="36"/>
        <v>-16151.082640952791</v>
      </c>
      <c r="AE98" s="2487">
        <f t="shared" si="30"/>
        <v>315594.16877950181</v>
      </c>
      <c r="AF98" s="2487"/>
      <c r="AG98" s="2487">
        <f t="shared" si="37"/>
        <v>28472.18673513988</v>
      </c>
      <c r="AH98" s="2487">
        <f t="shared" si="37"/>
        <v>3233.4334850305936</v>
      </c>
      <c r="AI98" s="2487">
        <f t="shared" si="37"/>
        <v>59670.591944930027</v>
      </c>
      <c r="AJ98" s="2487">
        <f t="shared" si="37"/>
        <v>-1967.5403600305935</v>
      </c>
      <c r="AK98" s="2487">
        <f t="shared" si="37"/>
        <v>89408.671805069913</v>
      </c>
    </row>
    <row r="99" spans="9:37">
      <c r="I99" s="2494">
        <v>47391</v>
      </c>
      <c r="J99" s="2488">
        <f>-'G-3.04,5.01 PF AMI'!AE140</f>
        <v>-315594.16877950181</v>
      </c>
      <c r="K99" s="2488">
        <f t="shared" si="27"/>
        <v>14832925.932636512</v>
      </c>
      <c r="L99" s="2488">
        <f t="shared" si="32"/>
        <v>16726490.945313526</v>
      </c>
      <c r="M99" s="2488">
        <f t="shared" si="25"/>
        <v>-3114914.4458536673</v>
      </c>
      <c r="N99" s="2488">
        <f t="shared" si="33"/>
        <v>-3512563.0985158389</v>
      </c>
      <c r="P99" s="2494">
        <v>47391</v>
      </c>
      <c r="Q99" s="2488">
        <f>-'G-3.04,5.01 PF AMI'!AK140</f>
        <v>-89408.671805069913</v>
      </c>
      <c r="R99" s="2488">
        <f t="shared" si="28"/>
        <v>4202207.5748382574</v>
      </c>
      <c r="S99" s="2488">
        <f t="shared" si="34"/>
        <v>4738659.6056686761</v>
      </c>
      <c r="T99" s="2488">
        <f t="shared" si="26"/>
        <v>-882463.59071603406</v>
      </c>
      <c r="U99" s="2488">
        <f t="shared" si="35"/>
        <v>-995118.51719042193</v>
      </c>
      <c r="Y99" s="477">
        <v>92</v>
      </c>
      <c r="Z99" s="477">
        <v>202604</v>
      </c>
      <c r="AA99" s="2487">
        <f t="shared" si="36"/>
        <v>141673.76797421335</v>
      </c>
      <c r="AB99" s="2487">
        <f t="shared" si="36"/>
        <v>9212.1931736232491</v>
      </c>
      <c r="AC99" s="2487">
        <f t="shared" si="36"/>
        <v>180859.29027261797</v>
      </c>
      <c r="AD99" s="2487">
        <f t="shared" si="36"/>
        <v>-16151.082640952791</v>
      </c>
      <c r="AE99" s="2487">
        <f t="shared" si="30"/>
        <v>315594.16877950181</v>
      </c>
      <c r="AF99" s="2487"/>
      <c r="AG99" s="2487">
        <f t="shared" si="37"/>
        <v>28472.18673513988</v>
      </c>
      <c r="AH99" s="2487">
        <f t="shared" si="37"/>
        <v>3233.4334850305936</v>
      </c>
      <c r="AI99" s="2487">
        <f t="shared" si="37"/>
        <v>59670.591944930027</v>
      </c>
      <c r="AJ99" s="2487">
        <f t="shared" si="37"/>
        <v>-1967.5403600305935</v>
      </c>
      <c r="AK99" s="2487">
        <f t="shared" si="37"/>
        <v>89408.671805069913</v>
      </c>
    </row>
    <row r="100" spans="9:37">
      <c r="I100" s="2494">
        <v>47422</v>
      </c>
      <c r="J100" s="2488">
        <f>-'G-3.04,5.01 PF AMI'!AE141</f>
        <v>-315594.16877950181</v>
      </c>
      <c r="K100" s="2488">
        <f t="shared" si="27"/>
        <v>14517331.763857011</v>
      </c>
      <c r="L100" s="2488">
        <f t="shared" si="32"/>
        <v>16410896.776534021</v>
      </c>
      <c r="M100" s="2488">
        <f t="shared" si="25"/>
        <v>-3048639.6704099723</v>
      </c>
      <c r="N100" s="2488">
        <f t="shared" si="33"/>
        <v>-3446288.3230721434</v>
      </c>
      <c r="P100" s="2494">
        <v>47422</v>
      </c>
      <c r="Q100" s="2488">
        <f>-'G-3.04,5.01 PF AMI'!AK141</f>
        <v>-89408.671805069913</v>
      </c>
      <c r="R100" s="2488">
        <f t="shared" si="28"/>
        <v>4112798.9030331876</v>
      </c>
      <c r="S100" s="2488">
        <f t="shared" si="34"/>
        <v>4649250.9338636054</v>
      </c>
      <c r="T100" s="2488">
        <f t="shared" si="26"/>
        <v>-863687.76963696931</v>
      </c>
      <c r="U100" s="2488">
        <f t="shared" si="35"/>
        <v>-976342.69611135731</v>
      </c>
      <c r="Y100" s="477">
        <v>93</v>
      </c>
      <c r="Z100" s="477">
        <v>202605</v>
      </c>
      <c r="AA100" s="2487">
        <f t="shared" si="36"/>
        <v>141673.76797421335</v>
      </c>
      <c r="AB100" s="2487">
        <f t="shared" si="36"/>
        <v>9212.1931736232491</v>
      </c>
      <c r="AC100" s="2487">
        <f t="shared" si="36"/>
        <v>180859.29027261797</v>
      </c>
      <c r="AD100" s="2487">
        <f t="shared" si="36"/>
        <v>-16151.082640952791</v>
      </c>
      <c r="AE100" s="2487">
        <f t="shared" si="30"/>
        <v>315594.16877950181</v>
      </c>
      <c r="AF100" s="2487"/>
      <c r="AG100" s="2487">
        <f t="shared" si="37"/>
        <v>28472.18673513988</v>
      </c>
      <c r="AH100" s="2487">
        <f t="shared" si="37"/>
        <v>3233.4334850305936</v>
      </c>
      <c r="AI100" s="2487">
        <f t="shared" si="37"/>
        <v>59670.591944930027</v>
      </c>
      <c r="AJ100" s="2487">
        <f t="shared" si="37"/>
        <v>-1967.5403600305935</v>
      </c>
      <c r="AK100" s="2487">
        <f t="shared" si="37"/>
        <v>89408.671805069913</v>
      </c>
    </row>
    <row r="101" spans="9:37">
      <c r="I101" s="2494">
        <v>47452</v>
      </c>
      <c r="J101" s="2488">
        <f>-'G-3.04,5.01 PF AMI'!AE142</f>
        <v>-315594.16877950181</v>
      </c>
      <c r="K101" s="2488">
        <f t="shared" si="27"/>
        <v>14201737.595077509</v>
      </c>
      <c r="L101" s="2488">
        <f t="shared" si="32"/>
        <v>16095302.607754519</v>
      </c>
      <c r="M101" s="2488">
        <f t="shared" si="25"/>
        <v>-2982364.8949662768</v>
      </c>
      <c r="N101" s="2488">
        <f t="shared" si="33"/>
        <v>-3380013.5476284479</v>
      </c>
      <c r="P101" s="2494">
        <v>47452</v>
      </c>
      <c r="Q101" s="2488">
        <f>-'G-3.04,5.01 PF AMI'!AK142</f>
        <v>-89408.671805069913</v>
      </c>
      <c r="R101" s="2488">
        <f t="shared" si="28"/>
        <v>4023390.2312281178</v>
      </c>
      <c r="S101" s="2488">
        <f t="shared" si="34"/>
        <v>4559842.2620585365</v>
      </c>
      <c r="T101" s="2488">
        <f t="shared" si="26"/>
        <v>-844911.94855790469</v>
      </c>
      <c r="U101" s="2488">
        <f t="shared" si="35"/>
        <v>-957566.87503229268</v>
      </c>
      <c r="Y101" s="477">
        <v>94</v>
      </c>
      <c r="Z101" s="477">
        <v>202606</v>
      </c>
      <c r="AA101" s="2487">
        <f t="shared" si="36"/>
        <v>141673.76797421335</v>
      </c>
      <c r="AB101" s="2487">
        <f t="shared" si="36"/>
        <v>9212.1931736232491</v>
      </c>
      <c r="AC101" s="2487">
        <f t="shared" si="36"/>
        <v>180859.29027261797</v>
      </c>
      <c r="AD101" s="2487">
        <f t="shared" si="36"/>
        <v>-16151.082640952791</v>
      </c>
      <c r="AE101" s="2487">
        <f t="shared" si="30"/>
        <v>315594.16877950181</v>
      </c>
      <c r="AF101" s="2487"/>
      <c r="AG101" s="2487">
        <f t="shared" si="37"/>
        <v>28472.18673513988</v>
      </c>
      <c r="AH101" s="2487">
        <f t="shared" si="37"/>
        <v>3233.4334850305936</v>
      </c>
      <c r="AI101" s="2487">
        <f t="shared" si="37"/>
        <v>59670.591944930027</v>
      </c>
      <c r="AJ101" s="2487">
        <f t="shared" si="37"/>
        <v>-1967.5403600305935</v>
      </c>
      <c r="AK101" s="2487">
        <f t="shared" si="37"/>
        <v>89408.671805069913</v>
      </c>
    </row>
    <row r="102" spans="9:37">
      <c r="I102" s="2494">
        <v>47483</v>
      </c>
      <c r="J102" s="2488">
        <f>-'G-3.04,5.01 PF AMI'!AE143</f>
        <v>-315594.16877950181</v>
      </c>
      <c r="K102" s="2488">
        <f t="shared" si="27"/>
        <v>13886143.426298007</v>
      </c>
      <c r="L102" s="2488">
        <f t="shared" si="32"/>
        <v>15779708.438975016</v>
      </c>
      <c r="M102" s="2488">
        <f t="shared" si="25"/>
        <v>-2916090.1195225813</v>
      </c>
      <c r="N102" s="2488">
        <f t="shared" si="33"/>
        <v>-3313738.7721847524</v>
      </c>
      <c r="P102" s="2494">
        <v>47483</v>
      </c>
      <c r="Q102" s="2488">
        <f>-'G-3.04,5.01 PF AMI'!AK143</f>
        <v>-89408.671805069913</v>
      </c>
      <c r="R102" s="2488">
        <f t="shared" si="28"/>
        <v>3933981.559423048</v>
      </c>
      <c r="S102" s="2488">
        <f t="shared" si="34"/>
        <v>4470433.5902534677</v>
      </c>
      <c r="T102" s="2488">
        <f t="shared" si="26"/>
        <v>-826136.12747884006</v>
      </c>
      <c r="U102" s="2488">
        <f t="shared" si="35"/>
        <v>-938791.05395322794</v>
      </c>
      <c r="Y102" s="477">
        <v>95</v>
      </c>
      <c r="Z102" s="477">
        <v>202607</v>
      </c>
      <c r="AA102" s="2487">
        <f t="shared" si="36"/>
        <v>141673.76797421335</v>
      </c>
      <c r="AB102" s="2487">
        <f t="shared" si="36"/>
        <v>9212.1931736232491</v>
      </c>
      <c r="AC102" s="2487">
        <f t="shared" si="36"/>
        <v>180859.29027261797</v>
      </c>
      <c r="AD102" s="2487">
        <f t="shared" si="36"/>
        <v>-16151.082640952791</v>
      </c>
      <c r="AE102" s="2487">
        <f t="shared" si="30"/>
        <v>315594.16877950181</v>
      </c>
      <c r="AF102" s="2487"/>
      <c r="AG102" s="2487">
        <f t="shared" si="37"/>
        <v>28472.18673513988</v>
      </c>
      <c r="AH102" s="2487">
        <f t="shared" si="37"/>
        <v>3233.4334850305936</v>
      </c>
      <c r="AI102" s="2487">
        <f t="shared" si="37"/>
        <v>59670.591944930027</v>
      </c>
      <c r="AJ102" s="2487">
        <f t="shared" si="37"/>
        <v>-1967.5403600305935</v>
      </c>
      <c r="AK102" s="2487">
        <f t="shared" si="37"/>
        <v>89408.671805069913</v>
      </c>
    </row>
    <row r="103" spans="9:37">
      <c r="I103" s="2494">
        <v>47514</v>
      </c>
      <c r="J103" s="2488">
        <f>-'G-3.04,5.01 PF AMI'!AE144</f>
        <v>-315594.16877950181</v>
      </c>
      <c r="K103" s="2488">
        <f t="shared" si="27"/>
        <v>13570549.257518506</v>
      </c>
      <c r="L103" s="2488">
        <f t="shared" si="32"/>
        <v>15464114.270195514</v>
      </c>
      <c r="M103" s="2488">
        <f t="shared" si="25"/>
        <v>-2849815.3440788859</v>
      </c>
      <c r="N103" s="2488">
        <f t="shared" si="33"/>
        <v>-3247463.9967410578</v>
      </c>
      <c r="P103" s="2494">
        <v>47514</v>
      </c>
      <c r="Q103" s="2488">
        <f>-'G-3.04,5.01 PF AMI'!AK144</f>
        <v>-89408.671805069913</v>
      </c>
      <c r="R103" s="2488">
        <f t="shared" si="28"/>
        <v>3844572.8876179783</v>
      </c>
      <c r="S103" s="2488">
        <f t="shared" si="34"/>
        <v>4381024.918448397</v>
      </c>
      <c r="T103" s="2488">
        <f t="shared" si="26"/>
        <v>-807360.30639977544</v>
      </c>
      <c r="U103" s="2488">
        <f t="shared" si="35"/>
        <v>-920015.23287416331</v>
      </c>
      <c r="Y103" s="477">
        <v>96</v>
      </c>
      <c r="Z103" s="477">
        <v>202608</v>
      </c>
      <c r="AA103" s="2487">
        <f t="shared" si="36"/>
        <v>141673.76797421335</v>
      </c>
      <c r="AB103" s="2487">
        <f t="shared" si="36"/>
        <v>9212.1931736232491</v>
      </c>
      <c r="AC103" s="2487">
        <f t="shared" si="36"/>
        <v>180859.29027261797</v>
      </c>
      <c r="AD103" s="2487">
        <f t="shared" si="36"/>
        <v>-16151.082640952791</v>
      </c>
      <c r="AE103" s="2487">
        <f t="shared" si="30"/>
        <v>315594.16877950181</v>
      </c>
      <c r="AF103" s="2487"/>
      <c r="AG103" s="2487">
        <f t="shared" si="37"/>
        <v>28472.18673513988</v>
      </c>
      <c r="AH103" s="2487">
        <f t="shared" si="37"/>
        <v>3233.4334850305936</v>
      </c>
      <c r="AI103" s="2487">
        <f t="shared" si="37"/>
        <v>59670.591944930027</v>
      </c>
      <c r="AJ103" s="2487">
        <f t="shared" si="37"/>
        <v>-1967.5403600305935</v>
      </c>
      <c r="AK103" s="2487">
        <f t="shared" si="37"/>
        <v>89408.671805069913</v>
      </c>
    </row>
    <row r="104" spans="9:37">
      <c r="I104" s="2494">
        <v>47542</v>
      </c>
      <c r="J104" s="2488">
        <f>-'G-3.04,5.01 PF AMI'!AE145</f>
        <v>-315594.16877950181</v>
      </c>
      <c r="K104" s="2488">
        <f t="shared" si="27"/>
        <v>13254955.088739004</v>
      </c>
      <c r="L104" s="2488">
        <f t="shared" si="32"/>
        <v>15148520.101416014</v>
      </c>
      <c r="M104" s="2488">
        <f t="shared" si="25"/>
        <v>-2783540.5686351908</v>
      </c>
      <c r="N104" s="2488">
        <f t="shared" si="33"/>
        <v>-3181189.2212973624</v>
      </c>
      <c r="P104" s="2494">
        <v>47542</v>
      </c>
      <c r="Q104" s="2488">
        <f>-'G-3.04,5.01 PF AMI'!AK145</f>
        <v>-89408.671805069913</v>
      </c>
      <c r="R104" s="2488">
        <f t="shared" si="28"/>
        <v>3755164.2158129085</v>
      </c>
      <c r="S104" s="2488">
        <f t="shared" si="34"/>
        <v>4291616.2466433272</v>
      </c>
      <c r="T104" s="2488">
        <f t="shared" si="26"/>
        <v>-788584.48532071081</v>
      </c>
      <c r="U104" s="2488">
        <f t="shared" si="35"/>
        <v>-901239.41179509868</v>
      </c>
      <c r="Y104" s="477">
        <v>97</v>
      </c>
      <c r="Z104" s="477">
        <v>202609</v>
      </c>
      <c r="AA104" s="2487">
        <f t="shared" si="36"/>
        <v>141673.76797421335</v>
      </c>
      <c r="AB104" s="2487">
        <f t="shared" si="36"/>
        <v>9212.1931736232491</v>
      </c>
      <c r="AC104" s="2487">
        <f t="shared" si="36"/>
        <v>180859.29027261797</v>
      </c>
      <c r="AD104" s="2487">
        <f t="shared" si="36"/>
        <v>-16151.082640952791</v>
      </c>
      <c r="AE104" s="2487">
        <f t="shared" si="30"/>
        <v>315594.16877950181</v>
      </c>
      <c r="AF104" s="2487"/>
      <c r="AG104" s="2487">
        <f t="shared" si="37"/>
        <v>28472.18673513988</v>
      </c>
      <c r="AH104" s="2487">
        <f t="shared" si="37"/>
        <v>3233.4334850305936</v>
      </c>
      <c r="AI104" s="2487">
        <f t="shared" si="37"/>
        <v>59670.591944930027</v>
      </c>
      <c r="AJ104" s="2487">
        <f t="shared" si="37"/>
        <v>-1967.5403600305935</v>
      </c>
      <c r="AK104" s="2487">
        <f t="shared" si="37"/>
        <v>89408.671805069913</v>
      </c>
    </row>
    <row r="105" spans="9:37">
      <c r="I105" s="2494">
        <v>47573</v>
      </c>
      <c r="J105" s="2488">
        <f>-'G-3.04,5.01 PF AMI'!AE146</f>
        <v>-315594.16877950181</v>
      </c>
      <c r="K105" s="2488">
        <f t="shared" si="27"/>
        <v>12939360.919959502</v>
      </c>
      <c r="L105" s="2488">
        <f t="shared" si="32"/>
        <v>14832925.932636509</v>
      </c>
      <c r="M105" s="2488">
        <f t="shared" si="25"/>
        <v>-2717265.7931914954</v>
      </c>
      <c r="N105" s="2488">
        <f t="shared" si="33"/>
        <v>-3114914.4458536678</v>
      </c>
      <c r="P105" s="2494">
        <v>47573</v>
      </c>
      <c r="Q105" s="2488">
        <f>-'G-3.04,5.01 PF AMI'!AK146</f>
        <v>-89408.671805069913</v>
      </c>
      <c r="R105" s="2488">
        <f t="shared" si="28"/>
        <v>3665755.5440078387</v>
      </c>
      <c r="S105" s="2488">
        <f t="shared" si="34"/>
        <v>4202207.5748382574</v>
      </c>
      <c r="T105" s="2488">
        <f t="shared" si="26"/>
        <v>-769808.66424164607</v>
      </c>
      <c r="U105" s="2488">
        <f t="shared" si="35"/>
        <v>-882463.59071603406</v>
      </c>
      <c r="Y105" s="477">
        <v>98</v>
      </c>
      <c r="Z105" s="477">
        <v>202610</v>
      </c>
      <c r="AA105" s="2487">
        <f t="shared" si="36"/>
        <v>141673.76797421335</v>
      </c>
      <c r="AB105" s="2487">
        <f t="shared" si="36"/>
        <v>9212.1931736232491</v>
      </c>
      <c r="AC105" s="2487">
        <f t="shared" si="36"/>
        <v>180859.29027261797</v>
      </c>
      <c r="AD105" s="2487">
        <f t="shared" si="36"/>
        <v>-16151.082640952791</v>
      </c>
      <c r="AE105" s="2487">
        <f t="shared" si="30"/>
        <v>315594.16877950181</v>
      </c>
      <c r="AF105" s="2487"/>
      <c r="AG105" s="2487">
        <f t="shared" si="37"/>
        <v>28472.18673513988</v>
      </c>
      <c r="AH105" s="2487">
        <f t="shared" si="37"/>
        <v>3233.4334850305936</v>
      </c>
      <c r="AI105" s="2487">
        <f t="shared" si="37"/>
        <v>59670.591944930027</v>
      </c>
      <c r="AJ105" s="2487">
        <f t="shared" si="37"/>
        <v>-1967.5403600305935</v>
      </c>
      <c r="AK105" s="2487">
        <f t="shared" si="37"/>
        <v>89408.671805069913</v>
      </c>
    </row>
    <row r="106" spans="9:37">
      <c r="I106" s="2494">
        <v>47603</v>
      </c>
      <c r="J106" s="2488">
        <f>-'G-3.04,5.01 PF AMI'!AE147</f>
        <v>-315594.16877950181</v>
      </c>
      <c r="K106" s="2488">
        <f t="shared" si="27"/>
        <v>12623766.751180001</v>
      </c>
      <c r="L106" s="2488">
        <f t="shared" si="32"/>
        <v>14517331.763857013</v>
      </c>
      <c r="M106" s="2488">
        <f t="shared" si="25"/>
        <v>-2650991.0177477999</v>
      </c>
      <c r="N106" s="2488">
        <f t="shared" si="33"/>
        <v>-3048639.6704099723</v>
      </c>
      <c r="P106" s="2494">
        <v>47603</v>
      </c>
      <c r="Q106" s="2488">
        <f>-'G-3.04,5.01 PF AMI'!AK147</f>
        <v>-89408.671805069913</v>
      </c>
      <c r="R106" s="2488">
        <f t="shared" si="28"/>
        <v>3576346.8722027689</v>
      </c>
      <c r="S106" s="2488">
        <f t="shared" si="34"/>
        <v>4112798.9030331871</v>
      </c>
      <c r="T106" s="2488">
        <f t="shared" si="26"/>
        <v>-751032.84316258144</v>
      </c>
      <c r="U106" s="2488">
        <f t="shared" si="35"/>
        <v>-863687.76963696943</v>
      </c>
      <c r="Y106" s="477">
        <v>99</v>
      </c>
      <c r="Z106" s="477">
        <v>202611</v>
      </c>
      <c r="AA106" s="2487">
        <f t="shared" si="36"/>
        <v>141673.76797421335</v>
      </c>
      <c r="AB106" s="2487">
        <f t="shared" si="36"/>
        <v>9212.1931736232491</v>
      </c>
      <c r="AC106" s="2487">
        <f t="shared" si="36"/>
        <v>180859.29027261797</v>
      </c>
      <c r="AD106" s="2487">
        <f t="shared" si="36"/>
        <v>-16151.082640952791</v>
      </c>
      <c r="AE106" s="2487">
        <f t="shared" si="30"/>
        <v>315594.16877950181</v>
      </c>
      <c r="AF106" s="2487"/>
      <c r="AG106" s="2487">
        <f t="shared" si="37"/>
        <v>28472.18673513988</v>
      </c>
      <c r="AH106" s="2487">
        <f t="shared" si="37"/>
        <v>3233.4334850305936</v>
      </c>
      <c r="AI106" s="2487">
        <f t="shared" si="37"/>
        <v>59670.591944930027</v>
      </c>
      <c r="AJ106" s="2487">
        <f t="shared" si="37"/>
        <v>-1967.5403600305935</v>
      </c>
      <c r="AK106" s="2487">
        <f t="shared" si="37"/>
        <v>89408.671805069913</v>
      </c>
    </row>
    <row r="107" spans="9:37">
      <c r="I107" s="2494">
        <v>47634</v>
      </c>
      <c r="J107" s="2488">
        <f>-'G-3.04,5.01 PF AMI'!AE148</f>
        <v>-315594.16877950181</v>
      </c>
      <c r="K107" s="2488">
        <f t="shared" si="27"/>
        <v>12308172.582400499</v>
      </c>
      <c r="L107" s="2488">
        <f t="shared" si="32"/>
        <v>14201737.595077509</v>
      </c>
      <c r="M107" s="2488">
        <f t="shared" si="25"/>
        <v>-2584716.2423041048</v>
      </c>
      <c r="N107" s="2488">
        <f t="shared" si="33"/>
        <v>-2982364.8949662768</v>
      </c>
      <c r="P107" s="2494">
        <v>47634</v>
      </c>
      <c r="Q107" s="2488">
        <f>-'G-3.04,5.01 PF AMI'!AK148</f>
        <v>-89408.671805069913</v>
      </c>
      <c r="R107" s="2488">
        <f t="shared" si="28"/>
        <v>3486938.2003976991</v>
      </c>
      <c r="S107" s="2488">
        <f t="shared" si="34"/>
        <v>4023390.2312281174</v>
      </c>
      <c r="T107" s="2488">
        <f t="shared" si="26"/>
        <v>-732257.02208351681</v>
      </c>
      <c r="U107" s="2488">
        <f t="shared" si="35"/>
        <v>-844911.94855790457</v>
      </c>
      <c r="Y107" s="477">
        <v>100</v>
      </c>
      <c r="Z107" s="477">
        <v>202612</v>
      </c>
      <c r="AA107" s="2487">
        <f t="shared" si="36"/>
        <v>141673.76797421335</v>
      </c>
      <c r="AB107" s="2487">
        <f t="shared" si="36"/>
        <v>9212.1931736232491</v>
      </c>
      <c r="AC107" s="2487">
        <f t="shared" si="36"/>
        <v>180859.29027261797</v>
      </c>
      <c r="AD107" s="2487">
        <f t="shared" si="36"/>
        <v>-16151.082640952791</v>
      </c>
      <c r="AE107" s="2487">
        <f t="shared" si="30"/>
        <v>315594.16877950181</v>
      </c>
      <c r="AF107" s="2487"/>
      <c r="AG107" s="2487">
        <f t="shared" si="37"/>
        <v>28472.18673513988</v>
      </c>
      <c r="AH107" s="2487">
        <f t="shared" si="37"/>
        <v>3233.4334850305936</v>
      </c>
      <c r="AI107" s="2487">
        <f t="shared" si="37"/>
        <v>59670.591944930027</v>
      </c>
      <c r="AJ107" s="2487">
        <f t="shared" si="37"/>
        <v>-1967.5403600305935</v>
      </c>
      <c r="AK107" s="2487">
        <f t="shared" si="37"/>
        <v>89408.671805069913</v>
      </c>
    </row>
    <row r="108" spans="9:37">
      <c r="I108" s="2494">
        <v>47664</v>
      </c>
      <c r="J108" s="2488">
        <f>-'G-3.04,5.01 PF AMI'!AE149</f>
        <v>-315594.16877950181</v>
      </c>
      <c r="K108" s="2488">
        <f t="shared" si="27"/>
        <v>11992578.413620997</v>
      </c>
      <c r="L108" s="2488">
        <f t="shared" si="32"/>
        <v>13886143.426298007</v>
      </c>
      <c r="M108" s="2488">
        <f t="shared" si="25"/>
        <v>-2518441.4668604094</v>
      </c>
      <c r="N108" s="2488">
        <f t="shared" si="33"/>
        <v>-2916090.1195225813</v>
      </c>
      <c r="P108" s="2494">
        <v>47664</v>
      </c>
      <c r="Q108" s="2488">
        <f>-'G-3.04,5.01 PF AMI'!AK149</f>
        <v>-89408.671805069913</v>
      </c>
      <c r="R108" s="2488">
        <f t="shared" si="28"/>
        <v>3397529.5285926294</v>
      </c>
      <c r="S108" s="2488">
        <f t="shared" si="34"/>
        <v>3933981.559423048</v>
      </c>
      <c r="T108" s="2488">
        <f t="shared" si="26"/>
        <v>-713481.20100445219</v>
      </c>
      <c r="U108" s="2488">
        <f t="shared" si="35"/>
        <v>-826136.12747884018</v>
      </c>
      <c r="Y108" s="477">
        <v>101</v>
      </c>
      <c r="Z108" s="477">
        <v>202701</v>
      </c>
      <c r="AA108" s="2487">
        <f t="shared" si="36"/>
        <v>141673.76797421335</v>
      </c>
      <c r="AB108" s="2487">
        <f t="shared" si="36"/>
        <v>9212.1931736232491</v>
      </c>
      <c r="AC108" s="2487">
        <f t="shared" si="36"/>
        <v>180859.29027261797</v>
      </c>
      <c r="AD108" s="2487">
        <f t="shared" si="36"/>
        <v>-16151.082640952791</v>
      </c>
      <c r="AE108" s="2487">
        <f t="shared" si="30"/>
        <v>315594.16877950181</v>
      </c>
      <c r="AF108" s="2487"/>
      <c r="AG108" s="2487">
        <f t="shared" si="37"/>
        <v>28472.18673513988</v>
      </c>
      <c r="AH108" s="2487">
        <f t="shared" si="37"/>
        <v>3233.4334850305936</v>
      </c>
      <c r="AI108" s="2487">
        <f t="shared" si="37"/>
        <v>59670.591944930027</v>
      </c>
      <c r="AJ108" s="2487">
        <f t="shared" si="37"/>
        <v>-1967.5403600305935</v>
      </c>
      <c r="AK108" s="2487">
        <f t="shared" si="37"/>
        <v>89408.671805069913</v>
      </c>
    </row>
    <row r="109" spans="9:37">
      <c r="I109" s="2494">
        <v>47695</v>
      </c>
      <c r="J109" s="2488">
        <f>-'G-3.04,5.01 PF AMI'!AE150</f>
        <v>-315594.16877950181</v>
      </c>
      <c r="K109" s="2488">
        <f t="shared" si="27"/>
        <v>11676984.244841496</v>
      </c>
      <c r="L109" s="2488">
        <f t="shared" si="32"/>
        <v>13570549.257518508</v>
      </c>
      <c r="M109" s="2488">
        <f t="shared" si="25"/>
        <v>-2452166.6914167139</v>
      </c>
      <c r="N109" s="2488">
        <f t="shared" si="33"/>
        <v>-2849815.3440788868</v>
      </c>
      <c r="P109" s="2494">
        <v>47695</v>
      </c>
      <c r="Q109" s="2488">
        <f>-'G-3.04,5.01 PF AMI'!AK150</f>
        <v>-89408.671805069913</v>
      </c>
      <c r="R109" s="2488">
        <f t="shared" si="28"/>
        <v>3308120.8567875596</v>
      </c>
      <c r="S109" s="2488">
        <f t="shared" si="34"/>
        <v>3844572.8876179787</v>
      </c>
      <c r="T109" s="2488">
        <f t="shared" si="26"/>
        <v>-694705.37992538745</v>
      </c>
      <c r="U109" s="2488">
        <f t="shared" si="35"/>
        <v>-807360.30639977555</v>
      </c>
      <c r="Y109" s="477">
        <v>102</v>
      </c>
      <c r="Z109" s="477">
        <v>202702</v>
      </c>
      <c r="AA109" s="2487">
        <f t="shared" ref="AA109:AD124" si="38">AA108</f>
        <v>141673.76797421335</v>
      </c>
      <c r="AB109" s="2487">
        <f t="shared" si="38"/>
        <v>9212.1931736232491</v>
      </c>
      <c r="AC109" s="2487">
        <f t="shared" si="38"/>
        <v>180859.29027261797</v>
      </c>
      <c r="AD109" s="2487">
        <f t="shared" si="38"/>
        <v>-16151.082640952791</v>
      </c>
      <c r="AE109" s="2487">
        <f t="shared" ref="AE109:AE172" si="39">SUM(AA109:AD109)</f>
        <v>315594.16877950181</v>
      </c>
      <c r="AF109" s="2487"/>
      <c r="AG109" s="2487">
        <f t="shared" ref="AG109:AK124" si="40">AG108</f>
        <v>28472.18673513988</v>
      </c>
      <c r="AH109" s="2487">
        <f t="shared" si="40"/>
        <v>3233.4334850305936</v>
      </c>
      <c r="AI109" s="2487">
        <f t="shared" si="40"/>
        <v>59670.591944930027</v>
      </c>
      <c r="AJ109" s="2487">
        <f t="shared" si="40"/>
        <v>-1967.5403600305935</v>
      </c>
      <c r="AK109" s="2487">
        <f t="shared" si="40"/>
        <v>89408.671805069913</v>
      </c>
    </row>
    <row r="110" spans="9:37">
      <c r="I110" s="2494">
        <v>47726</v>
      </c>
      <c r="J110" s="2488">
        <f>-'G-3.04,5.01 PF AMI'!AE151</f>
        <v>-315594.16877950181</v>
      </c>
      <c r="K110" s="2488">
        <f t="shared" si="27"/>
        <v>11361390.076061994</v>
      </c>
      <c r="L110" s="2488">
        <f t="shared" si="32"/>
        <v>13254955.088739006</v>
      </c>
      <c r="M110" s="2488">
        <f t="shared" si="25"/>
        <v>-2385891.9159730184</v>
      </c>
      <c r="N110" s="2488">
        <f t="shared" si="33"/>
        <v>-2783540.5686351913</v>
      </c>
      <c r="P110" s="2494">
        <v>47726</v>
      </c>
      <c r="Q110" s="2488">
        <f>-'G-3.04,5.01 PF AMI'!AK151</f>
        <v>-89408.671805069913</v>
      </c>
      <c r="R110" s="2488">
        <f t="shared" si="28"/>
        <v>3218712.1849824898</v>
      </c>
      <c r="S110" s="2488">
        <f t="shared" si="34"/>
        <v>3755164.215812909</v>
      </c>
      <c r="T110" s="2488">
        <f t="shared" si="26"/>
        <v>-675929.55884632282</v>
      </c>
      <c r="U110" s="2488">
        <f t="shared" si="35"/>
        <v>-788584.48532071069</v>
      </c>
      <c r="Y110" s="477">
        <v>103</v>
      </c>
      <c r="Z110" s="477">
        <v>202703</v>
      </c>
      <c r="AA110" s="2487">
        <f t="shared" si="38"/>
        <v>141673.76797421335</v>
      </c>
      <c r="AB110" s="2487">
        <f t="shared" si="38"/>
        <v>9212.1931736232491</v>
      </c>
      <c r="AC110" s="2487">
        <f t="shared" si="38"/>
        <v>180859.29027261797</v>
      </c>
      <c r="AD110" s="2487">
        <f t="shared" si="38"/>
        <v>-16151.082640952791</v>
      </c>
      <c r="AE110" s="2487">
        <f t="shared" si="39"/>
        <v>315594.16877950181</v>
      </c>
      <c r="AF110" s="2487"/>
      <c r="AG110" s="2487">
        <f t="shared" si="40"/>
        <v>28472.18673513988</v>
      </c>
      <c r="AH110" s="2487">
        <f t="shared" si="40"/>
        <v>3233.4334850305936</v>
      </c>
      <c r="AI110" s="2487">
        <f t="shared" si="40"/>
        <v>59670.591944930027</v>
      </c>
      <c r="AJ110" s="2487">
        <f t="shared" si="40"/>
        <v>-1967.5403600305935</v>
      </c>
      <c r="AK110" s="2487">
        <f t="shared" si="40"/>
        <v>89408.671805069913</v>
      </c>
    </row>
    <row r="111" spans="9:37">
      <c r="I111" s="2494">
        <v>47756</v>
      </c>
      <c r="J111" s="2488">
        <f>-'G-3.04,5.01 PF AMI'!AE152</f>
        <v>-315594.16877950181</v>
      </c>
      <c r="K111" s="2488">
        <f t="shared" si="27"/>
        <v>11045795.907282492</v>
      </c>
      <c r="L111" s="2488">
        <f t="shared" si="32"/>
        <v>12939360.919959502</v>
      </c>
      <c r="M111" s="2488">
        <f t="shared" si="25"/>
        <v>-2319617.1405293234</v>
      </c>
      <c r="N111" s="2488">
        <f t="shared" si="33"/>
        <v>-2717265.7931914958</v>
      </c>
      <c r="P111" s="2494">
        <v>47756</v>
      </c>
      <c r="Q111" s="2488">
        <f>-'G-3.04,5.01 PF AMI'!AK152</f>
        <v>-89408.671805069913</v>
      </c>
      <c r="R111" s="2488">
        <f t="shared" si="28"/>
        <v>3129303.51317742</v>
      </c>
      <c r="S111" s="2488">
        <f t="shared" si="34"/>
        <v>3665755.5440078392</v>
      </c>
      <c r="T111" s="2488">
        <f t="shared" si="26"/>
        <v>-657153.73776725819</v>
      </c>
      <c r="U111" s="2488">
        <f t="shared" si="35"/>
        <v>-769808.66424164607</v>
      </c>
      <c r="Y111" s="477">
        <v>104</v>
      </c>
      <c r="Z111" s="477">
        <v>202704</v>
      </c>
      <c r="AA111" s="2487">
        <f t="shared" si="38"/>
        <v>141673.76797421335</v>
      </c>
      <c r="AB111" s="2487">
        <f t="shared" si="38"/>
        <v>9212.1931736232491</v>
      </c>
      <c r="AC111" s="2487">
        <f t="shared" si="38"/>
        <v>180859.29027261797</v>
      </c>
      <c r="AD111" s="2487">
        <f t="shared" si="38"/>
        <v>-16151.082640952791</v>
      </c>
      <c r="AE111" s="2487">
        <f t="shared" si="39"/>
        <v>315594.16877950181</v>
      </c>
      <c r="AF111" s="2487"/>
      <c r="AG111" s="2487">
        <f t="shared" si="40"/>
        <v>28472.18673513988</v>
      </c>
      <c r="AH111" s="2487">
        <f t="shared" si="40"/>
        <v>3233.4334850305936</v>
      </c>
      <c r="AI111" s="2487">
        <f t="shared" si="40"/>
        <v>59670.591944930027</v>
      </c>
      <c r="AJ111" s="2487">
        <f t="shared" si="40"/>
        <v>-1967.5403600305935</v>
      </c>
      <c r="AK111" s="2487">
        <f t="shared" si="40"/>
        <v>89408.671805069913</v>
      </c>
    </row>
    <row r="112" spans="9:37">
      <c r="I112" s="2494">
        <v>47787</v>
      </c>
      <c r="J112" s="2488">
        <f>-'G-3.04,5.01 PF AMI'!AE153</f>
        <v>-315594.16877950181</v>
      </c>
      <c r="K112" s="2488">
        <f t="shared" si="27"/>
        <v>10730201.73850299</v>
      </c>
      <c r="L112" s="2488">
        <f t="shared" si="32"/>
        <v>12623766.751180001</v>
      </c>
      <c r="M112" s="2488">
        <f t="shared" si="25"/>
        <v>-2253342.3650856279</v>
      </c>
      <c r="N112" s="2488">
        <f t="shared" si="33"/>
        <v>-2650991.0177478003</v>
      </c>
      <c r="P112" s="2494">
        <v>47787</v>
      </c>
      <c r="Q112" s="2488">
        <f>-'G-3.04,5.01 PF AMI'!AK153</f>
        <v>-89408.671805069913</v>
      </c>
      <c r="R112" s="2488">
        <f t="shared" si="28"/>
        <v>3039894.8413723502</v>
      </c>
      <c r="S112" s="2488">
        <f t="shared" si="34"/>
        <v>3576346.8722027694</v>
      </c>
      <c r="T112" s="2488">
        <f t="shared" si="26"/>
        <v>-638377.91668819357</v>
      </c>
      <c r="U112" s="2488">
        <f t="shared" si="35"/>
        <v>-751032.84316258144</v>
      </c>
      <c r="Y112" s="477">
        <v>105</v>
      </c>
      <c r="Z112" s="477">
        <v>202705</v>
      </c>
      <c r="AA112" s="2487">
        <f t="shared" si="38"/>
        <v>141673.76797421335</v>
      </c>
      <c r="AB112" s="2487">
        <f t="shared" si="38"/>
        <v>9212.1931736232491</v>
      </c>
      <c r="AC112" s="2487">
        <f t="shared" si="38"/>
        <v>180859.29027261797</v>
      </c>
      <c r="AD112" s="2487">
        <f t="shared" si="38"/>
        <v>-16151.082640952791</v>
      </c>
      <c r="AE112" s="2487">
        <f t="shared" si="39"/>
        <v>315594.16877950181</v>
      </c>
      <c r="AF112" s="2487"/>
      <c r="AG112" s="2487">
        <f t="shared" si="40"/>
        <v>28472.18673513988</v>
      </c>
      <c r="AH112" s="2487">
        <f t="shared" si="40"/>
        <v>3233.4334850305936</v>
      </c>
      <c r="AI112" s="2487">
        <f t="shared" si="40"/>
        <v>59670.591944930027</v>
      </c>
      <c r="AJ112" s="2487">
        <f t="shared" si="40"/>
        <v>-1967.5403600305935</v>
      </c>
      <c r="AK112" s="2487">
        <f t="shared" si="40"/>
        <v>89408.671805069913</v>
      </c>
    </row>
    <row r="113" spans="9:37">
      <c r="I113" s="2494">
        <v>47817</v>
      </c>
      <c r="J113" s="2488">
        <f>-'G-3.04,5.01 PF AMI'!AE154</f>
        <v>-315594.16877950181</v>
      </c>
      <c r="K113" s="2488">
        <f t="shared" si="27"/>
        <v>10414607.569723489</v>
      </c>
      <c r="L113" s="2488">
        <f t="shared" si="32"/>
        <v>12308172.582400499</v>
      </c>
      <c r="M113" s="2488">
        <f t="shared" si="25"/>
        <v>-2187067.5896419324</v>
      </c>
      <c r="N113" s="2488">
        <f t="shared" si="33"/>
        <v>-2584716.2423041048</v>
      </c>
      <c r="P113" s="2494">
        <v>47817</v>
      </c>
      <c r="Q113" s="2488">
        <f>-'G-3.04,5.01 PF AMI'!AK154</f>
        <v>-89408.671805069913</v>
      </c>
      <c r="R113" s="2488">
        <f t="shared" si="28"/>
        <v>2950486.1695672804</v>
      </c>
      <c r="S113" s="2488">
        <f t="shared" si="34"/>
        <v>3486938.2003976987</v>
      </c>
      <c r="T113" s="2488">
        <f t="shared" si="26"/>
        <v>-619602.09560912882</v>
      </c>
      <c r="U113" s="2488">
        <f t="shared" si="35"/>
        <v>-732257.02208351681</v>
      </c>
      <c r="Y113" s="477">
        <v>106</v>
      </c>
      <c r="Z113" s="477">
        <v>202706</v>
      </c>
      <c r="AA113" s="2487">
        <f t="shared" si="38"/>
        <v>141673.76797421335</v>
      </c>
      <c r="AB113" s="2487">
        <f t="shared" si="38"/>
        <v>9212.1931736232491</v>
      </c>
      <c r="AC113" s="2487">
        <f t="shared" si="38"/>
        <v>180859.29027261797</v>
      </c>
      <c r="AD113" s="2487">
        <f t="shared" si="38"/>
        <v>-16151.082640952791</v>
      </c>
      <c r="AE113" s="2487">
        <f t="shared" si="39"/>
        <v>315594.16877950181</v>
      </c>
      <c r="AF113" s="2487"/>
      <c r="AG113" s="2487">
        <f t="shared" si="40"/>
        <v>28472.18673513988</v>
      </c>
      <c r="AH113" s="2487">
        <f t="shared" si="40"/>
        <v>3233.4334850305936</v>
      </c>
      <c r="AI113" s="2487">
        <f t="shared" si="40"/>
        <v>59670.591944930027</v>
      </c>
      <c r="AJ113" s="2487">
        <f t="shared" si="40"/>
        <v>-1967.5403600305935</v>
      </c>
      <c r="AK113" s="2487">
        <f t="shared" si="40"/>
        <v>89408.671805069913</v>
      </c>
    </row>
    <row r="114" spans="9:37">
      <c r="I114" s="2494">
        <v>47848</v>
      </c>
      <c r="J114" s="2488">
        <f>-'G-3.04,5.01 PF AMI'!AE155</f>
        <v>-315594.16877950181</v>
      </c>
      <c r="K114" s="2488">
        <f t="shared" si="27"/>
        <v>10099013.400943987</v>
      </c>
      <c r="L114" s="2488">
        <f t="shared" si="32"/>
        <v>11992578.413620995</v>
      </c>
      <c r="M114" s="2488">
        <f t="shared" si="25"/>
        <v>-2120792.8141982374</v>
      </c>
      <c r="N114" s="2488">
        <f t="shared" si="33"/>
        <v>-2518441.4668604094</v>
      </c>
      <c r="P114" s="2494">
        <v>47848</v>
      </c>
      <c r="Q114" s="2488">
        <f>-'G-3.04,5.01 PF AMI'!AK155</f>
        <v>-89408.671805069913</v>
      </c>
      <c r="R114" s="2488">
        <f t="shared" si="28"/>
        <v>2861077.4977622107</v>
      </c>
      <c r="S114" s="2488">
        <f t="shared" si="34"/>
        <v>3397529.5285926289</v>
      </c>
      <c r="T114" s="2488">
        <f t="shared" si="26"/>
        <v>-600826.2745300642</v>
      </c>
      <c r="U114" s="2488">
        <f t="shared" si="35"/>
        <v>-713481.20100445219</v>
      </c>
      <c r="Y114" s="477">
        <v>107</v>
      </c>
      <c r="Z114" s="477">
        <v>202707</v>
      </c>
      <c r="AA114" s="2487">
        <f t="shared" si="38"/>
        <v>141673.76797421335</v>
      </c>
      <c r="AB114" s="2487">
        <f t="shared" si="38"/>
        <v>9212.1931736232491</v>
      </c>
      <c r="AC114" s="2487">
        <f t="shared" si="38"/>
        <v>180859.29027261797</v>
      </c>
      <c r="AD114" s="2487">
        <f t="shared" si="38"/>
        <v>-16151.082640952791</v>
      </c>
      <c r="AE114" s="2487">
        <f t="shared" si="39"/>
        <v>315594.16877950181</v>
      </c>
      <c r="AF114" s="2487"/>
      <c r="AG114" s="2487">
        <f t="shared" si="40"/>
        <v>28472.18673513988</v>
      </c>
      <c r="AH114" s="2487">
        <f t="shared" si="40"/>
        <v>3233.4334850305936</v>
      </c>
      <c r="AI114" s="2487">
        <f t="shared" si="40"/>
        <v>59670.591944930027</v>
      </c>
      <c r="AJ114" s="2487">
        <f t="shared" si="40"/>
        <v>-1967.5403600305935</v>
      </c>
      <c r="AK114" s="2487">
        <f t="shared" si="40"/>
        <v>89408.671805069913</v>
      </c>
    </row>
    <row r="115" spans="9:37">
      <c r="I115" s="2494">
        <v>47879</v>
      </c>
      <c r="J115" s="2488">
        <f>-'G-3.04,5.01 PF AMI'!AE156</f>
        <v>-315594.16877950181</v>
      </c>
      <c r="K115" s="2488">
        <f t="shared" si="27"/>
        <v>9783419.2321644854</v>
      </c>
      <c r="L115" s="2488">
        <f t="shared" si="32"/>
        <v>11676984.244841496</v>
      </c>
      <c r="M115" s="2488">
        <f t="shared" si="25"/>
        <v>-2054518.0387545419</v>
      </c>
      <c r="N115" s="2488">
        <f t="shared" si="33"/>
        <v>-2452166.6914167139</v>
      </c>
      <c r="P115" s="2494">
        <v>47879</v>
      </c>
      <c r="Q115" s="2488">
        <f>-'G-3.04,5.01 PF AMI'!AK156</f>
        <v>-89408.671805069913</v>
      </c>
      <c r="R115" s="2488">
        <f t="shared" si="28"/>
        <v>2771668.8259571409</v>
      </c>
      <c r="S115" s="2488">
        <f t="shared" si="34"/>
        <v>3308120.85678756</v>
      </c>
      <c r="T115" s="2488">
        <f t="shared" si="26"/>
        <v>-582050.45345099957</v>
      </c>
      <c r="U115" s="2488">
        <f t="shared" si="35"/>
        <v>-694705.37992538756</v>
      </c>
      <c r="Y115" s="477">
        <v>108</v>
      </c>
      <c r="Z115" s="477">
        <v>202708</v>
      </c>
      <c r="AA115" s="2487">
        <f t="shared" si="38"/>
        <v>141673.76797421335</v>
      </c>
      <c r="AB115" s="2487">
        <f t="shared" si="38"/>
        <v>9212.1931736232491</v>
      </c>
      <c r="AC115" s="2487">
        <f t="shared" si="38"/>
        <v>180859.29027261797</v>
      </c>
      <c r="AD115" s="2487">
        <f t="shared" si="38"/>
        <v>-16151.082640952791</v>
      </c>
      <c r="AE115" s="2487">
        <f t="shared" si="39"/>
        <v>315594.16877950181</v>
      </c>
      <c r="AF115" s="2487"/>
      <c r="AG115" s="2487">
        <f t="shared" si="40"/>
        <v>28472.18673513988</v>
      </c>
      <c r="AH115" s="2487">
        <f t="shared" si="40"/>
        <v>3233.4334850305936</v>
      </c>
      <c r="AI115" s="2487">
        <f t="shared" si="40"/>
        <v>59670.591944930027</v>
      </c>
      <c r="AJ115" s="2487">
        <f t="shared" si="40"/>
        <v>-1967.5403600305935</v>
      </c>
      <c r="AK115" s="2487">
        <f t="shared" si="40"/>
        <v>89408.671805069913</v>
      </c>
    </row>
    <row r="116" spans="9:37">
      <c r="I116" s="2494">
        <v>47907</v>
      </c>
      <c r="J116" s="2488">
        <f>-'G-3.04,5.01 PF AMI'!AE157</f>
        <v>-315594.16877950181</v>
      </c>
      <c r="K116" s="2488">
        <f t="shared" si="27"/>
        <v>9467825.0633849837</v>
      </c>
      <c r="L116" s="2488">
        <f t="shared" si="32"/>
        <v>11361390.076061994</v>
      </c>
      <c r="M116" s="2488">
        <f t="shared" si="25"/>
        <v>-1988243.2633108464</v>
      </c>
      <c r="N116" s="2488">
        <f t="shared" si="33"/>
        <v>-2385891.9159730184</v>
      </c>
      <c r="P116" s="2494">
        <v>47907</v>
      </c>
      <c r="Q116" s="2488">
        <f>-'G-3.04,5.01 PF AMI'!AK157</f>
        <v>-89408.671805069913</v>
      </c>
      <c r="R116" s="2488">
        <f t="shared" si="28"/>
        <v>2682260.1541520711</v>
      </c>
      <c r="S116" s="2488">
        <f t="shared" si="34"/>
        <v>3218712.1849824898</v>
      </c>
      <c r="T116" s="2488">
        <f t="shared" si="26"/>
        <v>-563274.63237193495</v>
      </c>
      <c r="U116" s="2488">
        <f t="shared" si="35"/>
        <v>-675929.55884632282</v>
      </c>
      <c r="Y116" s="477">
        <v>109</v>
      </c>
      <c r="Z116" s="477">
        <v>202709</v>
      </c>
      <c r="AA116" s="2487">
        <f t="shared" si="38"/>
        <v>141673.76797421335</v>
      </c>
      <c r="AB116" s="2487">
        <f t="shared" si="38"/>
        <v>9212.1931736232491</v>
      </c>
      <c r="AC116" s="2487">
        <f t="shared" si="38"/>
        <v>180859.29027261797</v>
      </c>
      <c r="AD116" s="2487">
        <f t="shared" si="38"/>
        <v>-16151.082640952791</v>
      </c>
      <c r="AE116" s="2487">
        <f t="shared" si="39"/>
        <v>315594.16877950181</v>
      </c>
      <c r="AF116" s="2487"/>
      <c r="AG116" s="2487">
        <f t="shared" si="40"/>
        <v>28472.18673513988</v>
      </c>
      <c r="AH116" s="2487">
        <f t="shared" si="40"/>
        <v>3233.4334850305936</v>
      </c>
      <c r="AI116" s="2487">
        <f t="shared" si="40"/>
        <v>59670.591944930027</v>
      </c>
      <c r="AJ116" s="2487">
        <f t="shared" si="40"/>
        <v>-1967.5403600305935</v>
      </c>
      <c r="AK116" s="2487">
        <f t="shared" si="40"/>
        <v>89408.671805069913</v>
      </c>
    </row>
    <row r="117" spans="9:37">
      <c r="I117" s="2494">
        <v>47938</v>
      </c>
      <c r="J117" s="2488">
        <f>-'G-3.04,5.01 PF AMI'!AE158</f>
        <v>-315594.16877950181</v>
      </c>
      <c r="K117" s="2488">
        <f t="shared" si="27"/>
        <v>9152230.894605482</v>
      </c>
      <c r="L117" s="2488">
        <f t="shared" si="32"/>
        <v>11045795.907282492</v>
      </c>
      <c r="M117" s="2488">
        <f t="shared" si="25"/>
        <v>-1921968.4878671512</v>
      </c>
      <c r="N117" s="2488">
        <f t="shared" si="33"/>
        <v>-2319617.1405293229</v>
      </c>
      <c r="P117" s="2494">
        <v>47938</v>
      </c>
      <c r="Q117" s="2488">
        <f>-'G-3.04,5.01 PF AMI'!AK158</f>
        <v>-89408.671805069913</v>
      </c>
      <c r="R117" s="2488">
        <f t="shared" si="28"/>
        <v>2592851.4823470013</v>
      </c>
      <c r="S117" s="2488">
        <f t="shared" si="34"/>
        <v>3129303.5131774205</v>
      </c>
      <c r="T117" s="2488">
        <f t="shared" si="26"/>
        <v>-544498.8112928702</v>
      </c>
      <c r="U117" s="2488">
        <f t="shared" si="35"/>
        <v>-657153.73776725808</v>
      </c>
      <c r="Y117" s="477">
        <v>110</v>
      </c>
      <c r="Z117" s="477">
        <v>202710</v>
      </c>
      <c r="AA117" s="2487">
        <f t="shared" si="38"/>
        <v>141673.76797421335</v>
      </c>
      <c r="AB117" s="2487">
        <f t="shared" si="38"/>
        <v>9212.1931736232491</v>
      </c>
      <c r="AC117" s="2487">
        <f t="shared" si="38"/>
        <v>180859.29027261797</v>
      </c>
      <c r="AD117" s="2487">
        <f t="shared" si="38"/>
        <v>-16151.082640952791</v>
      </c>
      <c r="AE117" s="2487">
        <f t="shared" si="39"/>
        <v>315594.16877950181</v>
      </c>
      <c r="AF117" s="2487"/>
      <c r="AG117" s="2487">
        <f t="shared" si="40"/>
        <v>28472.18673513988</v>
      </c>
      <c r="AH117" s="2487">
        <f t="shared" si="40"/>
        <v>3233.4334850305936</v>
      </c>
      <c r="AI117" s="2487">
        <f t="shared" si="40"/>
        <v>59670.591944930027</v>
      </c>
      <c r="AJ117" s="2487">
        <f t="shared" si="40"/>
        <v>-1967.5403600305935</v>
      </c>
      <c r="AK117" s="2487">
        <f t="shared" si="40"/>
        <v>89408.671805069913</v>
      </c>
    </row>
    <row r="118" spans="9:37">
      <c r="I118" s="2494">
        <v>47968</v>
      </c>
      <c r="J118" s="2488">
        <f>-'G-3.04,5.01 PF AMI'!AE159</f>
        <v>-315594.16877950181</v>
      </c>
      <c r="K118" s="2488">
        <f t="shared" si="27"/>
        <v>8836636.7258259803</v>
      </c>
      <c r="L118" s="2488">
        <f t="shared" si="32"/>
        <v>10730201.73850299</v>
      </c>
      <c r="M118" s="2488">
        <f t="shared" si="25"/>
        <v>-1855693.7124234559</v>
      </c>
      <c r="N118" s="2488">
        <f t="shared" si="33"/>
        <v>-2253342.3650856279</v>
      </c>
      <c r="P118" s="2494">
        <v>47968</v>
      </c>
      <c r="Q118" s="2488">
        <f>-'G-3.04,5.01 PF AMI'!AK159</f>
        <v>-89408.671805069913</v>
      </c>
      <c r="R118" s="2488">
        <f t="shared" si="28"/>
        <v>2503442.8105419315</v>
      </c>
      <c r="S118" s="2488">
        <f t="shared" si="34"/>
        <v>3039894.8413723507</v>
      </c>
      <c r="T118" s="2488">
        <f t="shared" si="26"/>
        <v>-525722.99021380558</v>
      </c>
      <c r="U118" s="2488">
        <f t="shared" si="35"/>
        <v>-638377.91668819345</v>
      </c>
      <c r="Y118" s="477">
        <v>111</v>
      </c>
      <c r="Z118" s="477">
        <v>202711</v>
      </c>
      <c r="AA118" s="2487">
        <f t="shared" si="38"/>
        <v>141673.76797421335</v>
      </c>
      <c r="AB118" s="2487">
        <f t="shared" si="38"/>
        <v>9212.1931736232491</v>
      </c>
      <c r="AC118" s="2487">
        <f t="shared" si="38"/>
        <v>180859.29027261797</v>
      </c>
      <c r="AD118" s="2487">
        <f t="shared" si="38"/>
        <v>-16151.082640952791</v>
      </c>
      <c r="AE118" s="2487">
        <f t="shared" si="39"/>
        <v>315594.16877950181</v>
      </c>
      <c r="AF118" s="2487"/>
      <c r="AG118" s="2487">
        <f t="shared" si="40"/>
        <v>28472.18673513988</v>
      </c>
      <c r="AH118" s="2487">
        <f t="shared" si="40"/>
        <v>3233.4334850305936</v>
      </c>
      <c r="AI118" s="2487">
        <f t="shared" si="40"/>
        <v>59670.591944930027</v>
      </c>
      <c r="AJ118" s="2487">
        <f t="shared" si="40"/>
        <v>-1967.5403600305935</v>
      </c>
      <c r="AK118" s="2487">
        <f t="shared" si="40"/>
        <v>89408.671805069913</v>
      </c>
    </row>
    <row r="119" spans="9:37">
      <c r="I119" s="2494">
        <v>47999</v>
      </c>
      <c r="J119" s="2488">
        <f>-'G-3.04,5.01 PF AMI'!AE160</f>
        <v>-315594.16877950181</v>
      </c>
      <c r="K119" s="2488">
        <f t="shared" si="27"/>
        <v>8521042.5570464786</v>
      </c>
      <c r="L119" s="2488">
        <f t="shared" si="32"/>
        <v>10414607.569723489</v>
      </c>
      <c r="M119" s="2488">
        <f t="shared" si="25"/>
        <v>-1789418.9369797604</v>
      </c>
      <c r="N119" s="2488">
        <f t="shared" si="33"/>
        <v>-2187067.5896419324</v>
      </c>
      <c r="P119" s="2494">
        <v>47999</v>
      </c>
      <c r="Q119" s="2488">
        <f>-'G-3.04,5.01 PF AMI'!AK160</f>
        <v>-89408.671805069913</v>
      </c>
      <c r="R119" s="2488">
        <f t="shared" si="28"/>
        <v>2414034.1387368618</v>
      </c>
      <c r="S119" s="2488">
        <f t="shared" si="34"/>
        <v>2950486.1695672809</v>
      </c>
      <c r="T119" s="2488">
        <f t="shared" si="26"/>
        <v>-506947.16913474095</v>
      </c>
      <c r="U119" s="2488">
        <f t="shared" si="35"/>
        <v>-619602.09560912882</v>
      </c>
      <c r="Y119" s="477">
        <v>112</v>
      </c>
      <c r="Z119" s="477">
        <v>202712</v>
      </c>
      <c r="AA119" s="2487">
        <f t="shared" si="38"/>
        <v>141673.76797421335</v>
      </c>
      <c r="AB119" s="2487">
        <f t="shared" si="38"/>
        <v>9212.1931736232491</v>
      </c>
      <c r="AC119" s="2487">
        <f t="shared" si="38"/>
        <v>180859.29027261797</v>
      </c>
      <c r="AD119" s="2487">
        <f t="shared" si="38"/>
        <v>-16151.082640952791</v>
      </c>
      <c r="AE119" s="2487">
        <f t="shared" si="39"/>
        <v>315594.16877950181</v>
      </c>
      <c r="AF119" s="2487"/>
      <c r="AG119" s="2487">
        <f t="shared" si="40"/>
        <v>28472.18673513988</v>
      </c>
      <c r="AH119" s="2487">
        <f t="shared" si="40"/>
        <v>3233.4334850305936</v>
      </c>
      <c r="AI119" s="2487">
        <f t="shared" si="40"/>
        <v>59670.591944930027</v>
      </c>
      <c r="AJ119" s="2487">
        <f t="shared" si="40"/>
        <v>-1967.5403600305935</v>
      </c>
      <c r="AK119" s="2487">
        <f t="shared" si="40"/>
        <v>89408.671805069913</v>
      </c>
    </row>
    <row r="120" spans="9:37">
      <c r="I120" s="2494">
        <v>48029</v>
      </c>
      <c r="J120" s="2488">
        <f>-'G-3.04,5.01 PF AMI'!AE161</f>
        <v>-315594.16877950181</v>
      </c>
      <c r="K120" s="2488">
        <f t="shared" si="27"/>
        <v>8205448.3882669769</v>
      </c>
      <c r="L120" s="2488">
        <f t="shared" si="32"/>
        <v>10099013.400943987</v>
      </c>
      <c r="M120" s="2488">
        <f t="shared" si="25"/>
        <v>-1723144.1615360652</v>
      </c>
      <c r="N120" s="2488">
        <f t="shared" si="33"/>
        <v>-2120792.8141982369</v>
      </c>
      <c r="P120" s="2494">
        <v>48029</v>
      </c>
      <c r="Q120" s="2488">
        <f>-'G-3.04,5.01 PF AMI'!AK161</f>
        <v>-89408.671805069913</v>
      </c>
      <c r="R120" s="2488">
        <f t="shared" si="28"/>
        <v>2324625.466931792</v>
      </c>
      <c r="S120" s="2488">
        <f t="shared" si="34"/>
        <v>2861077.4977622107</v>
      </c>
      <c r="T120" s="2488">
        <f t="shared" si="26"/>
        <v>-488171.34805567632</v>
      </c>
      <c r="U120" s="2488">
        <f t="shared" si="35"/>
        <v>-600826.2745300642</v>
      </c>
      <c r="Y120" s="477">
        <v>113</v>
      </c>
      <c r="Z120" s="477">
        <v>202801</v>
      </c>
      <c r="AA120" s="2487">
        <f t="shared" si="38"/>
        <v>141673.76797421335</v>
      </c>
      <c r="AB120" s="2487">
        <f t="shared" si="38"/>
        <v>9212.1931736232491</v>
      </c>
      <c r="AC120" s="2487">
        <f t="shared" si="38"/>
        <v>180859.29027261797</v>
      </c>
      <c r="AD120" s="2487">
        <f t="shared" si="38"/>
        <v>-16151.082640952791</v>
      </c>
      <c r="AE120" s="2487">
        <f t="shared" si="39"/>
        <v>315594.16877950181</v>
      </c>
      <c r="AF120" s="2487"/>
      <c r="AG120" s="2487">
        <f t="shared" si="40"/>
        <v>28472.18673513988</v>
      </c>
      <c r="AH120" s="2487">
        <f t="shared" si="40"/>
        <v>3233.4334850305936</v>
      </c>
      <c r="AI120" s="2487">
        <f t="shared" si="40"/>
        <v>59670.591944930027</v>
      </c>
      <c r="AJ120" s="2487">
        <f t="shared" si="40"/>
        <v>-1967.5403600305935</v>
      </c>
      <c r="AK120" s="2487">
        <f t="shared" si="40"/>
        <v>89408.671805069913</v>
      </c>
    </row>
    <row r="121" spans="9:37">
      <c r="I121" s="2494">
        <v>48060</v>
      </c>
      <c r="J121" s="2488">
        <f>-'G-3.04,5.01 PF AMI'!AE162</f>
        <v>-315594.16877950181</v>
      </c>
      <c r="K121" s="2488">
        <f t="shared" si="27"/>
        <v>7889854.2194874752</v>
      </c>
      <c r="L121" s="2488">
        <f t="shared" si="32"/>
        <v>9783419.2321644854</v>
      </c>
      <c r="M121" s="2488">
        <f t="shared" si="25"/>
        <v>-1656869.3860923697</v>
      </c>
      <c r="N121" s="2488">
        <f t="shared" si="33"/>
        <v>-2054518.0387545414</v>
      </c>
      <c r="P121" s="2494">
        <v>48060</v>
      </c>
      <c r="Q121" s="2488">
        <f>-'G-3.04,5.01 PF AMI'!AK162</f>
        <v>-89408.671805069913</v>
      </c>
      <c r="R121" s="2488">
        <f t="shared" si="28"/>
        <v>2235216.7951267222</v>
      </c>
      <c r="S121" s="2488">
        <f t="shared" si="34"/>
        <v>2771668.8259571414</v>
      </c>
      <c r="T121" s="2488">
        <f t="shared" si="26"/>
        <v>-469395.52697661164</v>
      </c>
      <c r="U121" s="2488">
        <f t="shared" si="35"/>
        <v>-582050.45345099957</v>
      </c>
      <c r="Y121" s="477">
        <v>114</v>
      </c>
      <c r="Z121" s="477">
        <v>202802</v>
      </c>
      <c r="AA121" s="2487">
        <f t="shared" si="38"/>
        <v>141673.76797421335</v>
      </c>
      <c r="AB121" s="2487">
        <f t="shared" si="38"/>
        <v>9212.1931736232491</v>
      </c>
      <c r="AC121" s="2487">
        <f t="shared" si="38"/>
        <v>180859.29027261797</v>
      </c>
      <c r="AD121" s="2487">
        <f t="shared" si="38"/>
        <v>-16151.082640952791</v>
      </c>
      <c r="AE121" s="2487">
        <f t="shared" si="39"/>
        <v>315594.16877950181</v>
      </c>
      <c r="AF121" s="2487"/>
      <c r="AG121" s="2487">
        <f t="shared" si="40"/>
        <v>28472.18673513988</v>
      </c>
      <c r="AH121" s="2487">
        <f t="shared" si="40"/>
        <v>3233.4334850305936</v>
      </c>
      <c r="AI121" s="2487">
        <f t="shared" si="40"/>
        <v>59670.591944930027</v>
      </c>
      <c r="AJ121" s="2487">
        <f t="shared" si="40"/>
        <v>-1967.5403600305935</v>
      </c>
      <c r="AK121" s="2487">
        <f t="shared" si="40"/>
        <v>89408.671805069913</v>
      </c>
    </row>
    <row r="122" spans="9:37">
      <c r="I122" s="2494">
        <v>48091</v>
      </c>
      <c r="J122" s="2488">
        <f>-'G-3.04,5.01 PF AMI'!AE163</f>
        <v>-315594.16877950181</v>
      </c>
      <c r="K122" s="2488">
        <f t="shared" si="27"/>
        <v>7574260.0507079735</v>
      </c>
      <c r="L122" s="2488">
        <f t="shared" si="32"/>
        <v>9467825.0633849837</v>
      </c>
      <c r="M122" s="2488">
        <f t="shared" si="25"/>
        <v>-1590594.6106486744</v>
      </c>
      <c r="N122" s="2488">
        <f t="shared" si="33"/>
        <v>-1988243.2633108459</v>
      </c>
      <c r="P122" s="2494">
        <v>48091</v>
      </c>
      <c r="Q122" s="2488">
        <f>-'G-3.04,5.01 PF AMI'!AK163</f>
        <v>-89408.671805069913</v>
      </c>
      <c r="R122" s="2488">
        <f t="shared" si="28"/>
        <v>2145808.1233216524</v>
      </c>
      <c r="S122" s="2488">
        <f t="shared" si="34"/>
        <v>2682260.1541520711</v>
      </c>
      <c r="T122" s="2488">
        <f t="shared" si="26"/>
        <v>-450619.70589754701</v>
      </c>
      <c r="U122" s="2488">
        <f t="shared" si="35"/>
        <v>-563274.63237193495</v>
      </c>
      <c r="Y122" s="477">
        <v>115</v>
      </c>
      <c r="Z122" s="477">
        <v>202803</v>
      </c>
      <c r="AA122" s="2487">
        <f t="shared" si="38"/>
        <v>141673.76797421335</v>
      </c>
      <c r="AB122" s="2487">
        <f t="shared" si="38"/>
        <v>9212.1931736232491</v>
      </c>
      <c r="AC122" s="2487">
        <f t="shared" si="38"/>
        <v>180859.29027261797</v>
      </c>
      <c r="AD122" s="2487">
        <f t="shared" si="38"/>
        <v>-16151.082640952791</v>
      </c>
      <c r="AE122" s="2487">
        <f t="shared" si="39"/>
        <v>315594.16877950181</v>
      </c>
      <c r="AF122" s="2487"/>
      <c r="AG122" s="2487">
        <f t="shared" si="40"/>
        <v>28472.18673513988</v>
      </c>
      <c r="AH122" s="2487">
        <f t="shared" si="40"/>
        <v>3233.4334850305936</v>
      </c>
      <c r="AI122" s="2487">
        <f t="shared" si="40"/>
        <v>59670.591944930027</v>
      </c>
      <c r="AJ122" s="2487">
        <f t="shared" si="40"/>
        <v>-1967.5403600305935</v>
      </c>
      <c r="AK122" s="2487">
        <f t="shared" si="40"/>
        <v>89408.671805069913</v>
      </c>
    </row>
    <row r="123" spans="9:37">
      <c r="I123" s="2494">
        <v>48121</v>
      </c>
      <c r="J123" s="2488">
        <f>-'G-3.04,5.01 PF AMI'!AE164</f>
        <v>-315594.16877950181</v>
      </c>
      <c r="K123" s="2488">
        <f t="shared" si="27"/>
        <v>7258665.8819284718</v>
      </c>
      <c r="L123" s="2488">
        <f t="shared" si="32"/>
        <v>9152230.894605482</v>
      </c>
      <c r="M123" s="2488">
        <f t="shared" si="25"/>
        <v>-1524319.8352049789</v>
      </c>
      <c r="N123" s="2488">
        <f t="shared" si="33"/>
        <v>-1921968.4878671507</v>
      </c>
      <c r="P123" s="2494">
        <v>48121</v>
      </c>
      <c r="Q123" s="2488">
        <f>-'G-3.04,5.01 PF AMI'!AK164</f>
        <v>-89408.671805069913</v>
      </c>
      <c r="R123" s="2488">
        <f t="shared" si="28"/>
        <v>2056399.4515165824</v>
      </c>
      <c r="S123" s="2488">
        <f t="shared" si="34"/>
        <v>2592851.4823470018</v>
      </c>
      <c r="T123" s="2488">
        <f t="shared" si="26"/>
        <v>-431843.88481848227</v>
      </c>
      <c r="U123" s="2488">
        <f t="shared" si="35"/>
        <v>-544498.81129287032</v>
      </c>
      <c r="Y123" s="477">
        <v>116</v>
      </c>
      <c r="Z123" s="477">
        <v>202804</v>
      </c>
      <c r="AA123" s="2487">
        <f t="shared" si="38"/>
        <v>141673.76797421335</v>
      </c>
      <c r="AB123" s="2487">
        <f t="shared" si="38"/>
        <v>9212.1931736232491</v>
      </c>
      <c r="AC123" s="2487">
        <f t="shared" si="38"/>
        <v>180859.29027261797</v>
      </c>
      <c r="AD123" s="2487">
        <f t="shared" si="38"/>
        <v>-16151.082640952791</v>
      </c>
      <c r="AE123" s="2487">
        <f t="shared" si="39"/>
        <v>315594.16877950181</v>
      </c>
      <c r="AF123" s="2487"/>
      <c r="AG123" s="2487">
        <f t="shared" si="40"/>
        <v>28472.18673513988</v>
      </c>
      <c r="AH123" s="2487">
        <f t="shared" si="40"/>
        <v>3233.4334850305936</v>
      </c>
      <c r="AI123" s="2487">
        <f t="shared" si="40"/>
        <v>59670.591944930027</v>
      </c>
      <c r="AJ123" s="2487">
        <f t="shared" si="40"/>
        <v>-1967.5403600305935</v>
      </c>
      <c r="AK123" s="2487">
        <f t="shared" si="40"/>
        <v>89408.671805069913</v>
      </c>
    </row>
    <row r="124" spans="9:37">
      <c r="I124" s="2494">
        <v>48152</v>
      </c>
      <c r="J124" s="2488">
        <f>-'G-3.04,5.01 PF AMI'!AE165</f>
        <v>-315594.16877950181</v>
      </c>
      <c r="K124" s="2488">
        <f t="shared" si="27"/>
        <v>6943071.7131489702</v>
      </c>
      <c r="L124" s="2488">
        <f t="shared" si="32"/>
        <v>8836636.7258259803</v>
      </c>
      <c r="M124" s="2488">
        <f t="shared" si="25"/>
        <v>-1458045.0597612837</v>
      </c>
      <c r="N124" s="2488">
        <f t="shared" si="33"/>
        <v>-1855693.7124234552</v>
      </c>
      <c r="P124" s="2494">
        <v>48152</v>
      </c>
      <c r="Q124" s="2488">
        <f>-'G-3.04,5.01 PF AMI'!AK165</f>
        <v>-89408.671805069913</v>
      </c>
      <c r="R124" s="2488">
        <f t="shared" si="28"/>
        <v>1966990.7797115124</v>
      </c>
      <c r="S124" s="2488">
        <f t="shared" si="34"/>
        <v>2503442.8105419315</v>
      </c>
      <c r="T124" s="2488">
        <f t="shared" si="26"/>
        <v>-413068.06373941759</v>
      </c>
      <c r="U124" s="2488">
        <f t="shared" si="35"/>
        <v>-525722.99021380569</v>
      </c>
      <c r="Y124" s="477">
        <v>117</v>
      </c>
      <c r="Z124" s="477">
        <v>202805</v>
      </c>
      <c r="AA124" s="2487">
        <f t="shared" si="38"/>
        <v>141673.76797421335</v>
      </c>
      <c r="AB124" s="2487">
        <f t="shared" si="38"/>
        <v>9212.1931736232491</v>
      </c>
      <c r="AC124" s="2487">
        <f t="shared" si="38"/>
        <v>180859.29027261797</v>
      </c>
      <c r="AD124" s="2487">
        <f t="shared" si="38"/>
        <v>-16151.082640952791</v>
      </c>
      <c r="AE124" s="2487">
        <f t="shared" si="39"/>
        <v>315594.16877950181</v>
      </c>
      <c r="AF124" s="2487"/>
      <c r="AG124" s="2487">
        <f t="shared" si="40"/>
        <v>28472.18673513988</v>
      </c>
      <c r="AH124" s="2487">
        <f t="shared" si="40"/>
        <v>3233.4334850305936</v>
      </c>
      <c r="AI124" s="2487">
        <f t="shared" si="40"/>
        <v>59670.591944930027</v>
      </c>
      <c r="AJ124" s="2487">
        <f t="shared" si="40"/>
        <v>-1967.5403600305935</v>
      </c>
      <c r="AK124" s="2487">
        <f t="shared" si="40"/>
        <v>89408.671805069913</v>
      </c>
    </row>
    <row r="125" spans="9:37">
      <c r="I125" s="2494">
        <v>48182</v>
      </c>
      <c r="J125" s="2488">
        <f>-'G-3.04,5.01 PF AMI'!AE166</f>
        <v>-315594.16877950181</v>
      </c>
      <c r="K125" s="2488">
        <f t="shared" si="27"/>
        <v>6627477.5443694685</v>
      </c>
      <c r="L125" s="2488">
        <f t="shared" si="32"/>
        <v>8521042.5570464786</v>
      </c>
      <c r="M125" s="2488">
        <f t="shared" si="25"/>
        <v>-1391770.2843175884</v>
      </c>
      <c r="N125" s="2488">
        <f t="shared" si="33"/>
        <v>-1789418.9369797602</v>
      </c>
      <c r="P125" s="2494">
        <v>48182</v>
      </c>
      <c r="Q125" s="2488">
        <f>-'G-3.04,5.01 PF AMI'!AK166</f>
        <v>-89408.671805069913</v>
      </c>
      <c r="R125" s="2488">
        <f t="shared" si="28"/>
        <v>1877582.1079064424</v>
      </c>
      <c r="S125" s="2488">
        <f t="shared" si="34"/>
        <v>2414034.1387368618</v>
      </c>
      <c r="T125" s="2488">
        <f t="shared" si="26"/>
        <v>-394292.2426603529</v>
      </c>
      <c r="U125" s="2488">
        <f t="shared" si="35"/>
        <v>-506947.16913474101</v>
      </c>
      <c r="Y125" s="477">
        <v>118</v>
      </c>
      <c r="Z125" s="477">
        <v>202806</v>
      </c>
      <c r="AA125" s="2487">
        <f t="shared" ref="AA125:AD140" si="41">AA124</f>
        <v>141673.76797421335</v>
      </c>
      <c r="AB125" s="2487">
        <f t="shared" si="41"/>
        <v>9212.1931736232491</v>
      </c>
      <c r="AC125" s="2487">
        <f t="shared" si="41"/>
        <v>180859.29027261797</v>
      </c>
      <c r="AD125" s="2487">
        <f t="shared" si="41"/>
        <v>-16151.082640952791</v>
      </c>
      <c r="AE125" s="2487">
        <f t="shared" si="39"/>
        <v>315594.16877950181</v>
      </c>
      <c r="AF125" s="2487"/>
      <c r="AG125" s="2487">
        <f t="shared" ref="AG125:AK140" si="42">AG124</f>
        <v>28472.18673513988</v>
      </c>
      <c r="AH125" s="2487">
        <f t="shared" si="42"/>
        <v>3233.4334850305936</v>
      </c>
      <c r="AI125" s="2487">
        <f t="shared" si="42"/>
        <v>59670.591944930027</v>
      </c>
      <c r="AJ125" s="2487">
        <f t="shared" si="42"/>
        <v>-1967.5403600305935</v>
      </c>
      <c r="AK125" s="2487">
        <f t="shared" si="42"/>
        <v>89408.671805069913</v>
      </c>
    </row>
    <row r="126" spans="9:37">
      <c r="I126" s="2494">
        <v>48213</v>
      </c>
      <c r="J126" s="2488">
        <f>-'G-3.04,5.01 PF AMI'!AE167</f>
        <v>-315594.16877950181</v>
      </c>
      <c r="K126" s="2488">
        <f t="shared" si="27"/>
        <v>6311883.3755899668</v>
      </c>
      <c r="L126" s="2488">
        <f t="shared" si="32"/>
        <v>8205448.3882669779</v>
      </c>
      <c r="M126" s="2488">
        <f t="shared" si="25"/>
        <v>-1325495.5088738929</v>
      </c>
      <c r="N126" s="2488">
        <f t="shared" si="33"/>
        <v>-1723144.1615360652</v>
      </c>
      <c r="P126" s="2494">
        <v>48213</v>
      </c>
      <c r="Q126" s="2488">
        <f>-'G-3.04,5.01 PF AMI'!AK167</f>
        <v>-89408.671805069913</v>
      </c>
      <c r="R126" s="2488">
        <f t="shared" si="28"/>
        <v>1788173.4361013724</v>
      </c>
      <c r="S126" s="2488">
        <f t="shared" si="34"/>
        <v>2324625.466931792</v>
      </c>
      <c r="T126" s="2488">
        <f t="shared" si="26"/>
        <v>-375516.42158128816</v>
      </c>
      <c r="U126" s="2488">
        <f t="shared" si="35"/>
        <v>-488171.34805567627</v>
      </c>
      <c r="Y126" s="477">
        <v>119</v>
      </c>
      <c r="Z126" s="477">
        <v>202807</v>
      </c>
      <c r="AA126" s="2487">
        <f t="shared" si="41"/>
        <v>141673.76797421335</v>
      </c>
      <c r="AB126" s="2487">
        <f t="shared" si="41"/>
        <v>9212.1931736232491</v>
      </c>
      <c r="AC126" s="2487">
        <f t="shared" si="41"/>
        <v>180859.29027261797</v>
      </c>
      <c r="AD126" s="2487">
        <f t="shared" si="41"/>
        <v>-16151.082640952791</v>
      </c>
      <c r="AE126" s="2487">
        <f t="shared" si="39"/>
        <v>315594.16877950181</v>
      </c>
      <c r="AF126" s="2487"/>
      <c r="AG126" s="2487">
        <f t="shared" si="42"/>
        <v>28472.18673513988</v>
      </c>
      <c r="AH126" s="2487">
        <f t="shared" si="42"/>
        <v>3233.4334850305936</v>
      </c>
      <c r="AI126" s="2487">
        <f t="shared" si="42"/>
        <v>59670.591944930027</v>
      </c>
      <c r="AJ126" s="2487">
        <f t="shared" si="42"/>
        <v>-1967.5403600305935</v>
      </c>
      <c r="AK126" s="2487">
        <f t="shared" si="42"/>
        <v>89408.671805069913</v>
      </c>
    </row>
    <row r="127" spans="9:37">
      <c r="I127" s="2494">
        <v>48244</v>
      </c>
      <c r="J127" s="2488">
        <f>-'G-3.04,5.01 PF AMI'!AE168</f>
        <v>-315594.16877950181</v>
      </c>
      <c r="K127" s="2488">
        <f t="shared" si="27"/>
        <v>5996289.2068104651</v>
      </c>
      <c r="L127" s="2488">
        <f t="shared" si="32"/>
        <v>7889854.2194874762</v>
      </c>
      <c r="M127" s="2488">
        <f t="shared" si="25"/>
        <v>-1259220.7334301977</v>
      </c>
      <c r="N127" s="2488">
        <f t="shared" si="33"/>
        <v>-1656869.3860923697</v>
      </c>
      <c r="P127" s="2494">
        <v>48244</v>
      </c>
      <c r="Q127" s="2488">
        <f>-'G-3.04,5.01 PF AMI'!AK168</f>
        <v>-89408.671805069913</v>
      </c>
      <c r="R127" s="2488">
        <f t="shared" si="28"/>
        <v>1698764.7642963023</v>
      </c>
      <c r="S127" s="2488">
        <f t="shared" si="34"/>
        <v>2235216.7951267222</v>
      </c>
      <c r="T127" s="2488">
        <f t="shared" si="26"/>
        <v>-356740.60050222347</v>
      </c>
      <c r="U127" s="2488">
        <f t="shared" si="35"/>
        <v>-469395.52697661152</v>
      </c>
      <c r="Y127" s="477">
        <v>120</v>
      </c>
      <c r="Z127" s="477">
        <v>202808</v>
      </c>
      <c r="AA127" s="2487">
        <f t="shared" si="41"/>
        <v>141673.76797421335</v>
      </c>
      <c r="AB127" s="2487">
        <f t="shared" si="41"/>
        <v>9212.1931736232491</v>
      </c>
      <c r="AC127" s="2487">
        <f t="shared" si="41"/>
        <v>180859.29027261797</v>
      </c>
      <c r="AD127" s="2487">
        <f t="shared" si="41"/>
        <v>-16151.082640952791</v>
      </c>
      <c r="AE127" s="2487">
        <f t="shared" si="39"/>
        <v>315594.16877950181</v>
      </c>
      <c r="AF127" s="2487"/>
      <c r="AG127" s="2487">
        <f t="shared" si="42"/>
        <v>28472.18673513988</v>
      </c>
      <c r="AH127" s="2487">
        <f t="shared" si="42"/>
        <v>3233.4334850305936</v>
      </c>
      <c r="AI127" s="2487">
        <f t="shared" si="42"/>
        <v>59670.591944930027</v>
      </c>
      <c r="AJ127" s="2487">
        <f t="shared" si="42"/>
        <v>-1967.5403600305935</v>
      </c>
      <c r="AK127" s="2487">
        <f t="shared" si="42"/>
        <v>89408.671805069913</v>
      </c>
    </row>
    <row r="128" spans="9:37">
      <c r="I128" s="2494">
        <v>48273</v>
      </c>
      <c r="J128" s="2488">
        <f>-'G-3.04,5.01 PF AMI'!AE169</f>
        <v>-315594.16877950181</v>
      </c>
      <c r="K128" s="2488">
        <f t="shared" si="27"/>
        <v>5680695.0380309634</v>
      </c>
      <c r="L128" s="2488">
        <f t="shared" si="32"/>
        <v>7574260.0507079735</v>
      </c>
      <c r="M128" s="2488">
        <f t="shared" si="25"/>
        <v>-1192945.9579865022</v>
      </c>
      <c r="N128" s="2488">
        <f t="shared" si="33"/>
        <v>-1590594.6106486749</v>
      </c>
      <c r="P128" s="2494">
        <v>48273</v>
      </c>
      <c r="Q128" s="2488">
        <f>-'G-3.04,5.01 PF AMI'!AK169</f>
        <v>-89408.671805069913</v>
      </c>
      <c r="R128" s="2488">
        <f t="shared" si="28"/>
        <v>1609356.0924912323</v>
      </c>
      <c r="S128" s="2488">
        <f t="shared" si="34"/>
        <v>2145808.1233216519</v>
      </c>
      <c r="T128" s="2488">
        <f t="shared" si="26"/>
        <v>-337964.77942315879</v>
      </c>
      <c r="U128" s="2488">
        <f t="shared" si="35"/>
        <v>-450619.70589754684</v>
      </c>
      <c r="Y128" s="477">
        <v>121</v>
      </c>
      <c r="Z128" s="477">
        <v>202809</v>
      </c>
      <c r="AA128" s="2487">
        <f t="shared" si="41"/>
        <v>141673.76797421335</v>
      </c>
      <c r="AB128" s="2487">
        <f t="shared" si="41"/>
        <v>9212.1931736232491</v>
      </c>
      <c r="AC128" s="2487">
        <f t="shared" si="41"/>
        <v>180859.29027261797</v>
      </c>
      <c r="AD128" s="2487">
        <f t="shared" si="41"/>
        <v>-16151.082640952791</v>
      </c>
      <c r="AE128" s="2487">
        <f t="shared" si="39"/>
        <v>315594.16877950181</v>
      </c>
      <c r="AF128" s="2487"/>
      <c r="AG128" s="2487">
        <f t="shared" si="42"/>
        <v>28472.18673513988</v>
      </c>
      <c r="AH128" s="2487">
        <f t="shared" si="42"/>
        <v>3233.4334850305936</v>
      </c>
      <c r="AI128" s="2487">
        <f t="shared" si="42"/>
        <v>59670.591944930027</v>
      </c>
      <c r="AJ128" s="2487">
        <f t="shared" si="42"/>
        <v>-1967.5403600305935</v>
      </c>
      <c r="AK128" s="2487">
        <f t="shared" si="42"/>
        <v>89408.671805069913</v>
      </c>
    </row>
    <row r="129" spans="9:37">
      <c r="I129" s="2494">
        <v>48304</v>
      </c>
      <c r="J129" s="2488">
        <f>-'G-3.04,5.01 PF AMI'!AE170</f>
        <v>-315594.16877950181</v>
      </c>
      <c r="K129" s="2488">
        <f t="shared" si="27"/>
        <v>5365100.8692514617</v>
      </c>
      <c r="L129" s="2488">
        <f t="shared" si="32"/>
        <v>7258665.8819284728</v>
      </c>
      <c r="M129" s="2488">
        <f t="shared" si="25"/>
        <v>-1126671.182542807</v>
      </c>
      <c r="N129" s="2488">
        <f t="shared" si="33"/>
        <v>-1524319.8352049794</v>
      </c>
      <c r="P129" s="2494">
        <v>48304</v>
      </c>
      <c r="Q129" s="2488">
        <f>-'G-3.04,5.01 PF AMI'!AK170</f>
        <v>-89408.671805069913</v>
      </c>
      <c r="R129" s="2488">
        <f t="shared" si="28"/>
        <v>1519947.4206861623</v>
      </c>
      <c r="S129" s="2488">
        <f t="shared" si="34"/>
        <v>2056399.4515165819</v>
      </c>
      <c r="T129" s="2488">
        <f t="shared" si="26"/>
        <v>-319188.95834409405</v>
      </c>
      <c r="U129" s="2488">
        <f t="shared" si="35"/>
        <v>-431843.88481848221</v>
      </c>
      <c r="Y129" s="477">
        <v>122</v>
      </c>
      <c r="Z129" s="477">
        <v>202810</v>
      </c>
      <c r="AA129" s="2487">
        <f t="shared" si="41"/>
        <v>141673.76797421335</v>
      </c>
      <c r="AB129" s="2487">
        <f t="shared" si="41"/>
        <v>9212.1931736232491</v>
      </c>
      <c r="AC129" s="2487">
        <f t="shared" si="41"/>
        <v>180859.29027261797</v>
      </c>
      <c r="AD129" s="2487">
        <f t="shared" si="41"/>
        <v>-16151.082640952791</v>
      </c>
      <c r="AE129" s="2487">
        <f t="shared" si="39"/>
        <v>315594.16877950181</v>
      </c>
      <c r="AF129" s="2487"/>
      <c r="AG129" s="2487">
        <f t="shared" si="42"/>
        <v>28472.18673513988</v>
      </c>
      <c r="AH129" s="2487">
        <f t="shared" si="42"/>
        <v>3233.4334850305936</v>
      </c>
      <c r="AI129" s="2487">
        <f t="shared" si="42"/>
        <v>59670.591944930027</v>
      </c>
      <c r="AJ129" s="2487">
        <f t="shared" si="42"/>
        <v>-1967.5403600305935</v>
      </c>
      <c r="AK129" s="2487">
        <f t="shared" si="42"/>
        <v>89408.671805069913</v>
      </c>
    </row>
    <row r="130" spans="9:37">
      <c r="I130" s="2494">
        <v>48334</v>
      </c>
      <c r="J130" s="2488">
        <f>-'G-3.04,5.01 PF AMI'!AE171</f>
        <v>-315594.16877950181</v>
      </c>
      <c r="K130" s="2488">
        <f t="shared" si="27"/>
        <v>5049506.70047196</v>
      </c>
      <c r="L130" s="2488">
        <f t="shared" si="32"/>
        <v>6943071.7131489702</v>
      </c>
      <c r="M130" s="2488">
        <f t="shared" si="25"/>
        <v>-1060396.4070991115</v>
      </c>
      <c r="N130" s="2488">
        <f t="shared" si="33"/>
        <v>-1458045.0597612837</v>
      </c>
      <c r="P130" s="2494">
        <v>48334</v>
      </c>
      <c r="Q130" s="2488">
        <f>-'G-3.04,5.01 PF AMI'!AK171</f>
        <v>-89408.671805069913</v>
      </c>
      <c r="R130" s="2488">
        <f t="shared" si="28"/>
        <v>1430538.7488810923</v>
      </c>
      <c r="S130" s="2488">
        <f t="shared" si="34"/>
        <v>1966990.7797115122</v>
      </c>
      <c r="T130" s="2488">
        <f t="shared" si="26"/>
        <v>-300413.13726502936</v>
      </c>
      <c r="U130" s="2488">
        <f t="shared" si="35"/>
        <v>-413068.06373941759</v>
      </c>
      <c r="Y130" s="477">
        <v>123</v>
      </c>
      <c r="Z130" s="477">
        <v>202811</v>
      </c>
      <c r="AA130" s="2487">
        <f t="shared" si="41"/>
        <v>141673.76797421335</v>
      </c>
      <c r="AB130" s="2487">
        <f t="shared" si="41"/>
        <v>9212.1931736232491</v>
      </c>
      <c r="AC130" s="2487">
        <f t="shared" si="41"/>
        <v>180859.29027261797</v>
      </c>
      <c r="AD130" s="2487">
        <f t="shared" si="41"/>
        <v>-16151.082640952791</v>
      </c>
      <c r="AE130" s="2487">
        <f t="shared" si="39"/>
        <v>315594.16877950181</v>
      </c>
      <c r="AF130" s="2487"/>
      <c r="AG130" s="2487">
        <f t="shared" si="42"/>
        <v>28472.18673513988</v>
      </c>
      <c r="AH130" s="2487">
        <f t="shared" si="42"/>
        <v>3233.4334850305936</v>
      </c>
      <c r="AI130" s="2487">
        <f t="shared" si="42"/>
        <v>59670.591944930027</v>
      </c>
      <c r="AJ130" s="2487">
        <f t="shared" si="42"/>
        <v>-1967.5403600305935</v>
      </c>
      <c r="AK130" s="2487">
        <f t="shared" si="42"/>
        <v>89408.671805069913</v>
      </c>
    </row>
    <row r="131" spans="9:37">
      <c r="I131" s="2494">
        <v>48365</v>
      </c>
      <c r="J131" s="2488">
        <f>-'G-3.04,5.01 PF AMI'!AE172</f>
        <v>-315594.16877950181</v>
      </c>
      <c r="K131" s="2488">
        <f t="shared" si="27"/>
        <v>4733912.5316924583</v>
      </c>
      <c r="L131" s="2488">
        <f t="shared" si="32"/>
        <v>6627477.5443694694</v>
      </c>
      <c r="M131" s="2488">
        <f t="shared" ref="M131:M146" si="43">K131*-0.21</f>
        <v>-994121.63165541622</v>
      </c>
      <c r="N131" s="2488">
        <f t="shared" si="33"/>
        <v>-1391770.2843175882</v>
      </c>
      <c r="P131" s="2494">
        <v>48365</v>
      </c>
      <c r="Q131" s="2488">
        <f>-'G-3.04,5.01 PF AMI'!AK172</f>
        <v>-89408.671805069913</v>
      </c>
      <c r="R131" s="2488">
        <f t="shared" si="28"/>
        <v>1341130.0770760223</v>
      </c>
      <c r="S131" s="2488">
        <f t="shared" si="34"/>
        <v>1877582.1079064421</v>
      </c>
      <c r="T131" s="2488">
        <f t="shared" ref="T131:T146" si="44">R131*-0.21</f>
        <v>-281637.31618596468</v>
      </c>
      <c r="U131" s="2488">
        <f t="shared" si="35"/>
        <v>-394292.2426603529</v>
      </c>
      <c r="Y131" s="477">
        <v>124</v>
      </c>
      <c r="Z131" s="477">
        <v>202812</v>
      </c>
      <c r="AA131" s="2487">
        <f t="shared" si="41"/>
        <v>141673.76797421335</v>
      </c>
      <c r="AB131" s="2487">
        <f t="shared" si="41"/>
        <v>9212.1931736232491</v>
      </c>
      <c r="AC131" s="2487">
        <f t="shared" si="41"/>
        <v>180859.29027261797</v>
      </c>
      <c r="AD131" s="2487">
        <f t="shared" si="41"/>
        <v>-16151.082640952791</v>
      </c>
      <c r="AE131" s="2487">
        <f t="shared" si="39"/>
        <v>315594.16877950181</v>
      </c>
      <c r="AF131" s="2487"/>
      <c r="AG131" s="2487">
        <f t="shared" si="42"/>
        <v>28472.18673513988</v>
      </c>
      <c r="AH131" s="2487">
        <f t="shared" si="42"/>
        <v>3233.4334850305936</v>
      </c>
      <c r="AI131" s="2487">
        <f t="shared" si="42"/>
        <v>59670.591944930027</v>
      </c>
      <c r="AJ131" s="2487">
        <f t="shared" si="42"/>
        <v>-1967.5403600305935</v>
      </c>
      <c r="AK131" s="2487">
        <f t="shared" si="42"/>
        <v>89408.671805069913</v>
      </c>
    </row>
    <row r="132" spans="9:37">
      <c r="I132" s="2494">
        <v>48395</v>
      </c>
      <c r="J132" s="2488">
        <f>-'G-3.04,5.01 PF AMI'!AE173</f>
        <v>-315594.16877950181</v>
      </c>
      <c r="K132" s="2488">
        <f t="shared" ref="K132:K146" si="45">J132+K131</f>
        <v>4418318.3629129566</v>
      </c>
      <c r="L132" s="2488">
        <f t="shared" si="32"/>
        <v>6311883.3755899677</v>
      </c>
      <c r="M132" s="2488">
        <f t="shared" si="43"/>
        <v>-927846.85621172085</v>
      </c>
      <c r="N132" s="2488">
        <f t="shared" si="33"/>
        <v>-1325495.5088738927</v>
      </c>
      <c r="P132" s="2494">
        <v>48395</v>
      </c>
      <c r="Q132" s="2488">
        <f>-'G-3.04,5.01 PF AMI'!AK173</f>
        <v>-89408.671805069913</v>
      </c>
      <c r="R132" s="2488">
        <f t="shared" ref="R132:R146" si="46">Q132+R131</f>
        <v>1251721.4052709523</v>
      </c>
      <c r="S132" s="2488">
        <f t="shared" si="34"/>
        <v>1788173.4361013724</v>
      </c>
      <c r="T132" s="2488">
        <f t="shared" si="44"/>
        <v>-262861.49510689999</v>
      </c>
      <c r="U132" s="2488">
        <f t="shared" si="35"/>
        <v>-375516.42158128816</v>
      </c>
      <c r="Y132" s="477">
        <v>125</v>
      </c>
      <c r="Z132" s="477">
        <v>202901</v>
      </c>
      <c r="AA132" s="2487">
        <f t="shared" si="41"/>
        <v>141673.76797421335</v>
      </c>
      <c r="AB132" s="2487">
        <f t="shared" si="41"/>
        <v>9212.1931736232491</v>
      </c>
      <c r="AC132" s="2487">
        <f t="shared" si="41"/>
        <v>180859.29027261797</v>
      </c>
      <c r="AD132" s="2487">
        <f t="shared" si="41"/>
        <v>-16151.082640952791</v>
      </c>
      <c r="AE132" s="2487">
        <f t="shared" si="39"/>
        <v>315594.16877950181</v>
      </c>
      <c r="AF132" s="2487"/>
      <c r="AG132" s="2487">
        <f t="shared" si="42"/>
        <v>28472.18673513988</v>
      </c>
      <c r="AH132" s="2487">
        <f t="shared" si="42"/>
        <v>3233.4334850305936</v>
      </c>
      <c r="AI132" s="2487">
        <f t="shared" si="42"/>
        <v>59670.591944930027</v>
      </c>
      <c r="AJ132" s="2487">
        <f t="shared" si="42"/>
        <v>-1967.5403600305935</v>
      </c>
      <c r="AK132" s="2487">
        <f t="shared" si="42"/>
        <v>89408.671805069913</v>
      </c>
    </row>
    <row r="133" spans="9:37">
      <c r="I133" s="2494">
        <v>48426</v>
      </c>
      <c r="J133" s="2488">
        <f>-'G-3.04,5.01 PF AMI'!AE174</f>
        <v>-315594.16877950181</v>
      </c>
      <c r="K133" s="2488">
        <f t="shared" si="45"/>
        <v>4102724.1941334549</v>
      </c>
      <c r="L133" s="2488">
        <f t="shared" si="32"/>
        <v>5996289.2068104642</v>
      </c>
      <c r="M133" s="2488">
        <f t="shared" si="43"/>
        <v>-861572.08076802548</v>
      </c>
      <c r="N133" s="2488">
        <f t="shared" si="33"/>
        <v>-1259220.7334301975</v>
      </c>
      <c r="P133" s="2494">
        <v>48426</v>
      </c>
      <c r="Q133" s="2488">
        <f>-'G-3.04,5.01 PF AMI'!AK174</f>
        <v>-89408.671805069913</v>
      </c>
      <c r="R133" s="2488">
        <f t="shared" si="46"/>
        <v>1162312.7334658823</v>
      </c>
      <c r="S133" s="2488">
        <f t="shared" si="34"/>
        <v>1698764.7642963023</v>
      </c>
      <c r="T133" s="2488">
        <f t="shared" si="44"/>
        <v>-244085.67402783525</v>
      </c>
      <c r="U133" s="2488">
        <f t="shared" si="35"/>
        <v>-356740.60050222347</v>
      </c>
      <c r="Y133" s="477">
        <v>126</v>
      </c>
      <c r="Z133" s="477">
        <v>202902</v>
      </c>
      <c r="AA133" s="2487">
        <f t="shared" si="41"/>
        <v>141673.76797421335</v>
      </c>
      <c r="AB133" s="2487">
        <f t="shared" si="41"/>
        <v>9212.1931736232491</v>
      </c>
      <c r="AC133" s="2487">
        <f t="shared" si="41"/>
        <v>180859.29027261797</v>
      </c>
      <c r="AD133" s="2487">
        <f t="shared" si="41"/>
        <v>-16151.082640952791</v>
      </c>
      <c r="AE133" s="2487">
        <f t="shared" si="39"/>
        <v>315594.16877950181</v>
      </c>
      <c r="AF133" s="2487"/>
      <c r="AG133" s="2487">
        <f t="shared" si="42"/>
        <v>28472.18673513988</v>
      </c>
      <c r="AH133" s="2487">
        <f t="shared" si="42"/>
        <v>3233.4334850305936</v>
      </c>
      <c r="AI133" s="2487">
        <f t="shared" si="42"/>
        <v>59670.591944930027</v>
      </c>
      <c r="AJ133" s="2487">
        <f t="shared" si="42"/>
        <v>-1967.5403600305935</v>
      </c>
      <c r="AK133" s="2487">
        <f t="shared" si="42"/>
        <v>89408.671805069913</v>
      </c>
    </row>
    <row r="134" spans="9:37">
      <c r="I134" s="2494">
        <v>48457</v>
      </c>
      <c r="J134" s="2488">
        <f>-'G-3.04,5.01 PF AMI'!AE175</f>
        <v>-315594.16877950181</v>
      </c>
      <c r="K134" s="2488">
        <f t="shared" si="45"/>
        <v>3787130.0253539532</v>
      </c>
      <c r="L134" s="2488">
        <f t="shared" si="32"/>
        <v>5680695.0380309643</v>
      </c>
      <c r="M134" s="2488">
        <f t="shared" si="43"/>
        <v>-795297.30532433011</v>
      </c>
      <c r="N134" s="2488">
        <f t="shared" si="33"/>
        <v>-1192945.957986502</v>
      </c>
      <c r="P134" s="2494">
        <v>48457</v>
      </c>
      <c r="Q134" s="2488">
        <f>-'G-3.04,5.01 PF AMI'!AK175</f>
        <v>-89408.671805069913</v>
      </c>
      <c r="R134" s="2488">
        <f t="shared" si="46"/>
        <v>1072904.0616608122</v>
      </c>
      <c r="S134" s="2488">
        <f t="shared" si="34"/>
        <v>1609356.0924912326</v>
      </c>
      <c r="T134" s="2488">
        <f t="shared" si="44"/>
        <v>-225309.85294877057</v>
      </c>
      <c r="U134" s="2488">
        <f t="shared" si="35"/>
        <v>-337964.77942315879</v>
      </c>
      <c r="Y134" s="477">
        <v>127</v>
      </c>
      <c r="Z134" s="477">
        <v>202903</v>
      </c>
      <c r="AA134" s="2487">
        <f t="shared" si="41"/>
        <v>141673.76797421335</v>
      </c>
      <c r="AB134" s="2487">
        <f t="shared" si="41"/>
        <v>9212.1931736232491</v>
      </c>
      <c r="AC134" s="2487">
        <f t="shared" si="41"/>
        <v>180859.29027261797</v>
      </c>
      <c r="AD134" s="2487">
        <f t="shared" si="41"/>
        <v>-16151.082640952791</v>
      </c>
      <c r="AE134" s="2487">
        <f t="shared" si="39"/>
        <v>315594.16877950181</v>
      </c>
      <c r="AF134" s="2487"/>
      <c r="AG134" s="2487">
        <f t="shared" si="42"/>
        <v>28472.18673513988</v>
      </c>
      <c r="AH134" s="2487">
        <f t="shared" si="42"/>
        <v>3233.4334850305936</v>
      </c>
      <c r="AI134" s="2487">
        <f t="shared" si="42"/>
        <v>59670.591944930027</v>
      </c>
      <c r="AJ134" s="2487">
        <f t="shared" si="42"/>
        <v>-1967.5403600305935</v>
      </c>
      <c r="AK134" s="2487">
        <f t="shared" si="42"/>
        <v>89408.671805069913</v>
      </c>
    </row>
    <row r="135" spans="9:37">
      <c r="I135" s="2494">
        <v>48487</v>
      </c>
      <c r="J135" s="2488">
        <f>-'G-3.04,5.01 PF AMI'!AE176</f>
        <v>-315594.16877950181</v>
      </c>
      <c r="K135" s="2488">
        <f t="shared" si="45"/>
        <v>3471535.8565744516</v>
      </c>
      <c r="L135" s="2488">
        <f t="shared" si="32"/>
        <v>5365100.8692514617</v>
      </c>
      <c r="M135" s="2488">
        <f t="shared" si="43"/>
        <v>-729022.52988063474</v>
      </c>
      <c r="N135" s="2488">
        <f t="shared" si="33"/>
        <v>-1126671.1825428067</v>
      </c>
      <c r="P135" s="2494">
        <v>48487</v>
      </c>
      <c r="Q135" s="2488">
        <f>-'G-3.04,5.01 PF AMI'!AK176</f>
        <v>-89408.671805069913</v>
      </c>
      <c r="R135" s="2488">
        <f t="shared" si="46"/>
        <v>983495.38985574234</v>
      </c>
      <c r="S135" s="2488">
        <f t="shared" si="34"/>
        <v>1519947.4206861623</v>
      </c>
      <c r="T135" s="2488">
        <f t="shared" si="44"/>
        <v>-206534.03186970588</v>
      </c>
      <c r="U135" s="2488">
        <f t="shared" si="35"/>
        <v>-319188.95834409405</v>
      </c>
      <c r="Y135" s="477">
        <v>128</v>
      </c>
      <c r="Z135" s="477">
        <v>202904</v>
      </c>
      <c r="AA135" s="2487">
        <f t="shared" si="41"/>
        <v>141673.76797421335</v>
      </c>
      <c r="AB135" s="2487">
        <f t="shared" si="41"/>
        <v>9212.1931736232491</v>
      </c>
      <c r="AC135" s="2487">
        <f t="shared" si="41"/>
        <v>180859.29027261797</v>
      </c>
      <c r="AD135" s="2487">
        <f t="shared" si="41"/>
        <v>-16151.082640952791</v>
      </c>
      <c r="AE135" s="2487">
        <f t="shared" si="39"/>
        <v>315594.16877950181</v>
      </c>
      <c r="AF135" s="2487"/>
      <c r="AG135" s="2487">
        <f t="shared" si="42"/>
        <v>28472.18673513988</v>
      </c>
      <c r="AH135" s="2487">
        <f t="shared" si="42"/>
        <v>3233.4334850305936</v>
      </c>
      <c r="AI135" s="2487">
        <f t="shared" si="42"/>
        <v>59670.591944930027</v>
      </c>
      <c r="AJ135" s="2487">
        <f t="shared" si="42"/>
        <v>-1967.5403600305935</v>
      </c>
      <c r="AK135" s="2487">
        <f t="shared" si="42"/>
        <v>89408.671805069913</v>
      </c>
    </row>
    <row r="136" spans="9:37">
      <c r="I136" s="2494">
        <v>48518</v>
      </c>
      <c r="J136" s="2488">
        <f>-'G-3.04,5.01 PF AMI'!AE177</f>
        <v>-315594.16877950181</v>
      </c>
      <c r="K136" s="2488">
        <f t="shared" si="45"/>
        <v>3155941.6877949499</v>
      </c>
      <c r="L136" s="2488">
        <f t="shared" si="32"/>
        <v>5049506.70047196</v>
      </c>
      <c r="M136" s="2488">
        <f t="shared" si="43"/>
        <v>-662747.75443693949</v>
      </c>
      <c r="N136" s="2488">
        <f t="shared" si="33"/>
        <v>-1060396.4070991117</v>
      </c>
      <c r="P136" s="2494">
        <v>48518</v>
      </c>
      <c r="Q136" s="2488">
        <f>-'G-3.04,5.01 PF AMI'!AK177</f>
        <v>-89408.671805069913</v>
      </c>
      <c r="R136" s="2488">
        <f t="shared" si="46"/>
        <v>894086.71805067244</v>
      </c>
      <c r="S136" s="2488">
        <f t="shared" si="34"/>
        <v>1430538.7488810923</v>
      </c>
      <c r="T136" s="2488">
        <f t="shared" si="44"/>
        <v>-187758.2107906412</v>
      </c>
      <c r="U136" s="2488">
        <f t="shared" si="35"/>
        <v>-300413.13726502942</v>
      </c>
      <c r="Y136" s="477">
        <v>129</v>
      </c>
      <c r="Z136" s="477">
        <v>202905</v>
      </c>
      <c r="AA136" s="2487">
        <f t="shared" si="41"/>
        <v>141673.76797421335</v>
      </c>
      <c r="AB136" s="2487">
        <f t="shared" si="41"/>
        <v>9212.1931736232491</v>
      </c>
      <c r="AC136" s="2487">
        <f t="shared" si="41"/>
        <v>180859.29027261797</v>
      </c>
      <c r="AD136" s="2487">
        <f t="shared" si="41"/>
        <v>-16151.082640952791</v>
      </c>
      <c r="AE136" s="2487">
        <f t="shared" si="39"/>
        <v>315594.16877950181</v>
      </c>
      <c r="AF136" s="2487"/>
      <c r="AG136" s="2487">
        <f t="shared" si="42"/>
        <v>28472.18673513988</v>
      </c>
      <c r="AH136" s="2487">
        <f t="shared" si="42"/>
        <v>3233.4334850305936</v>
      </c>
      <c r="AI136" s="2487">
        <f t="shared" si="42"/>
        <v>59670.591944930027</v>
      </c>
      <c r="AJ136" s="2487">
        <f t="shared" si="42"/>
        <v>-1967.5403600305935</v>
      </c>
      <c r="AK136" s="2487">
        <f t="shared" si="42"/>
        <v>89408.671805069913</v>
      </c>
    </row>
    <row r="137" spans="9:37">
      <c r="I137" s="2494">
        <v>48548</v>
      </c>
      <c r="J137" s="2488">
        <f>-'G-3.04,5.01 PF AMI'!AE178</f>
        <v>-315594.16877950181</v>
      </c>
      <c r="K137" s="2488">
        <f t="shared" si="45"/>
        <v>2840347.5190154482</v>
      </c>
      <c r="L137" s="2488">
        <f t="shared" si="32"/>
        <v>4733912.5316924592</v>
      </c>
      <c r="M137" s="2488">
        <f t="shared" si="43"/>
        <v>-596472.97899324412</v>
      </c>
      <c r="N137" s="2488">
        <f t="shared" si="33"/>
        <v>-994121.63165541645</v>
      </c>
      <c r="P137" s="2494">
        <v>48548</v>
      </c>
      <c r="Q137" s="2488">
        <f>-'G-3.04,5.01 PF AMI'!AK178</f>
        <v>-89408.671805069913</v>
      </c>
      <c r="R137" s="2488">
        <f t="shared" si="46"/>
        <v>804678.04624560254</v>
      </c>
      <c r="S137" s="2488">
        <f t="shared" si="34"/>
        <v>1341130.0770760223</v>
      </c>
      <c r="T137" s="2488">
        <f t="shared" si="44"/>
        <v>-168982.38971157651</v>
      </c>
      <c r="U137" s="2488">
        <f t="shared" si="35"/>
        <v>-281637.31618596468</v>
      </c>
      <c r="Y137" s="477">
        <v>130</v>
      </c>
      <c r="Z137" s="477">
        <v>202906</v>
      </c>
      <c r="AA137" s="2487">
        <f t="shared" si="41"/>
        <v>141673.76797421335</v>
      </c>
      <c r="AB137" s="2487">
        <f t="shared" si="41"/>
        <v>9212.1931736232491</v>
      </c>
      <c r="AC137" s="2487">
        <f t="shared" si="41"/>
        <v>180859.29027261797</v>
      </c>
      <c r="AD137" s="2487">
        <f t="shared" si="41"/>
        <v>-16151.082640952791</v>
      </c>
      <c r="AE137" s="2487">
        <f t="shared" si="39"/>
        <v>315594.16877950181</v>
      </c>
      <c r="AF137" s="2487"/>
      <c r="AG137" s="2487">
        <f t="shared" si="42"/>
        <v>28472.18673513988</v>
      </c>
      <c r="AH137" s="2487">
        <f t="shared" si="42"/>
        <v>3233.4334850305936</v>
      </c>
      <c r="AI137" s="2487">
        <f t="shared" si="42"/>
        <v>59670.591944930027</v>
      </c>
      <c r="AJ137" s="2487">
        <f t="shared" si="42"/>
        <v>-1967.5403600305935</v>
      </c>
      <c r="AK137" s="2487">
        <f t="shared" si="42"/>
        <v>89408.671805069913</v>
      </c>
    </row>
    <row r="138" spans="9:37">
      <c r="I138" s="2494">
        <v>48579</v>
      </c>
      <c r="J138" s="2488">
        <f>-'G-3.04,5.01 PF AMI'!AE179</f>
        <v>-315594.16877950181</v>
      </c>
      <c r="K138" s="2488">
        <f t="shared" si="45"/>
        <v>2524753.3502359465</v>
      </c>
      <c r="L138" s="2488">
        <f t="shared" si="32"/>
        <v>4418318.3629129566</v>
      </c>
      <c r="M138" s="2488">
        <f t="shared" si="43"/>
        <v>-530198.20354954875</v>
      </c>
      <c r="N138" s="2488">
        <f t="shared" si="33"/>
        <v>-927846.85621172097</v>
      </c>
      <c r="P138" s="2494">
        <v>48579</v>
      </c>
      <c r="Q138" s="2488">
        <f>-'G-3.04,5.01 PF AMI'!AK179</f>
        <v>-89408.671805069913</v>
      </c>
      <c r="R138" s="2488">
        <f t="shared" si="46"/>
        <v>715269.37444053264</v>
      </c>
      <c r="S138" s="2488">
        <f t="shared" si="34"/>
        <v>1251721.4052709525</v>
      </c>
      <c r="T138" s="2488">
        <f t="shared" si="44"/>
        <v>-150206.56863251186</v>
      </c>
      <c r="U138" s="2488">
        <f t="shared" si="35"/>
        <v>-262861.49510689994</v>
      </c>
      <c r="Y138" s="477">
        <v>131</v>
      </c>
      <c r="Z138" s="477">
        <v>202907</v>
      </c>
      <c r="AA138" s="2487">
        <f t="shared" si="41"/>
        <v>141673.76797421335</v>
      </c>
      <c r="AB138" s="2487">
        <f t="shared" si="41"/>
        <v>9212.1931736232491</v>
      </c>
      <c r="AC138" s="2487">
        <f t="shared" si="41"/>
        <v>180859.29027261797</v>
      </c>
      <c r="AD138" s="2487">
        <f t="shared" si="41"/>
        <v>-16151.082640952791</v>
      </c>
      <c r="AE138" s="2487">
        <f t="shared" si="39"/>
        <v>315594.16877950181</v>
      </c>
      <c r="AF138" s="2487"/>
      <c r="AG138" s="2487">
        <f t="shared" si="42"/>
        <v>28472.18673513988</v>
      </c>
      <c r="AH138" s="2487">
        <f t="shared" si="42"/>
        <v>3233.4334850305936</v>
      </c>
      <c r="AI138" s="2487">
        <f t="shared" si="42"/>
        <v>59670.591944930027</v>
      </c>
      <c r="AJ138" s="2487">
        <f t="shared" si="42"/>
        <v>-1967.5403600305935</v>
      </c>
      <c r="AK138" s="2487">
        <f t="shared" si="42"/>
        <v>89408.671805069913</v>
      </c>
    </row>
    <row r="139" spans="9:37">
      <c r="I139" s="2494">
        <v>48610</v>
      </c>
      <c r="J139" s="2488">
        <f>-'G-3.04,5.01 PF AMI'!AE180</f>
        <v>-315594.16877950181</v>
      </c>
      <c r="K139" s="2488">
        <f t="shared" si="45"/>
        <v>2209159.1814564448</v>
      </c>
      <c r="L139" s="2488">
        <f t="shared" si="32"/>
        <v>4102724.1941334549</v>
      </c>
      <c r="M139" s="2488">
        <f t="shared" si="43"/>
        <v>-463923.42810585338</v>
      </c>
      <c r="N139" s="2488">
        <f t="shared" si="33"/>
        <v>-861572.0807680256</v>
      </c>
      <c r="P139" s="2494">
        <v>48610</v>
      </c>
      <c r="Q139" s="2488">
        <f>-'G-3.04,5.01 PF AMI'!AK180</f>
        <v>-89408.671805069913</v>
      </c>
      <c r="R139" s="2488">
        <f t="shared" si="46"/>
        <v>625860.70263546275</v>
      </c>
      <c r="S139" s="2488">
        <f t="shared" si="34"/>
        <v>1162312.7334658823</v>
      </c>
      <c r="T139" s="2488">
        <f t="shared" si="44"/>
        <v>-131430.74755344717</v>
      </c>
      <c r="U139" s="2488">
        <f t="shared" si="35"/>
        <v>-244085.67402783528</v>
      </c>
      <c r="Y139" s="477">
        <v>132</v>
      </c>
      <c r="Z139" s="477">
        <v>202908</v>
      </c>
      <c r="AA139" s="2487">
        <f t="shared" si="41"/>
        <v>141673.76797421335</v>
      </c>
      <c r="AB139" s="2487">
        <f t="shared" si="41"/>
        <v>9212.1931736232491</v>
      </c>
      <c r="AC139" s="2487">
        <f t="shared" si="41"/>
        <v>180859.29027261797</v>
      </c>
      <c r="AD139" s="2487">
        <f t="shared" si="41"/>
        <v>-16151.082640952791</v>
      </c>
      <c r="AE139" s="2487">
        <f t="shared" si="39"/>
        <v>315594.16877950181</v>
      </c>
      <c r="AF139" s="2487"/>
      <c r="AG139" s="2487">
        <f t="shared" si="42"/>
        <v>28472.18673513988</v>
      </c>
      <c r="AH139" s="2487">
        <f t="shared" si="42"/>
        <v>3233.4334850305936</v>
      </c>
      <c r="AI139" s="2487">
        <f t="shared" si="42"/>
        <v>59670.591944930027</v>
      </c>
      <c r="AJ139" s="2487">
        <f t="shared" si="42"/>
        <v>-1967.5403600305935</v>
      </c>
      <c r="AK139" s="2487">
        <f t="shared" si="42"/>
        <v>89408.671805069913</v>
      </c>
    </row>
    <row r="140" spans="9:37">
      <c r="I140" s="2494">
        <v>48638</v>
      </c>
      <c r="J140" s="2488">
        <f>-'G-3.04,5.01 PF AMI'!AE181</f>
        <v>-315594.16877950181</v>
      </c>
      <c r="K140" s="2488">
        <f t="shared" si="45"/>
        <v>1893565.0126769431</v>
      </c>
      <c r="L140" s="2488">
        <f t="shared" si="32"/>
        <v>3787130.0253539537</v>
      </c>
      <c r="M140" s="2488">
        <f t="shared" si="43"/>
        <v>-397648.65266215801</v>
      </c>
      <c r="N140" s="2488">
        <f t="shared" si="33"/>
        <v>-795297.30532433011</v>
      </c>
      <c r="P140" s="2494">
        <v>48638</v>
      </c>
      <c r="Q140" s="2488">
        <f>-'G-3.04,5.01 PF AMI'!AK181</f>
        <v>-89408.671805069913</v>
      </c>
      <c r="R140" s="2488">
        <f t="shared" si="46"/>
        <v>536452.03083039285</v>
      </c>
      <c r="S140" s="2488">
        <f t="shared" si="34"/>
        <v>1072904.0616608125</v>
      </c>
      <c r="T140" s="2488">
        <f t="shared" si="44"/>
        <v>-112654.92647438249</v>
      </c>
      <c r="U140" s="2488">
        <f t="shared" si="35"/>
        <v>-225309.8529487706</v>
      </c>
      <c r="Y140" s="477">
        <v>133</v>
      </c>
      <c r="Z140" s="477">
        <v>202909</v>
      </c>
      <c r="AA140" s="2487">
        <f t="shared" si="41"/>
        <v>141673.76797421335</v>
      </c>
      <c r="AB140" s="2487">
        <f t="shared" si="41"/>
        <v>9212.1931736232491</v>
      </c>
      <c r="AC140" s="2487">
        <f t="shared" si="41"/>
        <v>180859.29027261797</v>
      </c>
      <c r="AD140" s="2487">
        <f t="shared" si="41"/>
        <v>-16151.082640952791</v>
      </c>
      <c r="AE140" s="2487">
        <f t="shared" si="39"/>
        <v>315594.16877950181</v>
      </c>
      <c r="AF140" s="2487"/>
      <c r="AG140" s="2487">
        <f t="shared" si="42"/>
        <v>28472.18673513988</v>
      </c>
      <c r="AH140" s="2487">
        <f t="shared" si="42"/>
        <v>3233.4334850305936</v>
      </c>
      <c r="AI140" s="2487">
        <f t="shared" si="42"/>
        <v>59670.591944930027</v>
      </c>
      <c r="AJ140" s="2487">
        <f t="shared" si="42"/>
        <v>-1967.5403600305935</v>
      </c>
      <c r="AK140" s="2487">
        <f t="shared" si="42"/>
        <v>89408.671805069913</v>
      </c>
    </row>
    <row r="141" spans="9:37">
      <c r="I141" s="2494">
        <v>48669</v>
      </c>
      <c r="J141" s="2488">
        <f>-'G-3.04,5.01 PF AMI'!AE182</f>
        <v>-315594.16877950181</v>
      </c>
      <c r="K141" s="2488">
        <f t="shared" si="45"/>
        <v>1577970.8438974414</v>
      </c>
      <c r="L141" s="2488">
        <f t="shared" si="32"/>
        <v>3471535.856574452</v>
      </c>
      <c r="M141" s="2488">
        <f t="shared" si="43"/>
        <v>-331373.8772184627</v>
      </c>
      <c r="N141" s="2488">
        <f t="shared" si="33"/>
        <v>-729022.52988063486</v>
      </c>
      <c r="P141" s="2494">
        <v>48669</v>
      </c>
      <c r="Q141" s="2488">
        <f>-'G-3.04,5.01 PF AMI'!AK182</f>
        <v>-89408.671805069913</v>
      </c>
      <c r="R141" s="2488">
        <f t="shared" si="46"/>
        <v>447043.35902532295</v>
      </c>
      <c r="S141" s="2488">
        <f t="shared" si="34"/>
        <v>983495.38985574245</v>
      </c>
      <c r="T141" s="2488">
        <f t="shared" si="44"/>
        <v>-93879.10539531782</v>
      </c>
      <c r="U141" s="2488">
        <f t="shared" si="35"/>
        <v>-206534.03186970591</v>
      </c>
      <c r="Y141" s="477">
        <v>134</v>
      </c>
      <c r="Z141" s="477">
        <v>202910</v>
      </c>
      <c r="AA141" s="2487">
        <f t="shared" ref="AA141:AD156" si="47">AA140</f>
        <v>141673.76797421335</v>
      </c>
      <c r="AB141" s="2487">
        <f t="shared" si="47"/>
        <v>9212.1931736232491</v>
      </c>
      <c r="AC141" s="2487">
        <f t="shared" si="47"/>
        <v>180859.29027261797</v>
      </c>
      <c r="AD141" s="2487">
        <f t="shared" si="47"/>
        <v>-16151.082640952791</v>
      </c>
      <c r="AE141" s="2487">
        <f t="shared" si="39"/>
        <v>315594.16877950181</v>
      </c>
      <c r="AF141" s="2487"/>
      <c r="AG141" s="2487">
        <f t="shared" ref="AG141:AK156" si="48">AG140</f>
        <v>28472.18673513988</v>
      </c>
      <c r="AH141" s="2487">
        <f t="shared" si="48"/>
        <v>3233.4334850305936</v>
      </c>
      <c r="AI141" s="2487">
        <f t="shared" si="48"/>
        <v>59670.591944930027</v>
      </c>
      <c r="AJ141" s="2487">
        <f t="shared" si="48"/>
        <v>-1967.5403600305935</v>
      </c>
      <c r="AK141" s="2487">
        <f t="shared" si="48"/>
        <v>89408.671805069913</v>
      </c>
    </row>
    <row r="142" spans="9:37">
      <c r="I142" s="2494">
        <v>48699</v>
      </c>
      <c r="J142" s="2488">
        <f>-'G-3.04,5.01 PF AMI'!AE183</f>
        <v>-315594.16877950181</v>
      </c>
      <c r="K142" s="2488">
        <f t="shared" si="45"/>
        <v>1262376.6751179397</v>
      </c>
      <c r="L142" s="2488">
        <f t="shared" si="32"/>
        <v>3155941.6877949503</v>
      </c>
      <c r="M142" s="2488">
        <f t="shared" si="43"/>
        <v>-265099.10177476733</v>
      </c>
      <c r="N142" s="2488">
        <f t="shared" si="33"/>
        <v>-662747.75443693949</v>
      </c>
      <c r="P142" s="2494">
        <v>48699</v>
      </c>
      <c r="Q142" s="2488">
        <f>-'G-3.04,5.01 PF AMI'!AK183</f>
        <v>-89408.671805069913</v>
      </c>
      <c r="R142" s="2488">
        <f t="shared" si="46"/>
        <v>357634.68722025305</v>
      </c>
      <c r="S142" s="2488">
        <f t="shared" si="34"/>
        <v>894086.71805067267</v>
      </c>
      <c r="T142" s="2488">
        <f t="shared" si="44"/>
        <v>-75103.284316253135</v>
      </c>
      <c r="U142" s="2488">
        <f t="shared" si="35"/>
        <v>-187758.21079064126</v>
      </c>
      <c r="Y142" s="477">
        <v>135</v>
      </c>
      <c r="Z142" s="477">
        <v>202911</v>
      </c>
      <c r="AA142" s="2487">
        <f t="shared" si="47"/>
        <v>141673.76797421335</v>
      </c>
      <c r="AB142" s="2487">
        <f t="shared" si="47"/>
        <v>9212.1931736232491</v>
      </c>
      <c r="AC142" s="2487">
        <f t="shared" si="47"/>
        <v>180859.29027261797</v>
      </c>
      <c r="AD142" s="2487">
        <f t="shared" si="47"/>
        <v>-16151.082640952791</v>
      </c>
      <c r="AE142" s="2487">
        <f t="shared" si="39"/>
        <v>315594.16877950181</v>
      </c>
      <c r="AF142" s="2487"/>
      <c r="AG142" s="2487">
        <f t="shared" si="48"/>
        <v>28472.18673513988</v>
      </c>
      <c r="AH142" s="2487">
        <f t="shared" si="48"/>
        <v>3233.4334850305936</v>
      </c>
      <c r="AI142" s="2487">
        <f t="shared" si="48"/>
        <v>59670.591944930027</v>
      </c>
      <c r="AJ142" s="2487">
        <f t="shared" si="48"/>
        <v>-1967.5403600305935</v>
      </c>
      <c r="AK142" s="2487">
        <f t="shared" si="48"/>
        <v>89408.671805069913</v>
      </c>
    </row>
    <row r="143" spans="9:37">
      <c r="I143" s="2494">
        <v>48730</v>
      </c>
      <c r="J143" s="2488">
        <f>-'G-3.04,5.01 PF AMI'!AE184</f>
        <v>-315594.16877950181</v>
      </c>
      <c r="K143" s="2488">
        <f t="shared" si="45"/>
        <v>946782.5063384379</v>
      </c>
      <c r="L143" s="2488">
        <f t="shared" si="32"/>
        <v>2840347.5190154486</v>
      </c>
      <c r="M143" s="2488">
        <f t="shared" si="43"/>
        <v>-198824.32633107196</v>
      </c>
      <c r="N143" s="2488">
        <f t="shared" si="33"/>
        <v>-596472.97899324412</v>
      </c>
      <c r="P143" s="2494">
        <v>48730</v>
      </c>
      <c r="Q143" s="2488">
        <f>-'G-3.04,5.01 PF AMI'!AK184</f>
        <v>-89408.671805069913</v>
      </c>
      <c r="R143" s="2488">
        <f t="shared" si="46"/>
        <v>268226.01541518315</v>
      </c>
      <c r="S143" s="2488">
        <f t="shared" si="34"/>
        <v>804678.04624560277</v>
      </c>
      <c r="T143" s="2488">
        <f t="shared" si="44"/>
        <v>-56327.463237188458</v>
      </c>
      <c r="U143" s="2488">
        <f t="shared" si="35"/>
        <v>-168982.38971157654</v>
      </c>
      <c r="Y143" s="477">
        <v>136</v>
      </c>
      <c r="Z143" s="477">
        <v>202912</v>
      </c>
      <c r="AA143" s="2487">
        <f t="shared" si="47"/>
        <v>141673.76797421335</v>
      </c>
      <c r="AB143" s="2487">
        <f t="shared" si="47"/>
        <v>9212.1931736232491</v>
      </c>
      <c r="AC143" s="2487">
        <f t="shared" si="47"/>
        <v>180859.29027261797</v>
      </c>
      <c r="AD143" s="2487">
        <f t="shared" si="47"/>
        <v>-16151.082640952791</v>
      </c>
      <c r="AE143" s="2487">
        <f t="shared" si="39"/>
        <v>315594.16877950181</v>
      </c>
      <c r="AF143" s="2487"/>
      <c r="AG143" s="2487">
        <f t="shared" si="48"/>
        <v>28472.18673513988</v>
      </c>
      <c r="AH143" s="2487">
        <f t="shared" si="48"/>
        <v>3233.4334850305936</v>
      </c>
      <c r="AI143" s="2487">
        <f t="shared" si="48"/>
        <v>59670.591944930027</v>
      </c>
      <c r="AJ143" s="2487">
        <f t="shared" si="48"/>
        <v>-1967.5403600305935</v>
      </c>
      <c r="AK143" s="2487">
        <f t="shared" si="48"/>
        <v>89408.671805069913</v>
      </c>
    </row>
    <row r="144" spans="9:37">
      <c r="I144" s="2494">
        <v>48760</v>
      </c>
      <c r="J144" s="2488">
        <f>-'G-3.04,5.01 PF AMI'!AE185</f>
        <v>-315594.16877950181</v>
      </c>
      <c r="K144" s="2488">
        <f t="shared" si="45"/>
        <v>631188.33755893609</v>
      </c>
      <c r="L144" s="2488">
        <f t="shared" si="32"/>
        <v>2524753.3502359469</v>
      </c>
      <c r="M144" s="2488">
        <f t="shared" si="43"/>
        <v>-132549.55088737656</v>
      </c>
      <c r="N144" s="2488">
        <f t="shared" si="33"/>
        <v>-530198.20354954863</v>
      </c>
      <c r="P144" s="2494">
        <v>48760</v>
      </c>
      <c r="Q144" s="2488">
        <f>-'G-3.04,5.01 PF AMI'!AK185</f>
        <v>-89408.671805069913</v>
      </c>
      <c r="R144" s="2488">
        <f t="shared" si="46"/>
        <v>178817.34361011325</v>
      </c>
      <c r="S144" s="2488">
        <f t="shared" si="34"/>
        <v>715269.37444053264</v>
      </c>
      <c r="T144" s="2488">
        <f t="shared" si="44"/>
        <v>-37551.642158123781</v>
      </c>
      <c r="U144" s="2488">
        <f t="shared" si="35"/>
        <v>-150206.56863251186</v>
      </c>
      <c r="Y144" s="477">
        <v>137</v>
      </c>
      <c r="Z144" s="477">
        <v>203001</v>
      </c>
      <c r="AA144" s="2487">
        <f t="shared" si="47"/>
        <v>141673.76797421335</v>
      </c>
      <c r="AB144" s="2487">
        <f t="shared" si="47"/>
        <v>9212.1931736232491</v>
      </c>
      <c r="AC144" s="2487">
        <f t="shared" si="47"/>
        <v>180859.29027261797</v>
      </c>
      <c r="AD144" s="2487">
        <f t="shared" si="47"/>
        <v>-16151.082640952791</v>
      </c>
      <c r="AE144" s="2487">
        <f t="shared" si="39"/>
        <v>315594.16877950181</v>
      </c>
      <c r="AF144" s="2487"/>
      <c r="AG144" s="2487">
        <f t="shared" si="48"/>
        <v>28472.18673513988</v>
      </c>
      <c r="AH144" s="2487">
        <f t="shared" si="48"/>
        <v>3233.4334850305936</v>
      </c>
      <c r="AI144" s="2487">
        <f t="shared" si="48"/>
        <v>59670.591944930027</v>
      </c>
      <c r="AJ144" s="2487">
        <f t="shared" si="48"/>
        <v>-1967.5403600305935</v>
      </c>
      <c r="AK144" s="2487">
        <f t="shared" si="48"/>
        <v>89408.671805069913</v>
      </c>
    </row>
    <row r="145" spans="9:37">
      <c r="I145" s="2494">
        <v>48791</v>
      </c>
      <c r="J145" s="2488">
        <f>-'G-3.04,5.01 PF AMI'!AE186</f>
        <v>-315594.16877950181</v>
      </c>
      <c r="K145" s="2488">
        <f t="shared" si="45"/>
        <v>315594.16877943429</v>
      </c>
      <c r="L145" s="2488">
        <f t="shared" si="32"/>
        <v>2209159.1814564448</v>
      </c>
      <c r="M145" s="2488">
        <f t="shared" si="43"/>
        <v>-66274.775443681196</v>
      </c>
      <c r="N145" s="2488">
        <f t="shared" si="33"/>
        <v>-463923.42810585332</v>
      </c>
      <c r="P145" s="2494">
        <v>48791</v>
      </c>
      <c r="Q145" s="2488">
        <f>-'G-3.04,5.01 PF AMI'!AK186</f>
        <v>-89408.671805069913</v>
      </c>
      <c r="R145" s="2488">
        <f t="shared" si="46"/>
        <v>89408.671805043341</v>
      </c>
      <c r="S145" s="2488">
        <f t="shared" si="34"/>
        <v>625860.70263546275</v>
      </c>
      <c r="T145" s="2488">
        <f t="shared" si="44"/>
        <v>-18775.8210790591</v>
      </c>
      <c r="U145" s="2488">
        <f t="shared" si="35"/>
        <v>-131430.74755344717</v>
      </c>
      <c r="Y145" s="477">
        <v>138</v>
      </c>
      <c r="Z145" s="477">
        <v>203002</v>
      </c>
      <c r="AA145" s="2487">
        <f t="shared" si="47"/>
        <v>141673.76797421335</v>
      </c>
      <c r="AB145" s="2487">
        <f t="shared" si="47"/>
        <v>9212.1931736232491</v>
      </c>
      <c r="AC145" s="2487">
        <f t="shared" si="47"/>
        <v>180859.29027261797</v>
      </c>
      <c r="AD145" s="2487">
        <f t="shared" si="47"/>
        <v>-16151.082640952791</v>
      </c>
      <c r="AE145" s="2487">
        <f t="shared" si="39"/>
        <v>315594.16877950181</v>
      </c>
      <c r="AF145" s="2487"/>
      <c r="AG145" s="2487">
        <f t="shared" si="48"/>
        <v>28472.18673513988</v>
      </c>
      <c r="AH145" s="2487">
        <f t="shared" si="48"/>
        <v>3233.4334850305936</v>
      </c>
      <c r="AI145" s="2487">
        <f t="shared" si="48"/>
        <v>59670.591944930027</v>
      </c>
      <c r="AJ145" s="2487">
        <f t="shared" si="48"/>
        <v>-1967.5403600305935</v>
      </c>
      <c r="AK145" s="2487">
        <f t="shared" si="48"/>
        <v>89408.671805069913</v>
      </c>
    </row>
    <row r="146" spans="9:37">
      <c r="I146" s="2494">
        <v>48822</v>
      </c>
      <c r="J146" s="2488">
        <f>-'G-3.04,5.01 PF AMI'!AE187</f>
        <v>-315594.16877950181</v>
      </c>
      <c r="K146" s="2488">
        <f t="shared" si="45"/>
        <v>-6.7520886659622192E-8</v>
      </c>
      <c r="L146" s="2488">
        <f t="shared" si="32"/>
        <v>1893565.0126769424</v>
      </c>
      <c r="M146" s="2488">
        <f t="shared" si="43"/>
        <v>1.417938619852066E-8</v>
      </c>
      <c r="N146" s="2488">
        <f t="shared" si="33"/>
        <v>-397648.65266215801</v>
      </c>
      <c r="P146" s="2494">
        <v>48822</v>
      </c>
      <c r="Q146" s="2488">
        <f>-'G-3.04,5.01 PF AMI'!AK187</f>
        <v>-89408.671805069913</v>
      </c>
      <c r="R146" s="2488">
        <f t="shared" si="46"/>
        <v>-2.6571797206997871E-8</v>
      </c>
      <c r="S146" s="2488">
        <f t="shared" si="34"/>
        <v>536452.03083039285</v>
      </c>
      <c r="T146" s="2488">
        <f t="shared" si="44"/>
        <v>5.5800774134695527E-9</v>
      </c>
      <c r="U146" s="2488">
        <f t="shared" si="35"/>
        <v>-112654.92647438248</v>
      </c>
      <c r="Y146" s="477">
        <v>139</v>
      </c>
      <c r="Z146" s="477">
        <v>203003</v>
      </c>
      <c r="AA146" s="2487">
        <f t="shared" si="47"/>
        <v>141673.76797421335</v>
      </c>
      <c r="AB146" s="2487">
        <f t="shared" si="47"/>
        <v>9212.1931736232491</v>
      </c>
      <c r="AC146" s="2487">
        <f t="shared" si="47"/>
        <v>180859.29027261797</v>
      </c>
      <c r="AD146" s="2487">
        <f t="shared" si="47"/>
        <v>-16151.082640952791</v>
      </c>
      <c r="AE146" s="2487">
        <f t="shared" si="39"/>
        <v>315594.16877950181</v>
      </c>
      <c r="AF146" s="2487"/>
      <c r="AG146" s="2487">
        <f t="shared" si="48"/>
        <v>28472.18673513988</v>
      </c>
      <c r="AH146" s="2487">
        <f t="shared" si="48"/>
        <v>3233.4334850305936</v>
      </c>
      <c r="AI146" s="2487">
        <f t="shared" si="48"/>
        <v>59670.591944930027</v>
      </c>
      <c r="AJ146" s="2487">
        <f t="shared" si="48"/>
        <v>-1967.5403600305935</v>
      </c>
      <c r="AK146" s="2487">
        <f t="shared" si="48"/>
        <v>89408.671805069913</v>
      </c>
    </row>
    <row r="147" spans="9:37">
      <c r="Y147" s="477">
        <v>140</v>
      </c>
      <c r="Z147" s="477">
        <v>203004</v>
      </c>
      <c r="AA147" s="2487">
        <f t="shared" si="47"/>
        <v>141673.76797421335</v>
      </c>
      <c r="AB147" s="2487">
        <f t="shared" si="47"/>
        <v>9212.1931736232491</v>
      </c>
      <c r="AC147" s="2487">
        <f t="shared" si="47"/>
        <v>180859.29027261797</v>
      </c>
      <c r="AD147" s="2487">
        <f t="shared" si="47"/>
        <v>-16151.082640952791</v>
      </c>
      <c r="AE147" s="2487">
        <f t="shared" si="39"/>
        <v>315594.16877950181</v>
      </c>
      <c r="AF147" s="2487"/>
      <c r="AG147" s="2487">
        <f t="shared" si="48"/>
        <v>28472.18673513988</v>
      </c>
      <c r="AH147" s="2487">
        <f t="shared" si="48"/>
        <v>3233.4334850305936</v>
      </c>
      <c r="AI147" s="2487">
        <f t="shared" si="48"/>
        <v>59670.591944930027</v>
      </c>
      <c r="AJ147" s="2487">
        <f t="shared" si="48"/>
        <v>-1967.5403600305935</v>
      </c>
      <c r="AK147" s="2487">
        <f t="shared" si="48"/>
        <v>89408.671805069913</v>
      </c>
    </row>
    <row r="148" spans="9:37">
      <c r="K148" s="954" t="s">
        <v>132</v>
      </c>
      <c r="L148" s="954" t="s">
        <v>2153</v>
      </c>
      <c r="M148" s="954" t="s">
        <v>2238</v>
      </c>
      <c r="N148" s="954" t="s">
        <v>411</v>
      </c>
      <c r="R148" s="954" t="s">
        <v>132</v>
      </c>
      <c r="S148" s="954" t="s">
        <v>2153</v>
      </c>
      <c r="T148" s="954" t="s">
        <v>2238</v>
      </c>
      <c r="U148" s="954" t="s">
        <v>411</v>
      </c>
      <c r="Y148" s="477">
        <v>141</v>
      </c>
      <c r="Z148" s="477">
        <v>203005</v>
      </c>
      <c r="AA148" s="2487">
        <f t="shared" si="47"/>
        <v>141673.76797421335</v>
      </c>
      <c r="AB148" s="2487">
        <f t="shared" si="47"/>
        <v>9212.1931736232491</v>
      </c>
      <c r="AC148" s="2487">
        <f t="shared" si="47"/>
        <v>180859.29027261797</v>
      </c>
      <c r="AD148" s="2487">
        <f t="shared" si="47"/>
        <v>-16151.082640952791</v>
      </c>
      <c r="AE148" s="2487">
        <f t="shared" si="39"/>
        <v>315594.16877950181</v>
      </c>
      <c r="AF148" s="2487"/>
      <c r="AG148" s="2487">
        <f t="shared" si="48"/>
        <v>28472.18673513988</v>
      </c>
      <c r="AH148" s="2487">
        <f t="shared" si="48"/>
        <v>3233.4334850305936</v>
      </c>
      <c r="AI148" s="2487">
        <f t="shared" si="48"/>
        <v>59670.591944930027</v>
      </c>
      <c r="AJ148" s="2487">
        <f t="shared" si="48"/>
        <v>-1967.5403600305935</v>
      </c>
      <c r="AK148" s="2487">
        <f t="shared" si="48"/>
        <v>89408.671805069913</v>
      </c>
    </row>
    <row r="149" spans="9:37" ht="15.75" thickBot="1">
      <c r="I149" s="2539" t="s">
        <v>2239</v>
      </c>
      <c r="K149" s="888">
        <f>L24</f>
        <v>40458494.093229346</v>
      </c>
      <c r="L149" s="888">
        <f>N24</f>
        <v>-8496283.7595781591</v>
      </c>
      <c r="M149" s="2540">
        <f>SUM(K149:L149)</f>
        <v>31962210.333651185</v>
      </c>
      <c r="N149" s="2540">
        <f>SUM(J13:J24)</f>
        <v>-4036891.9831665209</v>
      </c>
      <c r="P149" s="2539" t="s">
        <v>2240</v>
      </c>
      <c r="R149" s="888">
        <f>S24</f>
        <v>11472218.493236439</v>
      </c>
      <c r="S149" s="888">
        <f>U24</f>
        <v>-2409165.8835796528</v>
      </c>
      <c r="T149" s="2540">
        <f>SUM(R149:S149)</f>
        <v>9063052.6096567865</v>
      </c>
      <c r="U149" s="2540">
        <f>SUM(Q13:Q24)</f>
        <v>-1184538.070410839</v>
      </c>
      <c r="V149" s="929"/>
      <c r="Y149" s="477">
        <v>142</v>
      </c>
      <c r="Z149" s="477">
        <v>203006</v>
      </c>
      <c r="AA149" s="2487">
        <f t="shared" si="47"/>
        <v>141673.76797421335</v>
      </c>
      <c r="AB149" s="2487">
        <f t="shared" si="47"/>
        <v>9212.1931736232491</v>
      </c>
      <c r="AC149" s="2487">
        <f t="shared" si="47"/>
        <v>180859.29027261797</v>
      </c>
      <c r="AD149" s="2487">
        <f t="shared" si="47"/>
        <v>-16151.082640952791</v>
      </c>
      <c r="AE149" s="2487">
        <f t="shared" si="39"/>
        <v>315594.16877950181</v>
      </c>
      <c r="AF149" s="2487"/>
      <c r="AG149" s="2487">
        <f t="shared" si="48"/>
        <v>28472.18673513988</v>
      </c>
      <c r="AH149" s="2487">
        <f t="shared" si="48"/>
        <v>3233.4334850305936</v>
      </c>
      <c r="AI149" s="2487">
        <f t="shared" si="48"/>
        <v>59670.591944930027</v>
      </c>
      <c r="AJ149" s="2487">
        <f t="shared" si="48"/>
        <v>-1967.5403600305935</v>
      </c>
      <c r="AK149" s="2487">
        <f t="shared" si="48"/>
        <v>89408.671805069913</v>
      </c>
    </row>
    <row r="150" spans="9:37" ht="16.5" thickTop="1" thickBot="1">
      <c r="K150" s="888"/>
      <c r="L150" s="2541" t="s">
        <v>2241</v>
      </c>
      <c r="M150" s="2542">
        <f>M152-M149</f>
        <v>-7528909.7867421545</v>
      </c>
      <c r="N150" s="2542">
        <f>N152-N149</f>
        <v>249761.95781250019</v>
      </c>
      <c r="S150" s="2541" t="s">
        <v>2241</v>
      </c>
      <c r="T150" s="2542">
        <f>T152-T149</f>
        <v>-2141033.238508299</v>
      </c>
      <c r="U150" s="2542">
        <f>U152-U149</f>
        <v>111634.00875000004</v>
      </c>
      <c r="Y150" s="477">
        <v>143</v>
      </c>
      <c r="Z150" s="477">
        <v>203007</v>
      </c>
      <c r="AA150" s="2487">
        <f t="shared" si="47"/>
        <v>141673.76797421335</v>
      </c>
      <c r="AB150" s="2487">
        <f t="shared" si="47"/>
        <v>9212.1931736232491</v>
      </c>
      <c r="AC150" s="2487">
        <f t="shared" si="47"/>
        <v>180859.29027261797</v>
      </c>
      <c r="AD150" s="2487">
        <f t="shared" si="47"/>
        <v>-16151.082640952791</v>
      </c>
      <c r="AE150" s="2487">
        <f t="shared" si="39"/>
        <v>315594.16877950181</v>
      </c>
      <c r="AF150" s="2487"/>
      <c r="AG150" s="2487">
        <f t="shared" si="48"/>
        <v>28472.18673513988</v>
      </c>
      <c r="AH150" s="2487">
        <f t="shared" si="48"/>
        <v>3233.4334850305936</v>
      </c>
      <c r="AI150" s="2487">
        <f t="shared" si="48"/>
        <v>59670.591944930027</v>
      </c>
      <c r="AJ150" s="2487">
        <f t="shared" si="48"/>
        <v>-1967.5403600305935</v>
      </c>
      <c r="AK150" s="2487">
        <f t="shared" si="48"/>
        <v>89408.671805069913</v>
      </c>
    </row>
    <row r="151" spans="9:37" ht="14.25" thickTop="1" thickBot="1">
      <c r="K151" s="954" t="s">
        <v>132</v>
      </c>
      <c r="L151" s="954" t="s">
        <v>2153</v>
      </c>
      <c r="M151" s="954" t="s">
        <v>2238</v>
      </c>
      <c r="N151" s="954" t="s">
        <v>411</v>
      </c>
      <c r="R151" s="954" t="s">
        <v>132</v>
      </c>
      <c r="S151" s="954" t="s">
        <v>2153</v>
      </c>
      <c r="T151" s="954" t="s">
        <v>2238</v>
      </c>
      <c r="U151" s="954" t="s">
        <v>411</v>
      </c>
      <c r="Y151" s="477">
        <v>144</v>
      </c>
      <c r="Z151" s="477">
        <v>203008</v>
      </c>
      <c r="AA151" s="2487">
        <f t="shared" si="47"/>
        <v>141673.76797421335</v>
      </c>
      <c r="AB151" s="2487">
        <f t="shared" si="47"/>
        <v>9212.1931736232491</v>
      </c>
      <c r="AC151" s="2487">
        <f t="shared" si="47"/>
        <v>180859.29027261797</v>
      </c>
      <c r="AD151" s="2487">
        <f t="shared" si="47"/>
        <v>-16151.082640952791</v>
      </c>
      <c r="AE151" s="2487">
        <f t="shared" si="39"/>
        <v>315594.16877950181</v>
      </c>
      <c r="AF151" s="2487"/>
      <c r="AG151" s="2487">
        <f t="shared" si="48"/>
        <v>28472.18673513988</v>
      </c>
      <c r="AH151" s="2487">
        <f t="shared" si="48"/>
        <v>3233.4334850305936</v>
      </c>
      <c r="AI151" s="2487">
        <f t="shared" si="48"/>
        <v>59670.591944930027</v>
      </c>
      <c r="AJ151" s="2487">
        <f t="shared" si="48"/>
        <v>-1967.5403600305935</v>
      </c>
      <c r="AK151" s="2487">
        <f t="shared" si="48"/>
        <v>89408.671805069913</v>
      </c>
    </row>
    <row r="152" spans="9:37" ht="15.75" thickBot="1">
      <c r="I152" s="2543" t="s">
        <v>2242</v>
      </c>
      <c r="K152" s="888">
        <f>L54</f>
        <v>30928228.540391181</v>
      </c>
      <c r="L152" s="888">
        <f>N54</f>
        <v>-6494927.9934821492</v>
      </c>
      <c r="M152" s="2544">
        <f>SUM(K152:L152)</f>
        <v>24433300.546909031</v>
      </c>
      <c r="N152" s="2545">
        <f>SUM(J43:J54)</f>
        <v>-3787130.0253540208</v>
      </c>
      <c r="P152" s="2546" t="s">
        <v>2242</v>
      </c>
      <c r="R152" s="888">
        <f>S54</f>
        <v>8762049.83689682</v>
      </c>
      <c r="S152" s="888">
        <f>U54</f>
        <v>-1840030.4657483322</v>
      </c>
      <c r="T152" s="2544">
        <f>SUM(R152:S152)</f>
        <v>6922019.3711484876</v>
      </c>
      <c r="U152" s="2545">
        <f>SUM(Q43:Q54)</f>
        <v>-1072904.061660839</v>
      </c>
      <c r="Y152" s="477">
        <v>145</v>
      </c>
      <c r="Z152" s="477">
        <v>203009</v>
      </c>
      <c r="AA152" s="2487">
        <f t="shared" si="47"/>
        <v>141673.76797421335</v>
      </c>
      <c r="AB152" s="2487">
        <f t="shared" si="47"/>
        <v>9212.1931736232491</v>
      </c>
      <c r="AC152" s="2487">
        <f t="shared" si="47"/>
        <v>180859.29027261797</v>
      </c>
      <c r="AD152" s="2487">
        <f t="shared" si="47"/>
        <v>-16151.082640952791</v>
      </c>
      <c r="AE152" s="2487">
        <f t="shared" si="39"/>
        <v>315594.16877950181</v>
      </c>
      <c r="AF152" s="2487"/>
      <c r="AG152" s="2487">
        <f t="shared" si="48"/>
        <v>28472.18673513988</v>
      </c>
      <c r="AH152" s="2487">
        <f t="shared" si="48"/>
        <v>3233.4334850305936</v>
      </c>
      <c r="AI152" s="2487">
        <f t="shared" si="48"/>
        <v>59670.591944930027</v>
      </c>
      <c r="AJ152" s="2487">
        <f t="shared" si="48"/>
        <v>-1967.5403600305935</v>
      </c>
      <c r="AK152" s="2487">
        <f t="shared" si="48"/>
        <v>89408.671805069913</v>
      </c>
    </row>
    <row r="153" spans="9:37" ht="13.5" thickBot="1">
      <c r="Y153" s="477">
        <v>146</v>
      </c>
      <c r="Z153" s="477">
        <v>203010</v>
      </c>
      <c r="AA153" s="2487">
        <f t="shared" si="47"/>
        <v>141673.76797421335</v>
      </c>
      <c r="AB153" s="2487">
        <f t="shared" si="47"/>
        <v>9212.1931736232491</v>
      </c>
      <c r="AC153" s="2487">
        <f t="shared" si="47"/>
        <v>180859.29027261797</v>
      </c>
      <c r="AD153" s="2487">
        <f t="shared" si="47"/>
        <v>-16151.082640952791</v>
      </c>
      <c r="AE153" s="2487">
        <f t="shared" si="39"/>
        <v>315594.16877950181</v>
      </c>
      <c r="AF153" s="2487"/>
      <c r="AG153" s="2487">
        <f t="shared" si="48"/>
        <v>28472.18673513988</v>
      </c>
      <c r="AH153" s="2487">
        <f t="shared" si="48"/>
        <v>3233.4334850305936</v>
      </c>
      <c r="AI153" s="2487">
        <f t="shared" si="48"/>
        <v>59670.591944930027</v>
      </c>
      <c r="AJ153" s="2487">
        <f t="shared" si="48"/>
        <v>-1967.5403600305935</v>
      </c>
      <c r="AK153" s="2487">
        <f t="shared" si="48"/>
        <v>89408.671805069913</v>
      </c>
    </row>
    <row r="154" spans="9:37" ht="16.5" thickTop="1" thickBot="1">
      <c r="L154" s="2541" t="s">
        <v>2241</v>
      </c>
      <c r="M154" s="2542">
        <f>M156-M152</f>
        <v>-2991832.7200296894</v>
      </c>
      <c r="N154" s="2542">
        <f>N156-N152</f>
        <v>0</v>
      </c>
      <c r="S154" s="2541" t="s">
        <v>2241</v>
      </c>
      <c r="T154" s="2542">
        <f>T156-T152</f>
        <v>-847594.2087120628</v>
      </c>
      <c r="U154" s="2542">
        <f>U156-U152</f>
        <v>0</v>
      </c>
      <c r="Y154" s="477">
        <v>147</v>
      </c>
      <c r="Z154" s="477">
        <v>203011</v>
      </c>
      <c r="AA154" s="2487">
        <f t="shared" si="47"/>
        <v>141673.76797421335</v>
      </c>
      <c r="AB154" s="2487">
        <f t="shared" si="47"/>
        <v>9212.1931736232491</v>
      </c>
      <c r="AC154" s="2487">
        <f t="shared" si="47"/>
        <v>180859.29027261797</v>
      </c>
      <c r="AD154" s="2487">
        <f t="shared" si="47"/>
        <v>-16151.082640952791</v>
      </c>
      <c r="AE154" s="2487">
        <f t="shared" si="39"/>
        <v>315594.16877950181</v>
      </c>
      <c r="AF154" s="2487"/>
      <c r="AG154" s="2487">
        <f t="shared" si="48"/>
        <v>28472.18673513988</v>
      </c>
      <c r="AH154" s="2487">
        <f t="shared" si="48"/>
        <v>3233.4334850305936</v>
      </c>
      <c r="AI154" s="2487">
        <f t="shared" si="48"/>
        <v>59670.591944930027</v>
      </c>
      <c r="AJ154" s="2487">
        <f t="shared" si="48"/>
        <v>-1967.5403600305935</v>
      </c>
      <c r="AK154" s="2487">
        <f t="shared" si="48"/>
        <v>89408.671805069913</v>
      </c>
    </row>
    <row r="155" spans="9:37" ht="14.25" thickTop="1" thickBot="1">
      <c r="Y155" s="477">
        <v>148</v>
      </c>
      <c r="Z155" s="477">
        <v>203012</v>
      </c>
      <c r="AA155" s="2487">
        <f t="shared" si="47"/>
        <v>141673.76797421335</v>
      </c>
      <c r="AB155" s="2487">
        <f t="shared" si="47"/>
        <v>9212.1931736232491</v>
      </c>
      <c r="AC155" s="2487">
        <f t="shared" si="47"/>
        <v>180859.29027261797</v>
      </c>
      <c r="AD155" s="2487">
        <f t="shared" si="47"/>
        <v>-16151.082640952791</v>
      </c>
      <c r="AE155" s="2487">
        <f t="shared" si="39"/>
        <v>315594.16877950181</v>
      </c>
      <c r="AF155" s="2487"/>
      <c r="AG155" s="2487">
        <f t="shared" si="48"/>
        <v>28472.18673513988</v>
      </c>
      <c r="AH155" s="2487">
        <f t="shared" si="48"/>
        <v>3233.4334850305936</v>
      </c>
      <c r="AI155" s="2487">
        <f t="shared" si="48"/>
        <v>59670.591944930027</v>
      </c>
      <c r="AJ155" s="2487">
        <f t="shared" si="48"/>
        <v>-1967.5403600305935</v>
      </c>
      <c r="AK155" s="2487">
        <f t="shared" si="48"/>
        <v>89408.671805069913</v>
      </c>
    </row>
    <row r="156" spans="9:37" ht="15.75" thickBot="1">
      <c r="I156" s="2543" t="s">
        <v>2243</v>
      </c>
      <c r="K156" s="888">
        <f>L66</f>
        <v>27141098.515037138</v>
      </c>
      <c r="L156" s="888">
        <f>N66</f>
        <v>-5699630.6881577978</v>
      </c>
      <c r="M156" s="2545">
        <f>SUM(K156:L156)</f>
        <v>21441467.826879341</v>
      </c>
      <c r="N156" s="2545">
        <f>SUM(J55:J66)</f>
        <v>-3787130.0253540208</v>
      </c>
      <c r="P156" s="2546" t="s">
        <v>2243</v>
      </c>
      <c r="R156" s="888">
        <f>S66</f>
        <v>7689145.7752359807</v>
      </c>
      <c r="S156" s="888">
        <f>U66</f>
        <v>-1614720.6127995558</v>
      </c>
      <c r="T156" s="2544">
        <f>SUM(R156:S156)</f>
        <v>6074425.1624364248</v>
      </c>
      <c r="U156" s="2545">
        <f>SUM(Q55:Q66)</f>
        <v>-1072904.061660839</v>
      </c>
      <c r="Y156" s="477">
        <v>149</v>
      </c>
      <c r="Z156" s="477">
        <v>203101</v>
      </c>
      <c r="AA156" s="2487">
        <f t="shared" si="47"/>
        <v>141673.76797421335</v>
      </c>
      <c r="AB156" s="2487">
        <f t="shared" si="47"/>
        <v>9212.1931736232491</v>
      </c>
      <c r="AC156" s="2487">
        <f t="shared" si="47"/>
        <v>180859.29027261797</v>
      </c>
      <c r="AD156" s="2487">
        <f t="shared" si="47"/>
        <v>-16151.082640952791</v>
      </c>
      <c r="AE156" s="2487">
        <f t="shared" si="39"/>
        <v>315594.16877950181</v>
      </c>
      <c r="AF156" s="2487"/>
      <c r="AG156" s="2487">
        <f t="shared" si="48"/>
        <v>28472.18673513988</v>
      </c>
      <c r="AH156" s="2487">
        <f t="shared" si="48"/>
        <v>3233.4334850305936</v>
      </c>
      <c r="AI156" s="2487">
        <f t="shared" si="48"/>
        <v>59670.591944930027</v>
      </c>
      <c r="AJ156" s="2487">
        <f t="shared" si="48"/>
        <v>-1967.5403600305935</v>
      </c>
      <c r="AK156" s="2487">
        <f t="shared" si="48"/>
        <v>89408.671805069913</v>
      </c>
    </row>
    <row r="157" spans="9:37">
      <c r="Y157" s="477">
        <v>150</v>
      </c>
      <c r="Z157" s="477">
        <v>203102</v>
      </c>
      <c r="AA157" s="2487">
        <f t="shared" ref="AA157:AD172" si="49">AA156</f>
        <v>141673.76797421335</v>
      </c>
      <c r="AB157" s="2487">
        <f t="shared" si="49"/>
        <v>9212.1931736232491</v>
      </c>
      <c r="AC157" s="2487">
        <f t="shared" si="49"/>
        <v>180859.29027261797</v>
      </c>
      <c r="AD157" s="2487">
        <f t="shared" si="49"/>
        <v>-16151.082640952791</v>
      </c>
      <c r="AE157" s="2487">
        <f t="shared" si="39"/>
        <v>315594.16877950181</v>
      </c>
      <c r="AF157" s="2487"/>
      <c r="AG157" s="2487">
        <f t="shared" ref="AG157:AK172" si="50">AG156</f>
        <v>28472.18673513988</v>
      </c>
      <c r="AH157" s="2487">
        <f t="shared" si="50"/>
        <v>3233.4334850305936</v>
      </c>
      <c r="AI157" s="2487">
        <f t="shared" si="50"/>
        <v>59670.591944930027</v>
      </c>
      <c r="AJ157" s="2487">
        <f t="shared" si="50"/>
        <v>-1967.5403600305935</v>
      </c>
      <c r="AK157" s="2487">
        <f t="shared" si="50"/>
        <v>89408.671805069913</v>
      </c>
    </row>
    <row r="158" spans="9:37">
      <c r="Y158" s="477">
        <v>151</v>
      </c>
      <c r="Z158" s="477">
        <v>203103</v>
      </c>
      <c r="AA158" s="2487">
        <f t="shared" si="49"/>
        <v>141673.76797421335</v>
      </c>
      <c r="AB158" s="2487">
        <f t="shared" si="49"/>
        <v>9212.1931736232491</v>
      </c>
      <c r="AC158" s="2487">
        <f t="shared" si="49"/>
        <v>180859.29027261797</v>
      </c>
      <c r="AD158" s="2487">
        <f t="shared" si="49"/>
        <v>-16151.082640952791</v>
      </c>
      <c r="AE158" s="2487">
        <f t="shared" si="39"/>
        <v>315594.16877950181</v>
      </c>
      <c r="AF158" s="2487"/>
      <c r="AG158" s="2487">
        <f t="shared" si="50"/>
        <v>28472.18673513988</v>
      </c>
      <c r="AH158" s="2487">
        <f t="shared" si="50"/>
        <v>3233.4334850305936</v>
      </c>
      <c r="AI158" s="2487">
        <f t="shared" si="50"/>
        <v>59670.591944930027</v>
      </c>
      <c r="AJ158" s="2487">
        <f t="shared" si="50"/>
        <v>-1967.5403600305935</v>
      </c>
      <c r="AK158" s="2487">
        <f t="shared" si="50"/>
        <v>89408.671805069913</v>
      </c>
    </row>
    <row r="159" spans="9:37">
      <c r="Y159" s="477">
        <v>152</v>
      </c>
      <c r="Z159" s="477">
        <v>203104</v>
      </c>
      <c r="AA159" s="2487">
        <f t="shared" si="49"/>
        <v>141673.76797421335</v>
      </c>
      <c r="AB159" s="2487">
        <f t="shared" si="49"/>
        <v>9212.1931736232491</v>
      </c>
      <c r="AC159" s="2487">
        <f t="shared" si="49"/>
        <v>180859.29027261797</v>
      </c>
      <c r="AD159" s="2487">
        <f t="shared" si="49"/>
        <v>-16151.082640952791</v>
      </c>
      <c r="AE159" s="2487">
        <f t="shared" si="39"/>
        <v>315594.16877950181</v>
      </c>
      <c r="AF159" s="2487"/>
      <c r="AG159" s="2487">
        <f t="shared" si="50"/>
        <v>28472.18673513988</v>
      </c>
      <c r="AH159" s="2487">
        <f t="shared" si="50"/>
        <v>3233.4334850305936</v>
      </c>
      <c r="AI159" s="2487">
        <f t="shared" si="50"/>
        <v>59670.591944930027</v>
      </c>
      <c r="AJ159" s="2487">
        <f t="shared" si="50"/>
        <v>-1967.5403600305935</v>
      </c>
      <c r="AK159" s="2487">
        <f t="shared" si="50"/>
        <v>89408.671805069913</v>
      </c>
    </row>
    <row r="160" spans="9:37">
      <c r="Y160" s="477">
        <v>153</v>
      </c>
      <c r="Z160" s="477">
        <v>203105</v>
      </c>
      <c r="AA160" s="2487">
        <f t="shared" si="49"/>
        <v>141673.76797421335</v>
      </c>
      <c r="AB160" s="2487">
        <f t="shared" si="49"/>
        <v>9212.1931736232491</v>
      </c>
      <c r="AC160" s="2487">
        <f t="shared" si="49"/>
        <v>180859.29027261797</v>
      </c>
      <c r="AD160" s="2487">
        <f t="shared" si="49"/>
        <v>-16151.082640952791</v>
      </c>
      <c r="AE160" s="2487">
        <f t="shared" si="39"/>
        <v>315594.16877950181</v>
      </c>
      <c r="AF160" s="2487"/>
      <c r="AG160" s="2487">
        <f t="shared" si="50"/>
        <v>28472.18673513988</v>
      </c>
      <c r="AH160" s="2487">
        <f t="shared" si="50"/>
        <v>3233.4334850305936</v>
      </c>
      <c r="AI160" s="2487">
        <f t="shared" si="50"/>
        <v>59670.591944930027</v>
      </c>
      <c r="AJ160" s="2487">
        <f t="shared" si="50"/>
        <v>-1967.5403600305935</v>
      </c>
      <c r="AK160" s="2487">
        <f t="shared" si="50"/>
        <v>89408.671805069913</v>
      </c>
    </row>
    <row r="161" spans="25:37">
      <c r="Y161" s="477">
        <v>154</v>
      </c>
      <c r="Z161" s="477">
        <v>203106</v>
      </c>
      <c r="AA161" s="2487">
        <f t="shared" si="49"/>
        <v>141673.76797421335</v>
      </c>
      <c r="AB161" s="2487">
        <f t="shared" si="49"/>
        <v>9212.1931736232491</v>
      </c>
      <c r="AC161" s="2487">
        <f t="shared" si="49"/>
        <v>180859.29027261797</v>
      </c>
      <c r="AD161" s="2487">
        <f t="shared" si="49"/>
        <v>-16151.082640952791</v>
      </c>
      <c r="AE161" s="2487">
        <f t="shared" si="39"/>
        <v>315594.16877950181</v>
      </c>
      <c r="AF161" s="2487"/>
      <c r="AG161" s="2487">
        <f t="shared" si="50"/>
        <v>28472.18673513988</v>
      </c>
      <c r="AH161" s="2487">
        <f t="shared" si="50"/>
        <v>3233.4334850305936</v>
      </c>
      <c r="AI161" s="2487">
        <f t="shared" si="50"/>
        <v>59670.591944930027</v>
      </c>
      <c r="AJ161" s="2487">
        <f t="shared" si="50"/>
        <v>-1967.5403600305935</v>
      </c>
      <c r="AK161" s="2487">
        <f t="shared" si="50"/>
        <v>89408.671805069913</v>
      </c>
    </row>
    <row r="162" spans="25:37">
      <c r="Y162" s="477">
        <v>155</v>
      </c>
      <c r="Z162" s="477">
        <v>203107</v>
      </c>
      <c r="AA162" s="2487">
        <f t="shared" si="49"/>
        <v>141673.76797421335</v>
      </c>
      <c r="AB162" s="2487">
        <f t="shared" si="49"/>
        <v>9212.1931736232491</v>
      </c>
      <c r="AC162" s="2487">
        <f t="shared" si="49"/>
        <v>180859.29027261797</v>
      </c>
      <c r="AD162" s="2487">
        <f t="shared" si="49"/>
        <v>-16151.082640952791</v>
      </c>
      <c r="AE162" s="2487">
        <f t="shared" si="39"/>
        <v>315594.16877950181</v>
      </c>
      <c r="AF162" s="2487"/>
      <c r="AG162" s="2487">
        <f t="shared" si="50"/>
        <v>28472.18673513988</v>
      </c>
      <c r="AH162" s="2487">
        <f t="shared" si="50"/>
        <v>3233.4334850305936</v>
      </c>
      <c r="AI162" s="2487">
        <f t="shared" si="50"/>
        <v>59670.591944930027</v>
      </c>
      <c r="AJ162" s="2487">
        <f t="shared" si="50"/>
        <v>-1967.5403600305935</v>
      </c>
      <c r="AK162" s="2487">
        <f t="shared" si="50"/>
        <v>89408.671805069913</v>
      </c>
    </row>
    <row r="163" spans="25:37">
      <c r="Y163" s="477">
        <v>156</v>
      </c>
      <c r="Z163" s="477">
        <v>203108</v>
      </c>
      <c r="AA163" s="2487">
        <f t="shared" si="49"/>
        <v>141673.76797421335</v>
      </c>
      <c r="AB163" s="2487">
        <f t="shared" si="49"/>
        <v>9212.1931736232491</v>
      </c>
      <c r="AC163" s="2487">
        <f t="shared" si="49"/>
        <v>180859.29027261797</v>
      </c>
      <c r="AD163" s="2487">
        <f t="shared" si="49"/>
        <v>-16151.082640952791</v>
      </c>
      <c r="AE163" s="2487">
        <f t="shared" si="39"/>
        <v>315594.16877950181</v>
      </c>
      <c r="AF163" s="2487"/>
      <c r="AG163" s="2487">
        <f t="shared" si="50"/>
        <v>28472.18673513988</v>
      </c>
      <c r="AH163" s="2487">
        <f t="shared" si="50"/>
        <v>3233.4334850305936</v>
      </c>
      <c r="AI163" s="2487">
        <f t="shared" si="50"/>
        <v>59670.591944930027</v>
      </c>
      <c r="AJ163" s="2487">
        <f t="shared" si="50"/>
        <v>-1967.5403600305935</v>
      </c>
      <c r="AK163" s="2487">
        <f t="shared" si="50"/>
        <v>89408.671805069913</v>
      </c>
    </row>
    <row r="164" spans="25:37">
      <c r="Y164" s="477">
        <v>157</v>
      </c>
      <c r="Z164" s="477">
        <v>203109</v>
      </c>
      <c r="AA164" s="2487">
        <f t="shared" si="49"/>
        <v>141673.76797421335</v>
      </c>
      <c r="AB164" s="2487">
        <f t="shared" si="49"/>
        <v>9212.1931736232491</v>
      </c>
      <c r="AC164" s="2487">
        <f t="shared" si="49"/>
        <v>180859.29027261797</v>
      </c>
      <c r="AD164" s="2487">
        <f t="shared" si="49"/>
        <v>-16151.082640952791</v>
      </c>
      <c r="AE164" s="2487">
        <f t="shared" si="39"/>
        <v>315594.16877950181</v>
      </c>
      <c r="AF164" s="2487"/>
      <c r="AG164" s="2487">
        <f t="shared" si="50"/>
        <v>28472.18673513988</v>
      </c>
      <c r="AH164" s="2487">
        <f t="shared" si="50"/>
        <v>3233.4334850305936</v>
      </c>
      <c r="AI164" s="2487">
        <f t="shared" si="50"/>
        <v>59670.591944930027</v>
      </c>
      <c r="AJ164" s="2487">
        <f t="shared" si="50"/>
        <v>-1967.5403600305935</v>
      </c>
      <c r="AK164" s="2487">
        <f t="shared" si="50"/>
        <v>89408.671805069913</v>
      </c>
    </row>
    <row r="165" spans="25:37">
      <c r="Y165" s="477">
        <v>158</v>
      </c>
      <c r="Z165" s="477">
        <v>203110</v>
      </c>
      <c r="AA165" s="2487">
        <f t="shared" si="49"/>
        <v>141673.76797421335</v>
      </c>
      <c r="AB165" s="2487">
        <f t="shared" si="49"/>
        <v>9212.1931736232491</v>
      </c>
      <c r="AC165" s="2487">
        <f t="shared" si="49"/>
        <v>180859.29027261797</v>
      </c>
      <c r="AD165" s="2487">
        <f t="shared" si="49"/>
        <v>-16151.082640952791</v>
      </c>
      <c r="AE165" s="2487">
        <f t="shared" si="39"/>
        <v>315594.16877950181</v>
      </c>
      <c r="AF165" s="2487"/>
      <c r="AG165" s="2487">
        <f t="shared" si="50"/>
        <v>28472.18673513988</v>
      </c>
      <c r="AH165" s="2487">
        <f t="shared" si="50"/>
        <v>3233.4334850305936</v>
      </c>
      <c r="AI165" s="2487">
        <f t="shared" si="50"/>
        <v>59670.591944930027</v>
      </c>
      <c r="AJ165" s="2487">
        <f t="shared" si="50"/>
        <v>-1967.5403600305935</v>
      </c>
      <c r="AK165" s="2487">
        <f t="shared" si="50"/>
        <v>89408.671805069913</v>
      </c>
    </row>
    <row r="166" spans="25:37">
      <c r="Y166" s="477">
        <v>159</v>
      </c>
      <c r="Z166" s="477">
        <v>203111</v>
      </c>
      <c r="AA166" s="2487">
        <f t="shared" si="49"/>
        <v>141673.76797421335</v>
      </c>
      <c r="AB166" s="2487">
        <f t="shared" si="49"/>
        <v>9212.1931736232491</v>
      </c>
      <c r="AC166" s="2487">
        <f t="shared" si="49"/>
        <v>180859.29027261797</v>
      </c>
      <c r="AD166" s="2487">
        <f t="shared" si="49"/>
        <v>-16151.082640952791</v>
      </c>
      <c r="AE166" s="2487">
        <f t="shared" si="39"/>
        <v>315594.16877950181</v>
      </c>
      <c r="AF166" s="2487"/>
      <c r="AG166" s="2487">
        <f t="shared" si="50"/>
        <v>28472.18673513988</v>
      </c>
      <c r="AH166" s="2487">
        <f t="shared" si="50"/>
        <v>3233.4334850305936</v>
      </c>
      <c r="AI166" s="2487">
        <f t="shared" si="50"/>
        <v>59670.591944930027</v>
      </c>
      <c r="AJ166" s="2487">
        <f t="shared" si="50"/>
        <v>-1967.5403600305935</v>
      </c>
      <c r="AK166" s="2487">
        <f t="shared" si="50"/>
        <v>89408.671805069913</v>
      </c>
    </row>
    <row r="167" spans="25:37">
      <c r="Y167" s="477">
        <v>160</v>
      </c>
      <c r="Z167" s="477">
        <v>203112</v>
      </c>
      <c r="AA167" s="2487">
        <f t="shared" si="49"/>
        <v>141673.76797421335</v>
      </c>
      <c r="AB167" s="2487">
        <f t="shared" si="49"/>
        <v>9212.1931736232491</v>
      </c>
      <c r="AC167" s="2487">
        <f t="shared" si="49"/>
        <v>180859.29027261797</v>
      </c>
      <c r="AD167" s="2487">
        <f t="shared" si="49"/>
        <v>-16151.082640952791</v>
      </c>
      <c r="AE167" s="2487">
        <f t="shared" si="39"/>
        <v>315594.16877950181</v>
      </c>
      <c r="AF167" s="2487"/>
      <c r="AG167" s="2487">
        <f t="shared" si="50"/>
        <v>28472.18673513988</v>
      </c>
      <c r="AH167" s="2487">
        <f t="shared" si="50"/>
        <v>3233.4334850305936</v>
      </c>
      <c r="AI167" s="2487">
        <f t="shared" si="50"/>
        <v>59670.591944930027</v>
      </c>
      <c r="AJ167" s="2487">
        <f t="shared" si="50"/>
        <v>-1967.5403600305935</v>
      </c>
      <c r="AK167" s="2487">
        <f t="shared" si="50"/>
        <v>89408.671805069913</v>
      </c>
    </row>
    <row r="168" spans="25:37">
      <c r="Y168" s="477">
        <v>161</v>
      </c>
      <c r="Z168" s="477">
        <v>203201</v>
      </c>
      <c r="AA168" s="2487">
        <f t="shared" si="49"/>
        <v>141673.76797421335</v>
      </c>
      <c r="AB168" s="2487">
        <f t="shared" si="49"/>
        <v>9212.1931736232491</v>
      </c>
      <c r="AC168" s="2487">
        <f t="shared" si="49"/>
        <v>180859.29027261797</v>
      </c>
      <c r="AD168" s="2487">
        <f t="shared" si="49"/>
        <v>-16151.082640952791</v>
      </c>
      <c r="AE168" s="2487">
        <f t="shared" si="39"/>
        <v>315594.16877950181</v>
      </c>
      <c r="AF168" s="2487"/>
      <c r="AG168" s="2487">
        <f t="shared" si="50"/>
        <v>28472.18673513988</v>
      </c>
      <c r="AH168" s="2487">
        <f t="shared" si="50"/>
        <v>3233.4334850305936</v>
      </c>
      <c r="AI168" s="2487">
        <f t="shared" si="50"/>
        <v>59670.591944930027</v>
      </c>
      <c r="AJ168" s="2487">
        <f t="shared" si="50"/>
        <v>-1967.5403600305935</v>
      </c>
      <c r="AK168" s="2487">
        <f t="shared" si="50"/>
        <v>89408.671805069913</v>
      </c>
    </row>
    <row r="169" spans="25:37">
      <c r="Y169" s="477">
        <v>162</v>
      </c>
      <c r="Z169" s="477">
        <v>203202</v>
      </c>
      <c r="AA169" s="2487">
        <f t="shared" si="49"/>
        <v>141673.76797421335</v>
      </c>
      <c r="AB169" s="2487">
        <f t="shared" si="49"/>
        <v>9212.1931736232491</v>
      </c>
      <c r="AC169" s="2487">
        <f t="shared" si="49"/>
        <v>180859.29027261797</v>
      </c>
      <c r="AD169" s="2487">
        <f t="shared" si="49"/>
        <v>-16151.082640952791</v>
      </c>
      <c r="AE169" s="2487">
        <f t="shared" si="39"/>
        <v>315594.16877950181</v>
      </c>
      <c r="AF169" s="2487"/>
      <c r="AG169" s="2487">
        <f t="shared" si="50"/>
        <v>28472.18673513988</v>
      </c>
      <c r="AH169" s="2487">
        <f t="shared" si="50"/>
        <v>3233.4334850305936</v>
      </c>
      <c r="AI169" s="2487">
        <f t="shared" si="50"/>
        <v>59670.591944930027</v>
      </c>
      <c r="AJ169" s="2487">
        <f t="shared" si="50"/>
        <v>-1967.5403600305935</v>
      </c>
      <c r="AK169" s="2487">
        <f t="shared" si="50"/>
        <v>89408.671805069913</v>
      </c>
    </row>
    <row r="170" spans="25:37">
      <c r="Y170" s="477">
        <v>163</v>
      </c>
      <c r="Z170" s="477">
        <v>203203</v>
      </c>
      <c r="AA170" s="2487">
        <f t="shared" si="49"/>
        <v>141673.76797421335</v>
      </c>
      <c r="AB170" s="2487">
        <f t="shared" si="49"/>
        <v>9212.1931736232491</v>
      </c>
      <c r="AC170" s="2487">
        <f t="shared" si="49"/>
        <v>180859.29027261797</v>
      </c>
      <c r="AD170" s="2487">
        <f t="shared" si="49"/>
        <v>-16151.082640952791</v>
      </c>
      <c r="AE170" s="2487">
        <f t="shared" si="39"/>
        <v>315594.16877950181</v>
      </c>
      <c r="AF170" s="2487"/>
      <c r="AG170" s="2487">
        <f t="shared" si="50"/>
        <v>28472.18673513988</v>
      </c>
      <c r="AH170" s="2487">
        <f t="shared" si="50"/>
        <v>3233.4334850305936</v>
      </c>
      <c r="AI170" s="2487">
        <f t="shared" si="50"/>
        <v>59670.591944930027</v>
      </c>
      <c r="AJ170" s="2487">
        <f t="shared" si="50"/>
        <v>-1967.5403600305935</v>
      </c>
      <c r="AK170" s="2487">
        <f t="shared" si="50"/>
        <v>89408.671805069913</v>
      </c>
    </row>
    <row r="171" spans="25:37">
      <c r="Y171" s="477">
        <v>164</v>
      </c>
      <c r="Z171" s="477">
        <v>203204</v>
      </c>
      <c r="AA171" s="2487">
        <f t="shared" si="49"/>
        <v>141673.76797421335</v>
      </c>
      <c r="AB171" s="2487">
        <f t="shared" si="49"/>
        <v>9212.1931736232491</v>
      </c>
      <c r="AC171" s="2487">
        <f t="shared" si="49"/>
        <v>180859.29027261797</v>
      </c>
      <c r="AD171" s="2487">
        <f t="shared" si="49"/>
        <v>-16151.082640952791</v>
      </c>
      <c r="AE171" s="2487">
        <f t="shared" si="39"/>
        <v>315594.16877950181</v>
      </c>
      <c r="AF171" s="2487"/>
      <c r="AG171" s="2487">
        <f t="shared" si="50"/>
        <v>28472.18673513988</v>
      </c>
      <c r="AH171" s="2487">
        <f t="shared" si="50"/>
        <v>3233.4334850305936</v>
      </c>
      <c r="AI171" s="2487">
        <f t="shared" si="50"/>
        <v>59670.591944930027</v>
      </c>
      <c r="AJ171" s="2487">
        <f t="shared" si="50"/>
        <v>-1967.5403600305935</v>
      </c>
      <c r="AK171" s="2487">
        <f t="shared" si="50"/>
        <v>89408.671805069913</v>
      </c>
    </row>
    <row r="172" spans="25:37">
      <c r="Y172" s="477">
        <v>165</v>
      </c>
      <c r="Z172" s="477">
        <v>203205</v>
      </c>
      <c r="AA172" s="2487">
        <f t="shared" si="49"/>
        <v>141673.76797421335</v>
      </c>
      <c r="AB172" s="2487">
        <f t="shared" si="49"/>
        <v>9212.1931736232491</v>
      </c>
      <c r="AC172" s="2487">
        <f t="shared" si="49"/>
        <v>180859.29027261797</v>
      </c>
      <c r="AD172" s="2487">
        <f t="shared" si="49"/>
        <v>-16151.082640952791</v>
      </c>
      <c r="AE172" s="2487">
        <f t="shared" si="39"/>
        <v>315594.16877950181</v>
      </c>
      <c r="AF172" s="2487"/>
      <c r="AG172" s="2487">
        <f t="shared" si="50"/>
        <v>28472.18673513988</v>
      </c>
      <c r="AH172" s="2487">
        <f t="shared" si="50"/>
        <v>3233.4334850305936</v>
      </c>
      <c r="AI172" s="2487">
        <f t="shared" si="50"/>
        <v>59670.591944930027</v>
      </c>
      <c r="AJ172" s="2487">
        <f t="shared" si="50"/>
        <v>-1967.5403600305935</v>
      </c>
      <c r="AK172" s="2487">
        <f t="shared" si="50"/>
        <v>89408.671805069913</v>
      </c>
    </row>
    <row r="173" spans="25:37">
      <c r="Y173" s="477">
        <v>166</v>
      </c>
      <c r="Z173" s="477">
        <v>203206</v>
      </c>
      <c r="AA173" s="2487">
        <f t="shared" ref="AA173:AD187" si="51">AA172</f>
        <v>141673.76797421335</v>
      </c>
      <c r="AB173" s="2487">
        <f t="shared" si="51"/>
        <v>9212.1931736232491</v>
      </c>
      <c r="AC173" s="2487">
        <f t="shared" si="51"/>
        <v>180859.29027261797</v>
      </c>
      <c r="AD173" s="2487">
        <f t="shared" si="51"/>
        <v>-16151.082640952791</v>
      </c>
      <c r="AE173" s="2487">
        <f t="shared" ref="AE173:AE187" si="52">SUM(AA173:AD173)</f>
        <v>315594.16877950181</v>
      </c>
      <c r="AF173" s="2487"/>
      <c r="AG173" s="2487">
        <f t="shared" ref="AG173:AK187" si="53">AG172</f>
        <v>28472.18673513988</v>
      </c>
      <c r="AH173" s="2487">
        <f t="shared" si="53"/>
        <v>3233.4334850305936</v>
      </c>
      <c r="AI173" s="2487">
        <f t="shared" si="53"/>
        <v>59670.591944930027</v>
      </c>
      <c r="AJ173" s="2487">
        <f t="shared" si="53"/>
        <v>-1967.5403600305935</v>
      </c>
      <c r="AK173" s="2487">
        <f t="shared" si="53"/>
        <v>89408.671805069913</v>
      </c>
    </row>
    <row r="174" spans="25:37">
      <c r="Y174" s="477">
        <v>167</v>
      </c>
      <c r="Z174" s="477">
        <v>203207</v>
      </c>
      <c r="AA174" s="2487">
        <f t="shared" si="51"/>
        <v>141673.76797421335</v>
      </c>
      <c r="AB174" s="2487">
        <f t="shared" si="51"/>
        <v>9212.1931736232491</v>
      </c>
      <c r="AC174" s="2487">
        <f t="shared" si="51"/>
        <v>180859.29027261797</v>
      </c>
      <c r="AD174" s="2487">
        <f t="shared" si="51"/>
        <v>-16151.082640952791</v>
      </c>
      <c r="AE174" s="2487">
        <f t="shared" si="52"/>
        <v>315594.16877950181</v>
      </c>
      <c r="AF174" s="2487"/>
      <c r="AG174" s="2487">
        <f t="shared" si="53"/>
        <v>28472.18673513988</v>
      </c>
      <c r="AH174" s="2487">
        <f t="shared" si="53"/>
        <v>3233.4334850305936</v>
      </c>
      <c r="AI174" s="2487">
        <f t="shared" si="53"/>
        <v>59670.591944930027</v>
      </c>
      <c r="AJ174" s="2487">
        <f t="shared" si="53"/>
        <v>-1967.5403600305935</v>
      </c>
      <c r="AK174" s="2487">
        <f t="shared" si="53"/>
        <v>89408.671805069913</v>
      </c>
    </row>
    <row r="175" spans="25:37">
      <c r="Y175" s="477">
        <v>168</v>
      </c>
      <c r="Z175" s="477">
        <v>203208</v>
      </c>
      <c r="AA175" s="2487">
        <f t="shared" si="51"/>
        <v>141673.76797421335</v>
      </c>
      <c r="AB175" s="2487">
        <f t="shared" si="51"/>
        <v>9212.1931736232491</v>
      </c>
      <c r="AC175" s="2487">
        <f t="shared" si="51"/>
        <v>180859.29027261797</v>
      </c>
      <c r="AD175" s="2487">
        <f t="shared" si="51"/>
        <v>-16151.082640952791</v>
      </c>
      <c r="AE175" s="2487">
        <f t="shared" si="52"/>
        <v>315594.16877950181</v>
      </c>
      <c r="AF175" s="2487"/>
      <c r="AG175" s="2487">
        <f t="shared" si="53"/>
        <v>28472.18673513988</v>
      </c>
      <c r="AH175" s="2487">
        <f t="shared" si="53"/>
        <v>3233.4334850305936</v>
      </c>
      <c r="AI175" s="2487">
        <f t="shared" si="53"/>
        <v>59670.591944930027</v>
      </c>
      <c r="AJ175" s="2487">
        <f t="shared" si="53"/>
        <v>-1967.5403600305935</v>
      </c>
      <c r="AK175" s="2487">
        <f t="shared" si="53"/>
        <v>89408.671805069913</v>
      </c>
    </row>
    <row r="176" spans="25:37">
      <c r="Y176" s="477">
        <v>169</v>
      </c>
      <c r="Z176" s="477">
        <v>203209</v>
      </c>
      <c r="AA176" s="2487">
        <f t="shared" si="51"/>
        <v>141673.76797421335</v>
      </c>
      <c r="AB176" s="2487">
        <f t="shared" si="51"/>
        <v>9212.1931736232491</v>
      </c>
      <c r="AC176" s="2487">
        <f t="shared" si="51"/>
        <v>180859.29027261797</v>
      </c>
      <c r="AD176" s="2487">
        <f t="shared" si="51"/>
        <v>-16151.082640952791</v>
      </c>
      <c r="AE176" s="2487">
        <f t="shared" si="52"/>
        <v>315594.16877950181</v>
      </c>
      <c r="AF176" s="2487"/>
      <c r="AG176" s="2487">
        <f t="shared" si="53"/>
        <v>28472.18673513988</v>
      </c>
      <c r="AH176" s="2487">
        <f t="shared" si="53"/>
        <v>3233.4334850305936</v>
      </c>
      <c r="AI176" s="2487">
        <f t="shared" si="53"/>
        <v>59670.591944930027</v>
      </c>
      <c r="AJ176" s="2487">
        <f t="shared" si="53"/>
        <v>-1967.5403600305935</v>
      </c>
      <c r="AK176" s="2487">
        <f t="shared" si="53"/>
        <v>89408.671805069913</v>
      </c>
    </row>
    <row r="177" spans="25:37">
      <c r="Y177" s="477">
        <v>170</v>
      </c>
      <c r="Z177" s="477">
        <v>203210</v>
      </c>
      <c r="AA177" s="2487">
        <f t="shared" si="51"/>
        <v>141673.76797421335</v>
      </c>
      <c r="AB177" s="2487">
        <f t="shared" si="51"/>
        <v>9212.1931736232491</v>
      </c>
      <c r="AC177" s="2487">
        <f t="shared" si="51"/>
        <v>180859.29027261797</v>
      </c>
      <c r="AD177" s="2487">
        <f t="shared" si="51"/>
        <v>-16151.082640952791</v>
      </c>
      <c r="AE177" s="2487">
        <f t="shared" si="52"/>
        <v>315594.16877950181</v>
      </c>
      <c r="AF177" s="2487"/>
      <c r="AG177" s="2487">
        <f t="shared" si="53"/>
        <v>28472.18673513988</v>
      </c>
      <c r="AH177" s="2487">
        <f t="shared" si="53"/>
        <v>3233.4334850305936</v>
      </c>
      <c r="AI177" s="2487">
        <f t="shared" si="53"/>
        <v>59670.591944930027</v>
      </c>
      <c r="AJ177" s="2487">
        <f t="shared" si="53"/>
        <v>-1967.5403600305935</v>
      </c>
      <c r="AK177" s="2487">
        <f t="shared" si="53"/>
        <v>89408.671805069913</v>
      </c>
    </row>
    <row r="178" spans="25:37">
      <c r="Y178" s="477">
        <v>171</v>
      </c>
      <c r="Z178" s="477">
        <v>203211</v>
      </c>
      <c r="AA178" s="2487">
        <f t="shared" si="51"/>
        <v>141673.76797421335</v>
      </c>
      <c r="AB178" s="2487">
        <f t="shared" si="51"/>
        <v>9212.1931736232491</v>
      </c>
      <c r="AC178" s="2487">
        <f t="shared" si="51"/>
        <v>180859.29027261797</v>
      </c>
      <c r="AD178" s="2487">
        <f t="shared" si="51"/>
        <v>-16151.082640952791</v>
      </c>
      <c r="AE178" s="2487">
        <f t="shared" si="52"/>
        <v>315594.16877950181</v>
      </c>
      <c r="AF178" s="2487"/>
      <c r="AG178" s="2487">
        <f t="shared" si="53"/>
        <v>28472.18673513988</v>
      </c>
      <c r="AH178" s="2487">
        <f t="shared" si="53"/>
        <v>3233.4334850305936</v>
      </c>
      <c r="AI178" s="2487">
        <f t="shared" si="53"/>
        <v>59670.591944930027</v>
      </c>
      <c r="AJ178" s="2487">
        <f t="shared" si="53"/>
        <v>-1967.5403600305935</v>
      </c>
      <c r="AK178" s="2487">
        <f t="shared" si="53"/>
        <v>89408.671805069913</v>
      </c>
    </row>
    <row r="179" spans="25:37">
      <c r="Y179" s="477">
        <v>172</v>
      </c>
      <c r="Z179" s="477">
        <v>203212</v>
      </c>
      <c r="AA179" s="2487">
        <f t="shared" si="51"/>
        <v>141673.76797421335</v>
      </c>
      <c r="AB179" s="2487">
        <f t="shared" si="51"/>
        <v>9212.1931736232491</v>
      </c>
      <c r="AC179" s="2487">
        <f t="shared" si="51"/>
        <v>180859.29027261797</v>
      </c>
      <c r="AD179" s="2487">
        <f t="shared" si="51"/>
        <v>-16151.082640952791</v>
      </c>
      <c r="AE179" s="2487">
        <f t="shared" si="52"/>
        <v>315594.16877950181</v>
      </c>
      <c r="AF179" s="2487"/>
      <c r="AG179" s="2487">
        <f t="shared" si="53"/>
        <v>28472.18673513988</v>
      </c>
      <c r="AH179" s="2487">
        <f t="shared" si="53"/>
        <v>3233.4334850305936</v>
      </c>
      <c r="AI179" s="2487">
        <f t="shared" si="53"/>
        <v>59670.591944930027</v>
      </c>
      <c r="AJ179" s="2487">
        <f t="shared" si="53"/>
        <v>-1967.5403600305935</v>
      </c>
      <c r="AK179" s="2487">
        <f t="shared" si="53"/>
        <v>89408.671805069913</v>
      </c>
    </row>
    <row r="180" spans="25:37">
      <c r="Y180" s="477">
        <v>173</v>
      </c>
      <c r="Z180" s="477">
        <v>203301</v>
      </c>
      <c r="AA180" s="2487">
        <f t="shared" si="51"/>
        <v>141673.76797421335</v>
      </c>
      <c r="AB180" s="2487">
        <f t="shared" si="51"/>
        <v>9212.1931736232491</v>
      </c>
      <c r="AC180" s="2487">
        <f t="shared" si="51"/>
        <v>180859.29027261797</v>
      </c>
      <c r="AD180" s="2487">
        <f t="shared" si="51"/>
        <v>-16151.082640952791</v>
      </c>
      <c r="AE180" s="2487">
        <f t="shared" si="52"/>
        <v>315594.16877950181</v>
      </c>
      <c r="AF180" s="2487"/>
      <c r="AG180" s="2487">
        <f t="shared" si="53"/>
        <v>28472.18673513988</v>
      </c>
      <c r="AH180" s="2487">
        <f t="shared" si="53"/>
        <v>3233.4334850305936</v>
      </c>
      <c r="AI180" s="2487">
        <f t="shared" si="53"/>
        <v>59670.591944930027</v>
      </c>
      <c r="AJ180" s="2487">
        <f t="shared" si="53"/>
        <v>-1967.5403600305935</v>
      </c>
      <c r="AK180" s="2487">
        <f t="shared" si="53"/>
        <v>89408.671805069913</v>
      </c>
    </row>
    <row r="181" spans="25:37">
      <c r="Y181" s="477">
        <v>174</v>
      </c>
      <c r="Z181" s="477">
        <v>203302</v>
      </c>
      <c r="AA181" s="2487">
        <f t="shared" si="51"/>
        <v>141673.76797421335</v>
      </c>
      <c r="AB181" s="2487">
        <f t="shared" si="51"/>
        <v>9212.1931736232491</v>
      </c>
      <c r="AC181" s="2487">
        <f t="shared" si="51"/>
        <v>180859.29027261797</v>
      </c>
      <c r="AD181" s="2487">
        <f t="shared" si="51"/>
        <v>-16151.082640952791</v>
      </c>
      <c r="AE181" s="2487">
        <f t="shared" si="52"/>
        <v>315594.16877950181</v>
      </c>
      <c r="AF181" s="2487"/>
      <c r="AG181" s="2487">
        <f t="shared" si="53"/>
        <v>28472.18673513988</v>
      </c>
      <c r="AH181" s="2487">
        <f t="shared" si="53"/>
        <v>3233.4334850305936</v>
      </c>
      <c r="AI181" s="2487">
        <f t="shared" si="53"/>
        <v>59670.591944930027</v>
      </c>
      <c r="AJ181" s="2487">
        <f t="shared" si="53"/>
        <v>-1967.5403600305935</v>
      </c>
      <c r="AK181" s="2487">
        <f t="shared" si="53"/>
        <v>89408.671805069913</v>
      </c>
    </row>
    <row r="182" spans="25:37">
      <c r="Y182" s="477">
        <v>175</v>
      </c>
      <c r="Z182" s="477">
        <v>203303</v>
      </c>
      <c r="AA182" s="2487">
        <f t="shared" si="51"/>
        <v>141673.76797421335</v>
      </c>
      <c r="AB182" s="2487">
        <f t="shared" si="51"/>
        <v>9212.1931736232491</v>
      </c>
      <c r="AC182" s="2487">
        <f t="shared" si="51"/>
        <v>180859.29027261797</v>
      </c>
      <c r="AD182" s="2487">
        <f t="shared" si="51"/>
        <v>-16151.082640952791</v>
      </c>
      <c r="AE182" s="2487">
        <f t="shared" si="52"/>
        <v>315594.16877950181</v>
      </c>
      <c r="AF182" s="2487"/>
      <c r="AG182" s="2487">
        <f t="shared" si="53"/>
        <v>28472.18673513988</v>
      </c>
      <c r="AH182" s="2487">
        <f t="shared" si="53"/>
        <v>3233.4334850305936</v>
      </c>
      <c r="AI182" s="2487">
        <f t="shared" si="53"/>
        <v>59670.591944930027</v>
      </c>
      <c r="AJ182" s="2487">
        <f t="shared" si="53"/>
        <v>-1967.5403600305935</v>
      </c>
      <c r="AK182" s="2487">
        <f t="shared" si="53"/>
        <v>89408.671805069913</v>
      </c>
    </row>
    <row r="183" spans="25:37">
      <c r="Y183" s="477">
        <v>176</v>
      </c>
      <c r="Z183" s="477">
        <v>203304</v>
      </c>
      <c r="AA183" s="2487">
        <f t="shared" si="51"/>
        <v>141673.76797421335</v>
      </c>
      <c r="AB183" s="2487">
        <f t="shared" si="51"/>
        <v>9212.1931736232491</v>
      </c>
      <c r="AC183" s="2487">
        <f t="shared" si="51"/>
        <v>180859.29027261797</v>
      </c>
      <c r="AD183" s="2487">
        <f t="shared" si="51"/>
        <v>-16151.082640952791</v>
      </c>
      <c r="AE183" s="2487">
        <f t="shared" si="52"/>
        <v>315594.16877950181</v>
      </c>
      <c r="AF183" s="2487"/>
      <c r="AG183" s="2487">
        <f t="shared" si="53"/>
        <v>28472.18673513988</v>
      </c>
      <c r="AH183" s="2487">
        <f t="shared" si="53"/>
        <v>3233.4334850305936</v>
      </c>
      <c r="AI183" s="2487">
        <f t="shared" si="53"/>
        <v>59670.591944930027</v>
      </c>
      <c r="AJ183" s="2487">
        <f t="shared" si="53"/>
        <v>-1967.5403600305935</v>
      </c>
      <c r="AK183" s="2487">
        <f t="shared" si="53"/>
        <v>89408.671805069913</v>
      </c>
    </row>
    <row r="184" spans="25:37">
      <c r="Y184" s="477">
        <v>177</v>
      </c>
      <c r="Z184" s="477">
        <v>203305</v>
      </c>
      <c r="AA184" s="2487">
        <f t="shared" si="51"/>
        <v>141673.76797421335</v>
      </c>
      <c r="AB184" s="2487">
        <f t="shared" si="51"/>
        <v>9212.1931736232491</v>
      </c>
      <c r="AC184" s="2487">
        <f t="shared" si="51"/>
        <v>180859.29027261797</v>
      </c>
      <c r="AD184" s="2487">
        <f t="shared" si="51"/>
        <v>-16151.082640952791</v>
      </c>
      <c r="AE184" s="2487">
        <f t="shared" si="52"/>
        <v>315594.16877950181</v>
      </c>
      <c r="AF184" s="2487"/>
      <c r="AG184" s="2487">
        <f t="shared" si="53"/>
        <v>28472.18673513988</v>
      </c>
      <c r="AH184" s="2487">
        <f t="shared" si="53"/>
        <v>3233.4334850305936</v>
      </c>
      <c r="AI184" s="2487">
        <f t="shared" si="53"/>
        <v>59670.591944930027</v>
      </c>
      <c r="AJ184" s="2487">
        <f t="shared" si="53"/>
        <v>-1967.5403600305935</v>
      </c>
      <c r="AK184" s="2487">
        <f t="shared" si="53"/>
        <v>89408.671805069913</v>
      </c>
    </row>
    <row r="185" spans="25:37">
      <c r="Y185" s="477">
        <v>178</v>
      </c>
      <c r="Z185" s="477">
        <v>203306</v>
      </c>
      <c r="AA185" s="2487">
        <f t="shared" si="51"/>
        <v>141673.76797421335</v>
      </c>
      <c r="AB185" s="2487">
        <f t="shared" si="51"/>
        <v>9212.1931736232491</v>
      </c>
      <c r="AC185" s="2487">
        <f t="shared" si="51"/>
        <v>180859.29027261797</v>
      </c>
      <c r="AD185" s="2487">
        <f t="shared" si="51"/>
        <v>-16151.082640952791</v>
      </c>
      <c r="AE185" s="2487">
        <f t="shared" si="52"/>
        <v>315594.16877950181</v>
      </c>
      <c r="AF185" s="2487"/>
      <c r="AG185" s="2487">
        <f t="shared" si="53"/>
        <v>28472.18673513988</v>
      </c>
      <c r="AH185" s="2487">
        <f t="shared" si="53"/>
        <v>3233.4334850305936</v>
      </c>
      <c r="AI185" s="2487">
        <f t="shared" si="53"/>
        <v>59670.591944930027</v>
      </c>
      <c r="AJ185" s="2487">
        <f t="shared" si="53"/>
        <v>-1967.5403600305935</v>
      </c>
      <c r="AK185" s="2487">
        <f t="shared" si="53"/>
        <v>89408.671805069913</v>
      </c>
    </row>
    <row r="186" spans="25:37">
      <c r="Y186" s="477">
        <v>179</v>
      </c>
      <c r="Z186" s="477">
        <v>203307</v>
      </c>
      <c r="AA186" s="2487">
        <f t="shared" si="51"/>
        <v>141673.76797421335</v>
      </c>
      <c r="AB186" s="2487">
        <f t="shared" si="51"/>
        <v>9212.1931736232491</v>
      </c>
      <c r="AC186" s="2487">
        <f t="shared" si="51"/>
        <v>180859.29027261797</v>
      </c>
      <c r="AD186" s="2487">
        <f t="shared" si="51"/>
        <v>-16151.082640952791</v>
      </c>
      <c r="AE186" s="2487">
        <f t="shared" si="52"/>
        <v>315594.16877950181</v>
      </c>
      <c r="AF186" s="2487"/>
      <c r="AG186" s="2487">
        <f t="shared" si="53"/>
        <v>28472.18673513988</v>
      </c>
      <c r="AH186" s="2487">
        <f t="shared" si="53"/>
        <v>3233.4334850305936</v>
      </c>
      <c r="AI186" s="2487">
        <f t="shared" si="53"/>
        <v>59670.591944930027</v>
      </c>
      <c r="AJ186" s="2487">
        <f t="shared" si="53"/>
        <v>-1967.5403600305935</v>
      </c>
      <c r="AK186" s="2487">
        <f t="shared" si="53"/>
        <v>89408.671805069913</v>
      </c>
    </row>
    <row r="187" spans="25:37">
      <c r="Y187" s="477">
        <v>180</v>
      </c>
      <c r="Z187" s="477">
        <v>203308</v>
      </c>
      <c r="AA187" s="2487">
        <f t="shared" si="51"/>
        <v>141673.76797421335</v>
      </c>
      <c r="AB187" s="2487">
        <f t="shared" si="51"/>
        <v>9212.1931736232491</v>
      </c>
      <c r="AC187" s="2487">
        <f t="shared" si="51"/>
        <v>180859.29027261797</v>
      </c>
      <c r="AD187" s="2487">
        <f t="shared" si="51"/>
        <v>-16151.082640952791</v>
      </c>
      <c r="AE187" s="2487">
        <f t="shared" si="52"/>
        <v>315594.16877950181</v>
      </c>
      <c r="AF187" s="2547"/>
      <c r="AG187" s="2487">
        <f t="shared" si="53"/>
        <v>28472.18673513988</v>
      </c>
      <c r="AH187" s="2487">
        <f t="shared" si="53"/>
        <v>3233.4334850305936</v>
      </c>
      <c r="AI187" s="2487">
        <f t="shared" si="53"/>
        <v>59670.591944930027</v>
      </c>
      <c r="AJ187" s="2487">
        <f t="shared" si="53"/>
        <v>-1967.5403600305935</v>
      </c>
      <c r="AK187" s="2487">
        <f t="shared" si="53"/>
        <v>89408.671805069913</v>
      </c>
    </row>
    <row r="188" spans="25:37" ht="13.5" thickBot="1">
      <c r="AA188" s="2548">
        <f>SUM(AA32:AA187)</f>
        <v>20369297.999999966</v>
      </c>
      <c r="AB188" s="2548">
        <f>SUM(AB32:AB187)</f>
        <v>1416996.949999999</v>
      </c>
      <c r="AC188" s="2548">
        <f>SUM(AC32:AC187)</f>
        <v>26272192.700000063</v>
      </c>
      <c r="AD188" s="2548">
        <f>SUM(AD32:AD187)</f>
        <v>-2304116.6200000066</v>
      </c>
      <c r="AE188" s="2548">
        <f>SUM(AE32:AE187)</f>
        <v>45754371.030000024</v>
      </c>
      <c r="AF188" s="2547"/>
      <c r="AG188" s="2548">
        <f>SUM(AG32:AG187)</f>
        <v>4107086.9999999921</v>
      </c>
      <c r="AH188" s="2548">
        <f>SUM(AH32:AH187)</f>
        <v>500540.57000000105</v>
      </c>
      <c r="AI188" s="2548">
        <f>SUM(AI32:AI187)</f>
        <v>8724633.7700000033</v>
      </c>
      <c r="AJ188" s="2548">
        <f>SUM(AJ32:AJ187)</f>
        <v>-267736.25000000023</v>
      </c>
      <c r="AK188" s="2548">
        <f>SUM(AK32:AK187)</f>
        <v>13064525.090000032</v>
      </c>
    </row>
  </sheetData>
  <mergeCells count="6">
    <mergeCell ref="I1:N1"/>
    <mergeCell ref="P1:U1"/>
    <mergeCell ref="AA3:AE3"/>
    <mergeCell ref="AG3:AK3"/>
    <mergeCell ref="O22:O23"/>
    <mergeCell ref="V22:V2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7B890-3496-4FAE-94D4-418C521B9ADB}">
  <dimension ref="A1:CY363"/>
  <sheetViews>
    <sheetView workbookViewId="0"/>
  </sheetViews>
  <sheetFormatPr defaultRowHeight="12.75"/>
  <cols>
    <col min="1" max="1" width="26" style="477" bestFit="1" customWidth="1"/>
    <col min="2" max="2" width="16.42578125" style="2549" customWidth="1"/>
    <col min="3" max="3" width="9.5703125" style="477" customWidth="1"/>
    <col min="4" max="4" width="16" style="477" customWidth="1"/>
    <col min="5" max="5" width="9.5703125" style="477" bestFit="1" customWidth="1"/>
    <col min="6" max="6" width="12.42578125" style="477" bestFit="1" customWidth="1"/>
    <col min="7" max="9" width="11.28515625" style="477" bestFit="1" customWidth="1"/>
    <col min="10" max="10" width="3.5703125" style="477" bestFit="1" customWidth="1"/>
    <col min="11" max="11" width="11.28515625" style="477" bestFit="1" customWidth="1"/>
    <col min="12" max="13" width="12.42578125" style="477" bestFit="1" customWidth="1"/>
    <col min="14" max="14" width="3.28515625" style="477" bestFit="1" customWidth="1"/>
    <col min="15" max="15" width="9.140625" style="477" bestFit="1" customWidth="1"/>
    <col min="16" max="16" width="12.42578125" style="477" bestFit="1" customWidth="1"/>
    <col min="17" max="17" width="11.28515625" style="477" bestFit="1" customWidth="1"/>
    <col min="18" max="18" width="12.42578125" style="477" bestFit="1" customWidth="1"/>
    <col min="19" max="19" width="11.85546875" style="477" customWidth="1"/>
    <col min="20" max="20" width="12.42578125" style="477" bestFit="1" customWidth="1"/>
    <col min="21" max="21" width="4" style="477" customWidth="1"/>
    <col min="22" max="22" width="6.85546875" style="477" customWidth="1"/>
    <col min="23" max="23" width="10" style="477" customWidth="1"/>
    <col min="24" max="24" width="3" style="477" customWidth="1"/>
    <col min="25" max="29" width="13" style="477" customWidth="1"/>
    <col min="30" max="30" width="3.85546875" style="477" customWidth="1"/>
    <col min="31" max="31" width="12.5703125" style="477" customWidth="1"/>
    <col min="32" max="32" width="12.28515625" style="477" customWidth="1"/>
    <col min="33" max="33" width="13.42578125" style="477" customWidth="1"/>
    <col min="34" max="34" width="13.28515625" style="477" bestFit="1" customWidth="1"/>
    <col min="35" max="35" width="11.5703125" style="477" bestFit="1" customWidth="1"/>
    <col min="36" max="36" width="6.28515625" style="477" bestFit="1" customWidth="1"/>
    <col min="37" max="38" width="14" style="477" bestFit="1" customWidth="1"/>
    <col min="39" max="39" width="14" style="477" customWidth="1"/>
    <col min="40" max="40" width="14" style="477" bestFit="1" customWidth="1"/>
    <col min="41" max="41" width="8.85546875" style="477"/>
    <col min="42" max="42" width="1.7109375" style="1008" customWidth="1"/>
    <col min="44" max="44" width="12.42578125" style="2582" customWidth="1"/>
    <col min="45" max="46" width="16.28515625" style="2582" customWidth="1"/>
    <col min="47" max="47" width="17.5703125" style="2582" customWidth="1"/>
    <col min="48" max="48" width="33.85546875" style="2582" customWidth="1"/>
    <col min="50" max="50" width="1.5703125" style="1008" customWidth="1"/>
    <col min="52" max="52" width="22.85546875" style="477" bestFit="1" customWidth="1"/>
    <col min="53" max="53" width="16.42578125" style="2549" bestFit="1" customWidth="1"/>
    <col min="54" max="56" width="13.140625" style="477" bestFit="1" customWidth="1"/>
    <col min="57" max="58" width="13.42578125" style="477" customWidth="1"/>
    <col min="59" max="59" width="9" style="477"/>
    <col min="60" max="60" width="25.140625" style="477" bestFit="1" customWidth="1"/>
    <col min="61" max="61" width="16.42578125" style="477" bestFit="1" customWidth="1"/>
    <col min="62" max="62" width="12" style="477" bestFit="1" customWidth="1"/>
    <col min="63" max="63" width="11.85546875" style="477" bestFit="1" customWidth="1"/>
    <col min="64" max="64" width="13.140625" style="477" bestFit="1" customWidth="1"/>
    <col min="65" max="67" width="8.85546875" style="477"/>
    <col min="68" max="68" width="1.5703125" style="1008" customWidth="1"/>
    <col min="70" max="70" width="22.85546875" style="477" bestFit="1" customWidth="1"/>
    <col min="71" max="71" width="23.7109375" style="2608" bestFit="1" customWidth="1"/>
    <col min="72" max="73" width="8.42578125" style="477" bestFit="1" customWidth="1"/>
    <col min="74" max="74" width="11.28515625" style="477" bestFit="1" customWidth="1"/>
    <col min="75" max="76" width="9.5703125" style="477" bestFit="1" customWidth="1"/>
    <col min="77" max="77" width="11.5703125" style="477" bestFit="1" customWidth="1"/>
    <col min="78" max="78" width="9.5703125" style="954" bestFit="1" customWidth="1"/>
    <col min="79" max="79" width="11.5703125" style="477" bestFit="1" customWidth="1"/>
    <col min="80" max="80" width="11.42578125" style="477" bestFit="1" customWidth="1"/>
    <col min="81" max="81" width="10.140625" style="477" bestFit="1" customWidth="1"/>
    <col min="82" max="82" width="12.140625" style="477" bestFit="1" customWidth="1"/>
    <col min="83" max="83" width="8.85546875" style="477"/>
    <col min="84" max="84" width="17.5703125" style="477" bestFit="1" customWidth="1"/>
    <col min="85" max="85" width="8.85546875" style="477"/>
    <col min="86" max="86" width="1.5703125" style="1008" customWidth="1"/>
    <col min="88" max="88" width="23" style="477" bestFit="1" customWidth="1"/>
    <col min="89" max="89" width="23.7109375" style="477" bestFit="1" customWidth="1"/>
    <col min="90" max="90" width="26.42578125" style="477" bestFit="1" customWidth="1"/>
    <col min="91" max="91" width="11.140625" style="477" customWidth="1"/>
    <col min="92" max="92" width="8.85546875" style="477"/>
    <col min="93" max="93" width="10.5703125" style="477" bestFit="1" customWidth="1"/>
    <col min="94" max="94" width="9.5703125" style="477" bestFit="1" customWidth="1"/>
    <col min="95" max="98" width="8.85546875" style="477"/>
    <col min="99" max="99" width="13.85546875" style="477" bestFit="1" customWidth="1"/>
    <col min="100" max="103" width="8.85546875" style="477"/>
  </cols>
  <sheetData>
    <row r="1" spans="1:102">
      <c r="A1" s="1569" t="s">
        <v>679</v>
      </c>
      <c r="B1" s="1569" t="s">
        <v>1701</v>
      </c>
      <c r="D1" s="1414" t="s">
        <v>2290</v>
      </c>
      <c r="AR1" s="2584" t="s">
        <v>111</v>
      </c>
      <c r="AZ1" s="1414" t="s">
        <v>2330</v>
      </c>
      <c r="BR1" s="1414" t="s">
        <v>2344</v>
      </c>
    </row>
    <row r="2" spans="1:102">
      <c r="A2" s="1569" t="s">
        <v>1758</v>
      </c>
      <c r="B2" s="1569" t="s">
        <v>1745</v>
      </c>
      <c r="D2" s="1414" t="s">
        <v>2289</v>
      </c>
      <c r="AR2" s="2582" t="s">
        <v>2329</v>
      </c>
      <c r="AZ2" s="1414" t="s">
        <v>2331</v>
      </c>
      <c r="BR2" s="1414" t="s">
        <v>2343</v>
      </c>
      <c r="CJ2" s="1569" t="s">
        <v>1758</v>
      </c>
      <c r="CK2" s="1569" t="s">
        <v>1745</v>
      </c>
      <c r="CT2" s="477" t="s">
        <v>696</v>
      </c>
      <c r="CW2" s="477" t="s">
        <v>699</v>
      </c>
    </row>
    <row r="3" spans="1:102">
      <c r="A3" s="1570" t="s">
        <v>1065</v>
      </c>
      <c r="B3" s="1570" t="s">
        <v>2276</v>
      </c>
      <c r="AR3" s="2602"/>
      <c r="CJ3" s="1570" t="s">
        <v>2350</v>
      </c>
      <c r="CK3" s="1570" t="s">
        <v>2349</v>
      </c>
      <c r="CT3" s="477">
        <v>0.64400000000000002</v>
      </c>
      <c r="CU3" s="477" t="s">
        <v>2348</v>
      </c>
      <c r="CW3" s="477">
        <v>0.65400999999999998</v>
      </c>
      <c r="CX3" s="477" t="s">
        <v>2256</v>
      </c>
    </row>
    <row r="4" spans="1:102">
      <c r="B4" s="477"/>
      <c r="AR4" s="2602" t="s">
        <v>2328</v>
      </c>
      <c r="BS4" s="477"/>
      <c r="CT4" s="477">
        <v>0.65115999999999996</v>
      </c>
      <c r="CU4" s="477" t="s">
        <v>2347</v>
      </c>
      <c r="CW4" s="477">
        <v>0.71040000000000003</v>
      </c>
      <c r="CX4" s="477" t="s">
        <v>2251</v>
      </c>
    </row>
    <row r="5" spans="1:102">
      <c r="A5" s="1418" t="s">
        <v>2274</v>
      </c>
      <c r="B5" s="1418" t="s">
        <v>1252</v>
      </c>
      <c r="C5" s="1418"/>
      <c r="D5" s="1418"/>
      <c r="E5" s="1418"/>
      <c r="F5" s="1418"/>
      <c r="G5" s="1418"/>
      <c r="H5" s="1418"/>
      <c r="I5" s="1418"/>
      <c r="J5" s="1418"/>
      <c r="K5" s="1418"/>
      <c r="L5" s="1418"/>
      <c r="M5" s="1418"/>
      <c r="Q5" s="2549"/>
      <c r="AR5" s="2602" t="s">
        <v>2327</v>
      </c>
      <c r="AZ5" s="1569" t="s">
        <v>679</v>
      </c>
      <c r="BA5" s="1569" t="s">
        <v>1701</v>
      </c>
      <c r="BH5" s="1569" t="s">
        <v>679</v>
      </c>
      <c r="BI5" s="1569" t="s">
        <v>1701</v>
      </c>
      <c r="BR5" s="1569" t="s">
        <v>679</v>
      </c>
      <c r="BS5" s="1569" t="s">
        <v>1701</v>
      </c>
      <c r="CJ5" s="1421" t="s">
        <v>1170</v>
      </c>
      <c r="CK5" s="1421" t="s">
        <v>2332</v>
      </c>
      <c r="CL5" s="1421" t="s">
        <v>2274</v>
      </c>
      <c r="CM5" s="477" t="s">
        <v>696</v>
      </c>
      <c r="CN5" s="477" t="s">
        <v>699</v>
      </c>
      <c r="CO5" s="477" t="s">
        <v>696</v>
      </c>
      <c r="CP5" s="477" t="s">
        <v>699</v>
      </c>
      <c r="CT5" s="477">
        <v>0.64117999999999997</v>
      </c>
      <c r="CU5" s="477" t="s">
        <v>2346</v>
      </c>
      <c r="CW5" s="477">
        <v>0.71745999999999999</v>
      </c>
      <c r="CX5" s="477" t="s">
        <v>2244</v>
      </c>
    </row>
    <row r="6" spans="1:102">
      <c r="A6" s="1418"/>
      <c r="B6" s="1418" t="s">
        <v>682</v>
      </c>
      <c r="C6" s="1418"/>
      <c r="D6" s="1418"/>
      <c r="E6" s="1418"/>
      <c r="F6" s="2616" t="s">
        <v>2268</v>
      </c>
      <c r="G6" s="1418" t="s">
        <v>680</v>
      </c>
      <c r="H6" s="1418"/>
      <c r="I6" s="1418"/>
      <c r="J6" s="1418"/>
      <c r="K6" s="1418"/>
      <c r="L6" s="2616" t="s">
        <v>2267</v>
      </c>
      <c r="M6" s="1418" t="s">
        <v>978</v>
      </c>
      <c r="AR6" s="2602" t="s">
        <v>2326</v>
      </c>
      <c r="AZ6" s="1569" t="s">
        <v>1758</v>
      </c>
      <c r="BA6" s="1569" t="s">
        <v>1745</v>
      </c>
      <c r="BH6" s="1569" t="s">
        <v>1758</v>
      </c>
      <c r="BI6" s="1569" t="s">
        <v>1745</v>
      </c>
      <c r="BR6" s="1569" t="s">
        <v>1758</v>
      </c>
      <c r="BS6" s="1569" t="s">
        <v>1745</v>
      </c>
      <c r="CJ6" s="182">
        <v>500000</v>
      </c>
      <c r="CK6" s="888">
        <v>4000</v>
      </c>
      <c r="CL6" s="888"/>
      <c r="CM6" s="477">
        <f t="shared" ref="CM6:CM16" si="0">$CT$3</f>
        <v>0.64400000000000002</v>
      </c>
      <c r="CO6" s="2615">
        <f t="shared" ref="CO6:CO30" si="1">+CK6*CM6</f>
        <v>2576</v>
      </c>
      <c r="CP6" s="2615">
        <f t="shared" ref="CP6:CP30" si="2">+CL6*CN6</f>
        <v>0</v>
      </c>
      <c r="CT6" s="477">
        <v>0.66942999999999997</v>
      </c>
      <c r="CU6" s="477" t="s">
        <v>2345</v>
      </c>
      <c r="CW6" s="477">
        <v>0.67015999999999998</v>
      </c>
      <c r="CX6" s="477" t="s">
        <v>2252</v>
      </c>
    </row>
    <row r="7" spans="1:102">
      <c r="A7" s="1421" t="s">
        <v>1170</v>
      </c>
      <c r="B7" s="1421" t="s">
        <v>678</v>
      </c>
      <c r="C7" s="1421" t="s">
        <v>677</v>
      </c>
      <c r="D7" s="1421" t="s">
        <v>683</v>
      </c>
      <c r="E7" s="1421" t="s">
        <v>763</v>
      </c>
      <c r="F7" s="2617"/>
      <c r="G7" s="1421" t="s">
        <v>678</v>
      </c>
      <c r="H7" s="1421" t="s">
        <v>677</v>
      </c>
      <c r="I7" s="1421" t="s">
        <v>683</v>
      </c>
      <c r="J7" s="1421" t="s">
        <v>676</v>
      </c>
      <c r="K7" s="1421" t="s">
        <v>763</v>
      </c>
      <c r="L7" s="2617"/>
      <c r="M7" s="1421"/>
      <c r="AZ7" s="1569" t="s">
        <v>2277</v>
      </c>
      <c r="BA7" s="1569" t="s">
        <v>2276</v>
      </c>
      <c r="BH7" s="1569" t="s">
        <v>2277</v>
      </c>
      <c r="BI7" s="1569" t="s">
        <v>2276</v>
      </c>
      <c r="BR7" s="1569" t="s">
        <v>2277</v>
      </c>
      <c r="BS7" s="1569" t="s">
        <v>2282</v>
      </c>
      <c r="CJ7" s="182">
        <v>506000</v>
      </c>
      <c r="CK7" s="888">
        <v>1000</v>
      </c>
      <c r="CL7" s="888"/>
      <c r="CM7" s="477">
        <f t="shared" si="0"/>
        <v>0.64400000000000002</v>
      </c>
      <c r="CO7" s="2615">
        <f t="shared" si="1"/>
        <v>644</v>
      </c>
      <c r="CP7" s="2615">
        <f t="shared" si="2"/>
        <v>0</v>
      </c>
      <c r="CW7" s="477">
        <v>0.6845</v>
      </c>
      <c r="CX7" s="477" t="s">
        <v>2250</v>
      </c>
    </row>
    <row r="8" spans="1:102">
      <c r="A8" s="182" t="s">
        <v>2288</v>
      </c>
      <c r="B8" s="1210">
        <v>11564.9</v>
      </c>
      <c r="C8" s="1210">
        <v>0</v>
      </c>
      <c r="D8" s="1210"/>
      <c r="E8" s="1210"/>
      <c r="F8" s="2618">
        <v>11564.9</v>
      </c>
      <c r="G8" s="1210"/>
      <c r="H8" s="1210">
        <v>2558.16</v>
      </c>
      <c r="I8" s="1210">
        <v>433.55</v>
      </c>
      <c r="J8" s="1210"/>
      <c r="K8" s="1210">
        <v>4975.13</v>
      </c>
      <c r="L8" s="2618">
        <v>7966.84</v>
      </c>
      <c r="M8" s="1210">
        <v>19531.739999999998</v>
      </c>
      <c r="AZ8" s="1569" t="s">
        <v>1058</v>
      </c>
      <c r="BA8" s="1569" t="s">
        <v>2276</v>
      </c>
      <c r="BH8" s="1569" t="s">
        <v>1058</v>
      </c>
      <c r="BI8" s="1569" t="s">
        <v>2276</v>
      </c>
      <c r="BR8" s="1570" t="s">
        <v>2340</v>
      </c>
      <c r="BS8" s="1570" t="s">
        <v>1759</v>
      </c>
      <c r="CJ8" s="182">
        <v>535000</v>
      </c>
      <c r="CK8" s="888">
        <v>8700</v>
      </c>
      <c r="CL8" s="888"/>
      <c r="CM8" s="477">
        <f t="shared" si="0"/>
        <v>0.64400000000000002</v>
      </c>
      <c r="CO8" s="2615">
        <f t="shared" si="1"/>
        <v>5602.8</v>
      </c>
      <c r="CP8" s="2615">
        <f t="shared" si="2"/>
        <v>0</v>
      </c>
    </row>
    <row r="9" spans="1:102">
      <c r="A9" s="182" t="s">
        <v>2287</v>
      </c>
      <c r="B9" s="1210">
        <v>4741.97</v>
      </c>
      <c r="C9" s="1210"/>
      <c r="D9" s="1210"/>
      <c r="E9" s="1210"/>
      <c r="F9" s="2618">
        <v>4741.97</v>
      </c>
      <c r="G9" s="1210">
        <v>286.53999999999996</v>
      </c>
      <c r="H9" s="1210"/>
      <c r="I9" s="1210"/>
      <c r="J9" s="1210"/>
      <c r="K9" s="1210"/>
      <c r="L9" s="2618">
        <v>286.53999999999996</v>
      </c>
      <c r="M9" s="1210">
        <v>5028.51</v>
      </c>
      <c r="AR9" s="2602"/>
      <c r="AZ9" s="1570" t="s">
        <v>1057</v>
      </c>
      <c r="BA9" s="1570" t="s">
        <v>2276</v>
      </c>
      <c r="BH9" s="1570" t="s">
        <v>1057</v>
      </c>
      <c r="BI9" s="1570" t="s">
        <v>2276</v>
      </c>
      <c r="BS9" s="477"/>
      <c r="CJ9" s="182">
        <v>537000</v>
      </c>
      <c r="CK9" s="888">
        <v>500</v>
      </c>
      <c r="CL9" s="888"/>
      <c r="CM9" s="477">
        <f t="shared" si="0"/>
        <v>0.64400000000000002</v>
      </c>
      <c r="CO9" s="2615">
        <f t="shared" si="1"/>
        <v>322</v>
      </c>
      <c r="CP9" s="2615">
        <f t="shared" si="2"/>
        <v>0</v>
      </c>
    </row>
    <row r="10" spans="1:102">
      <c r="A10" s="182" t="s">
        <v>2286</v>
      </c>
      <c r="B10" s="1210">
        <v>84664.810000000114</v>
      </c>
      <c r="C10" s="1210">
        <v>163.07999999999998</v>
      </c>
      <c r="D10" s="1210"/>
      <c r="E10" s="1210">
        <v>726.8599999999999</v>
      </c>
      <c r="F10" s="2618">
        <v>85554.750000000116</v>
      </c>
      <c r="G10" s="1210">
        <v>7898.2899999999981</v>
      </c>
      <c r="H10" s="1210"/>
      <c r="I10" s="1210">
        <v>16407.8</v>
      </c>
      <c r="J10" s="1210"/>
      <c r="K10" s="1210">
        <v>9559.5000000000036</v>
      </c>
      <c r="L10" s="2618">
        <v>33865.589999999997</v>
      </c>
      <c r="M10" s="1210">
        <v>119420.34000000011</v>
      </c>
      <c r="AS10" s="2592"/>
      <c r="AT10" s="2592"/>
      <c r="AU10" s="2592"/>
      <c r="AV10" s="2592"/>
      <c r="BA10" s="477"/>
      <c r="BR10" s="1418" t="s">
        <v>2332</v>
      </c>
      <c r="BS10" s="1418" t="s">
        <v>1252</v>
      </c>
      <c r="BT10" s="1418"/>
      <c r="BU10" s="1418"/>
      <c r="BV10" s="1418"/>
      <c r="BW10" s="1418"/>
      <c r="BX10" s="1418"/>
      <c r="BY10" s="1418"/>
      <c r="BZ10" s="1418"/>
      <c r="CA10" s="1418"/>
      <c r="CJ10" s="182">
        <v>538000</v>
      </c>
      <c r="CK10" s="888">
        <v>1000</v>
      </c>
      <c r="CL10" s="888"/>
      <c r="CM10" s="477">
        <f t="shared" si="0"/>
        <v>0.64400000000000002</v>
      </c>
      <c r="CO10" s="2615">
        <f t="shared" si="1"/>
        <v>644</v>
      </c>
      <c r="CP10" s="2615">
        <f t="shared" si="2"/>
        <v>0</v>
      </c>
    </row>
    <row r="11" spans="1:102">
      <c r="A11" s="182" t="s">
        <v>2285</v>
      </c>
      <c r="B11" s="1210">
        <v>71745.839999999982</v>
      </c>
      <c r="C11" s="1210">
        <v>11126.350000000002</v>
      </c>
      <c r="D11" s="1210">
        <v>57609.840000000026</v>
      </c>
      <c r="E11" s="1210">
        <v>13587.680000000002</v>
      </c>
      <c r="F11" s="2618">
        <v>154069.71000000002</v>
      </c>
      <c r="G11" s="1210">
        <v>106359.04999999996</v>
      </c>
      <c r="H11" s="1210">
        <v>105566.14</v>
      </c>
      <c r="I11" s="1210">
        <v>514462.3800000007</v>
      </c>
      <c r="J11" s="1210"/>
      <c r="K11" s="1210">
        <v>1257872.7700000068</v>
      </c>
      <c r="L11" s="2618">
        <v>1984260.3400000073</v>
      </c>
      <c r="M11" s="1210">
        <v>2138330.0500000073</v>
      </c>
      <c r="AR11" s="2594" t="s">
        <v>2325</v>
      </c>
      <c r="AS11" s="2592"/>
      <c r="AT11" s="2592"/>
      <c r="AU11" s="2601"/>
      <c r="AZ11" s="1418" t="s">
        <v>2332</v>
      </c>
      <c r="BA11" s="1418" t="s">
        <v>1252</v>
      </c>
      <c r="BB11" s="1418"/>
      <c r="BC11" s="1418"/>
      <c r="BD11" s="1418"/>
      <c r="BH11" s="1418" t="s">
        <v>2274</v>
      </c>
      <c r="BI11" s="1418" t="s">
        <v>1252</v>
      </c>
      <c r="BJ11" s="1418"/>
      <c r="BK11" s="1418"/>
      <c r="BL11" s="1418"/>
      <c r="BR11" s="1418"/>
      <c r="BS11" s="1418" t="s">
        <v>682</v>
      </c>
      <c r="BT11" s="1418"/>
      <c r="BU11" s="1418"/>
      <c r="BV11" s="2616" t="s">
        <v>2268</v>
      </c>
      <c r="BW11" s="1418" t="s">
        <v>681</v>
      </c>
      <c r="BX11" s="1418"/>
      <c r="BY11" s="1418"/>
      <c r="BZ11" s="2616" t="s">
        <v>2342</v>
      </c>
      <c r="CA11" s="1418" t="s">
        <v>978</v>
      </c>
      <c r="CB11" s="477" t="s">
        <v>2341</v>
      </c>
      <c r="CD11" s="477" t="s">
        <v>2339</v>
      </c>
      <c r="CE11" s="477" t="s">
        <v>2266</v>
      </c>
      <c r="CF11" s="477" t="s">
        <v>537</v>
      </c>
      <c r="CJ11" s="182">
        <v>539000</v>
      </c>
      <c r="CK11" s="888">
        <v>4000</v>
      </c>
      <c r="CL11" s="888"/>
      <c r="CM11" s="477">
        <f t="shared" si="0"/>
        <v>0.64400000000000002</v>
      </c>
      <c r="CO11" s="2615">
        <f t="shared" si="1"/>
        <v>2576</v>
      </c>
      <c r="CP11" s="2615">
        <f t="shared" si="2"/>
        <v>0</v>
      </c>
    </row>
    <row r="12" spans="1:102">
      <c r="A12" s="182" t="s">
        <v>2284</v>
      </c>
      <c r="B12" s="1210">
        <v>3013.2699999999995</v>
      </c>
      <c r="C12" s="1210"/>
      <c r="D12" s="1210"/>
      <c r="E12" s="1210"/>
      <c r="F12" s="2618">
        <v>3013.2699999999995</v>
      </c>
      <c r="G12" s="1210"/>
      <c r="H12" s="1210"/>
      <c r="I12" s="1210"/>
      <c r="J12" s="1210"/>
      <c r="K12" s="1210"/>
      <c r="L12" s="2618"/>
      <c r="M12" s="1210">
        <v>3013.2699999999995</v>
      </c>
      <c r="AR12" s="2594"/>
      <c r="AS12" s="2592"/>
      <c r="AT12" s="2592"/>
      <c r="AU12" s="2601"/>
      <c r="AZ12" s="1421" t="s">
        <v>1170</v>
      </c>
      <c r="BA12" s="1421" t="s">
        <v>2333</v>
      </c>
      <c r="BB12" s="1421" t="s">
        <v>2334</v>
      </c>
      <c r="BC12" s="1421" t="s">
        <v>2262</v>
      </c>
      <c r="BD12" s="1421" t="s">
        <v>978</v>
      </c>
      <c r="BE12" s="477" t="s">
        <v>2262</v>
      </c>
      <c r="BF12" s="477" t="s">
        <v>2261</v>
      </c>
      <c r="BH12" s="1421" t="s">
        <v>1170</v>
      </c>
      <c r="BI12" s="1421" t="s">
        <v>2333</v>
      </c>
      <c r="BJ12" s="1421" t="s">
        <v>2334</v>
      </c>
      <c r="BK12" s="1421" t="s">
        <v>2262</v>
      </c>
      <c r="BL12" s="1421" t="s">
        <v>978</v>
      </c>
      <c r="BM12" s="477" t="s">
        <v>2262</v>
      </c>
      <c r="BN12" s="477" t="s">
        <v>2261</v>
      </c>
      <c r="BR12" s="1421" t="s">
        <v>1170</v>
      </c>
      <c r="BS12" s="1421" t="s">
        <v>678</v>
      </c>
      <c r="BT12" s="1421" t="s">
        <v>683</v>
      </c>
      <c r="BU12" s="1421" t="s">
        <v>763</v>
      </c>
      <c r="BV12" s="2617"/>
      <c r="BW12" s="1421" t="s">
        <v>677</v>
      </c>
      <c r="BX12" s="1421" t="s">
        <v>683</v>
      </c>
      <c r="BY12" s="1421" t="s">
        <v>763</v>
      </c>
      <c r="BZ12" s="2617"/>
      <c r="CA12" s="1421"/>
      <c r="CJ12" s="182">
        <v>546000</v>
      </c>
      <c r="CK12" s="888">
        <v>750</v>
      </c>
      <c r="CL12" s="888"/>
      <c r="CM12" s="477">
        <f t="shared" si="0"/>
        <v>0.64400000000000002</v>
      </c>
      <c r="CO12" s="2615">
        <f t="shared" si="1"/>
        <v>483</v>
      </c>
      <c r="CP12" s="2615">
        <f t="shared" si="2"/>
        <v>0</v>
      </c>
    </row>
    <row r="13" spans="1:102">
      <c r="A13" s="182" t="s">
        <v>2283</v>
      </c>
      <c r="B13" s="1210">
        <v>21109.56</v>
      </c>
      <c r="C13" s="1210"/>
      <c r="D13" s="1210"/>
      <c r="E13" s="1210"/>
      <c r="F13" s="2618">
        <v>21109.56</v>
      </c>
      <c r="G13" s="1210"/>
      <c r="H13" s="1210"/>
      <c r="I13" s="1210"/>
      <c r="J13" s="1210"/>
      <c r="K13" s="1210"/>
      <c r="L13" s="2618"/>
      <c r="M13" s="1210">
        <v>21109.56</v>
      </c>
      <c r="AR13" s="2594" t="s">
        <v>2324</v>
      </c>
      <c r="AS13" s="2592"/>
      <c r="AT13" s="2592"/>
      <c r="AU13" s="2592"/>
      <c r="AV13" s="2592"/>
      <c r="AZ13" s="182">
        <v>903000</v>
      </c>
      <c r="BA13" s="888">
        <v>531852.82000000018</v>
      </c>
      <c r="BB13" s="888">
        <v>2967768.66</v>
      </c>
      <c r="BC13" s="888">
        <v>476786.54000000015</v>
      </c>
      <c r="BD13" s="888">
        <v>3976408.0200000005</v>
      </c>
      <c r="BE13" s="2603">
        <f t="shared" ref="BE13:BE44" si="3">BC13/BD13</f>
        <v>0.11990382717314811</v>
      </c>
      <c r="BF13" s="1144">
        <f t="shared" ref="BF13:BF44" si="4">1-BE13</f>
        <v>0.88009617282685193</v>
      </c>
      <c r="BH13" s="182">
        <v>903000</v>
      </c>
      <c r="BI13" s="888">
        <v>349534.29999999993</v>
      </c>
      <c r="BJ13" s="888">
        <v>1950488.3399999936</v>
      </c>
      <c r="BK13" s="888">
        <v>274899.06000000041</v>
      </c>
      <c r="BL13" s="888">
        <v>2574921.6999999941</v>
      </c>
      <c r="BM13" s="2603">
        <f t="shared" ref="BM13:BM46" si="5">BK13/BL13</f>
        <v>0.10676016284301035</v>
      </c>
      <c r="BN13" s="1144">
        <f t="shared" ref="BN13:BN46" si="6">1-BM13</f>
        <v>0.89323983715698962</v>
      </c>
      <c r="BR13" s="182">
        <v>535000</v>
      </c>
      <c r="BS13" s="1210"/>
      <c r="BT13" s="1210"/>
      <c r="BU13" s="1210"/>
      <c r="BV13" s="2618"/>
      <c r="BW13" s="1210">
        <v>2658.65</v>
      </c>
      <c r="BX13" s="1210"/>
      <c r="BY13" s="1210"/>
      <c r="BZ13" s="2618">
        <v>2658.65</v>
      </c>
      <c r="CA13" s="1210">
        <v>2658.65</v>
      </c>
      <c r="CB13" s="2576">
        <v>1</v>
      </c>
      <c r="CC13" s="2612">
        <v>0.64400000000000002</v>
      </c>
      <c r="CD13" s="1210">
        <f t="shared" ref="CD13:CD21" si="7">(CC13*BS13)+(CC13*BW13)</f>
        <v>1712.1706000000001</v>
      </c>
      <c r="CE13" s="1210">
        <f t="shared" ref="CE13:CE21" si="8">BU13+BY13</f>
        <v>0</v>
      </c>
      <c r="CF13" s="1210">
        <f t="shared" ref="CF13:CF21" si="9">SUM(CD13:CE13)</f>
        <v>1712.1706000000001</v>
      </c>
      <c r="CJ13" s="182">
        <v>549000</v>
      </c>
      <c r="CK13" s="888">
        <v>750</v>
      </c>
      <c r="CL13" s="888"/>
      <c r="CM13" s="477">
        <f t="shared" si="0"/>
        <v>0.64400000000000002</v>
      </c>
      <c r="CO13" s="2615">
        <f t="shared" si="1"/>
        <v>483</v>
      </c>
      <c r="CP13" s="2615">
        <f t="shared" si="2"/>
        <v>0</v>
      </c>
    </row>
    <row r="14" spans="1:102">
      <c r="A14" s="182" t="s">
        <v>2282</v>
      </c>
      <c r="B14" s="1210">
        <v>8831485.8700000774</v>
      </c>
      <c r="C14" s="1210">
        <v>231721.54000000012</v>
      </c>
      <c r="D14" s="1210">
        <v>180913.12999999995</v>
      </c>
      <c r="E14" s="1210">
        <v>236778.05999999985</v>
      </c>
      <c r="F14" s="2618">
        <v>9480898.6000000797</v>
      </c>
      <c r="G14" s="1210">
        <v>2217956.260000003</v>
      </c>
      <c r="H14" s="1210">
        <v>198202.85</v>
      </c>
      <c r="I14" s="1210">
        <v>221284.99999999988</v>
      </c>
      <c r="J14" s="1210"/>
      <c r="K14" s="1210">
        <v>857939.02000000153</v>
      </c>
      <c r="L14" s="2618">
        <v>3495383.1300000045</v>
      </c>
      <c r="M14" s="1210">
        <v>12976281.730000084</v>
      </c>
      <c r="AR14" s="2582" t="s">
        <v>2323</v>
      </c>
      <c r="AS14" s="2592"/>
      <c r="AT14" s="2592"/>
      <c r="AU14" s="2591">
        <v>3.5000000000000003E-2</v>
      </c>
      <c r="AV14" s="2592"/>
      <c r="AZ14" s="182">
        <v>587000</v>
      </c>
      <c r="BA14" s="888">
        <v>66848.670000000013</v>
      </c>
      <c r="BB14" s="888">
        <v>79409.84</v>
      </c>
      <c r="BC14" s="888">
        <v>470194.3300000013</v>
      </c>
      <c r="BD14" s="888">
        <v>616452.84000000125</v>
      </c>
      <c r="BE14" s="2603">
        <f t="shared" si="3"/>
        <v>0.7627417695082731</v>
      </c>
      <c r="BF14" s="1144">
        <f t="shared" si="4"/>
        <v>0.2372582304917269</v>
      </c>
      <c r="BH14" s="182">
        <v>880000</v>
      </c>
      <c r="BI14" s="888">
        <v>187518.41000000009</v>
      </c>
      <c r="BJ14" s="888">
        <v>226750.12999999995</v>
      </c>
      <c r="BK14" s="888">
        <v>1155585.8700000043</v>
      </c>
      <c r="BL14" s="888">
        <v>1569854.4100000043</v>
      </c>
      <c r="BM14" s="2603">
        <f t="shared" si="5"/>
        <v>0.73611021674296606</v>
      </c>
      <c r="BN14" s="1144">
        <f t="shared" si="6"/>
        <v>0.26388978325703394</v>
      </c>
      <c r="BR14" s="182">
        <v>557000</v>
      </c>
      <c r="BS14" s="1210"/>
      <c r="BT14" s="1210"/>
      <c r="BU14" s="1210"/>
      <c r="BV14" s="2618"/>
      <c r="BW14" s="1210">
        <v>275587.59000000003</v>
      </c>
      <c r="BX14" s="1210"/>
      <c r="BY14" s="1210"/>
      <c r="BZ14" s="2618">
        <v>275587.59000000003</v>
      </c>
      <c r="CA14" s="1210">
        <v>275587.59000000003</v>
      </c>
      <c r="CB14" s="2576">
        <v>1</v>
      </c>
      <c r="CC14" s="2612">
        <v>0.64400000000000002</v>
      </c>
      <c r="CD14" s="1210">
        <f t="shared" si="7"/>
        <v>177478.40796000001</v>
      </c>
      <c r="CE14" s="1210">
        <f t="shared" si="8"/>
        <v>0</v>
      </c>
      <c r="CF14" s="1210">
        <f t="shared" si="9"/>
        <v>177478.40796000001</v>
      </c>
      <c r="CJ14" s="182">
        <v>551000</v>
      </c>
      <c r="CK14" s="888">
        <v>1500</v>
      </c>
      <c r="CL14" s="888"/>
      <c r="CM14" s="477">
        <f t="shared" si="0"/>
        <v>0.64400000000000002</v>
      </c>
      <c r="CO14" s="2615">
        <f t="shared" si="1"/>
        <v>966</v>
      </c>
      <c r="CP14" s="2615">
        <f t="shared" si="2"/>
        <v>0</v>
      </c>
    </row>
    <row r="15" spans="1:102">
      <c r="A15" s="182" t="s">
        <v>2281</v>
      </c>
      <c r="B15" s="1210">
        <v>468163.04999999778</v>
      </c>
      <c r="C15" s="1210">
        <v>9714.0600000000013</v>
      </c>
      <c r="D15" s="1210">
        <v>126132.03999999985</v>
      </c>
      <c r="E15" s="1210">
        <v>206603.76000000013</v>
      </c>
      <c r="F15" s="2618">
        <v>810612.9099999977</v>
      </c>
      <c r="G15" s="1210">
        <v>800750.8400000009</v>
      </c>
      <c r="H15" s="1210">
        <v>676175.01999999979</v>
      </c>
      <c r="I15" s="1210">
        <v>963011.57000000181</v>
      </c>
      <c r="J15" s="1210"/>
      <c r="K15" s="1210">
        <v>2762022.4699999923</v>
      </c>
      <c r="L15" s="2618">
        <v>5201959.8999999948</v>
      </c>
      <c r="M15" s="1210">
        <v>6012572.8099999931</v>
      </c>
      <c r="AR15" s="2582" t="s">
        <v>2322</v>
      </c>
      <c r="AS15" s="2592"/>
      <c r="AT15" s="2592"/>
      <c r="AU15" s="2590"/>
      <c r="AZ15" s="182">
        <v>584000</v>
      </c>
      <c r="BA15" s="888">
        <v>2047.25</v>
      </c>
      <c r="BB15" s="888"/>
      <c r="BC15" s="888">
        <v>461947.87999999977</v>
      </c>
      <c r="BD15" s="888">
        <v>463995.12999999977</v>
      </c>
      <c r="BE15" s="2603">
        <f t="shared" si="3"/>
        <v>0.99558777696653844</v>
      </c>
      <c r="BF15" s="1144">
        <f t="shared" si="4"/>
        <v>4.4122230334615598E-3</v>
      </c>
      <c r="BH15" s="182">
        <v>920000</v>
      </c>
      <c r="BI15" s="888">
        <v>4314238.6099999985</v>
      </c>
      <c r="BJ15" s="888">
        <v>1339071.3799999969</v>
      </c>
      <c r="BK15" s="888">
        <v>608723.81000000041</v>
      </c>
      <c r="BL15" s="888">
        <v>6262033.7999999961</v>
      </c>
      <c r="BM15" s="2603">
        <f t="shared" si="5"/>
        <v>9.7208643300520162E-2</v>
      </c>
      <c r="BN15" s="1144">
        <f t="shared" si="6"/>
        <v>0.90279135669947985</v>
      </c>
      <c r="BR15" s="182">
        <v>560000</v>
      </c>
      <c r="BS15" s="1210"/>
      <c r="BT15" s="1210"/>
      <c r="BU15" s="1210"/>
      <c r="BV15" s="2618"/>
      <c r="BW15" s="1210">
        <v>1687.69</v>
      </c>
      <c r="BX15" s="1210"/>
      <c r="BY15" s="1210"/>
      <c r="BZ15" s="2618">
        <v>1687.69</v>
      </c>
      <c r="CA15" s="1210">
        <v>1687.69</v>
      </c>
      <c r="CB15" s="2576">
        <v>1</v>
      </c>
      <c r="CC15" s="2612">
        <v>0.64400000000000002</v>
      </c>
      <c r="CD15" s="1210">
        <f t="shared" si="7"/>
        <v>1086.8723600000001</v>
      </c>
      <c r="CE15" s="1210">
        <f t="shared" si="8"/>
        <v>0</v>
      </c>
      <c r="CF15" s="1210">
        <f t="shared" si="9"/>
        <v>1086.8723600000001</v>
      </c>
      <c r="CJ15" s="182">
        <v>557000</v>
      </c>
      <c r="CK15" s="888">
        <v>16000</v>
      </c>
      <c r="CL15" s="888"/>
      <c r="CM15" s="477">
        <f t="shared" si="0"/>
        <v>0.64400000000000002</v>
      </c>
      <c r="CO15" s="2615">
        <f t="shared" si="1"/>
        <v>10304</v>
      </c>
      <c r="CP15" s="2615">
        <f t="shared" si="2"/>
        <v>0</v>
      </c>
    </row>
    <row r="16" spans="1:102">
      <c r="A16" s="182" t="s">
        <v>2280</v>
      </c>
      <c r="B16" s="1210">
        <v>1797230.100000001</v>
      </c>
      <c r="C16" s="1210">
        <v>46632.59</v>
      </c>
      <c r="D16" s="1210">
        <v>59252.160000000033</v>
      </c>
      <c r="E16" s="1210">
        <v>85855.679999999993</v>
      </c>
      <c r="F16" s="2618">
        <v>1988970.530000001</v>
      </c>
      <c r="G16" s="1210">
        <v>583292.00000000012</v>
      </c>
      <c r="H16" s="1210">
        <v>169449.77999999991</v>
      </c>
      <c r="I16" s="1210">
        <v>227768.2999999999</v>
      </c>
      <c r="J16" s="1210"/>
      <c r="K16" s="1210">
        <v>697171.57000000018</v>
      </c>
      <c r="L16" s="2618">
        <v>1677681.6500000001</v>
      </c>
      <c r="M16" s="1210">
        <v>3666652.1800000011</v>
      </c>
      <c r="AS16" s="2592"/>
      <c r="AT16" s="2600" t="str">
        <f xml:space="preserve"> "268/365 ="</f>
        <v>268/365 =</v>
      </c>
      <c r="AU16" s="2597">
        <f>ROUND(268/365,3)</f>
        <v>0.73399999999999999</v>
      </c>
      <c r="AV16" s="2592"/>
      <c r="AZ16" s="182">
        <v>593000</v>
      </c>
      <c r="BA16" s="888">
        <v>4121</v>
      </c>
      <c r="BB16" s="888">
        <v>533.80999999999995</v>
      </c>
      <c r="BC16" s="888">
        <v>2245295.2099999962</v>
      </c>
      <c r="BD16" s="888">
        <v>2249950.0199999963</v>
      </c>
      <c r="BE16" s="2603">
        <f t="shared" si="3"/>
        <v>0.99793114959949192</v>
      </c>
      <c r="BF16" s="1144">
        <f t="shared" si="4"/>
        <v>2.0688504005080821E-3</v>
      </c>
      <c r="BH16" s="182">
        <v>874000</v>
      </c>
      <c r="BI16" s="888">
        <v>271985.87999999995</v>
      </c>
      <c r="BJ16" s="888">
        <v>359027.87</v>
      </c>
      <c r="BK16" s="888">
        <v>1031072.0600000022</v>
      </c>
      <c r="BL16" s="888">
        <v>1662085.8100000022</v>
      </c>
      <c r="BM16" s="2603">
        <f t="shared" si="5"/>
        <v>0.62034827191022157</v>
      </c>
      <c r="BN16" s="1144">
        <f t="shared" si="6"/>
        <v>0.37965172808977843</v>
      </c>
      <c r="BR16" s="182">
        <v>580000</v>
      </c>
      <c r="BS16" s="1210"/>
      <c r="BT16" s="1210"/>
      <c r="BU16" s="1210"/>
      <c r="BV16" s="2618"/>
      <c r="BW16" s="1210">
        <v>54212.670000000013</v>
      </c>
      <c r="BX16" s="1210"/>
      <c r="BY16" s="1210"/>
      <c r="BZ16" s="2618">
        <v>54212.670000000013</v>
      </c>
      <c r="CA16" s="1210">
        <v>54212.670000000013</v>
      </c>
      <c r="CB16" s="2576">
        <v>3</v>
      </c>
      <c r="CC16" s="2612">
        <v>0.64117999999999997</v>
      </c>
      <c r="CD16" s="1210">
        <f t="shared" si="7"/>
        <v>34760.079750600009</v>
      </c>
      <c r="CE16" s="1210">
        <f t="shared" si="8"/>
        <v>0</v>
      </c>
      <c r="CF16" s="1210">
        <f t="shared" si="9"/>
        <v>34760.079750600009</v>
      </c>
      <c r="CJ16" s="182">
        <v>561510</v>
      </c>
      <c r="CK16" s="888">
        <v>4250</v>
      </c>
      <c r="CL16" s="888"/>
      <c r="CM16" s="477">
        <f t="shared" si="0"/>
        <v>0.64400000000000002</v>
      </c>
      <c r="CO16" s="2615">
        <f t="shared" si="1"/>
        <v>2737</v>
      </c>
      <c r="CP16" s="2615">
        <f t="shared" si="2"/>
        <v>0</v>
      </c>
    </row>
    <row r="17" spans="1:94" ht="13.5" thickBot="1">
      <c r="A17" s="1489" t="s">
        <v>978</v>
      </c>
      <c r="B17" s="2619">
        <v>11293719.370000076</v>
      </c>
      <c r="C17" s="2619">
        <v>299357.62000000011</v>
      </c>
      <c r="D17" s="2619">
        <v>423907.16999999987</v>
      </c>
      <c r="E17" s="2619">
        <v>543552.04</v>
      </c>
      <c r="F17" s="2619">
        <v>12560536.200000079</v>
      </c>
      <c r="G17" s="2619">
        <v>3716542.9800000037</v>
      </c>
      <c r="H17" s="2619">
        <v>1151951.9499999997</v>
      </c>
      <c r="I17" s="2619">
        <v>1943368.6000000022</v>
      </c>
      <c r="J17" s="2619"/>
      <c r="K17" s="2619">
        <v>5589540.4600000009</v>
      </c>
      <c r="L17" s="2619">
        <v>12401403.990000008</v>
      </c>
      <c r="M17" s="2619">
        <v>24961940.190000087</v>
      </c>
      <c r="AR17" s="2584" t="s">
        <v>2321</v>
      </c>
      <c r="AS17" s="2592"/>
      <c r="AT17" s="2592"/>
      <c r="AU17" s="2586">
        <f>ROUND(AU14*AU16,5)</f>
        <v>2.5690000000000001E-2</v>
      </c>
      <c r="AV17" s="2592"/>
      <c r="AZ17" s="182">
        <v>588000</v>
      </c>
      <c r="BA17" s="888">
        <v>1285961.0299999998</v>
      </c>
      <c r="BB17" s="888">
        <v>507035.42000000004</v>
      </c>
      <c r="BC17" s="888">
        <v>3812221.4699999909</v>
      </c>
      <c r="BD17" s="888">
        <v>5605217.9199999906</v>
      </c>
      <c r="BE17" s="2603">
        <f t="shared" si="3"/>
        <v>0.68012011743514822</v>
      </c>
      <c r="BF17" s="1144">
        <f t="shared" si="4"/>
        <v>0.31987988256485178</v>
      </c>
      <c r="BH17" s="182">
        <v>879000</v>
      </c>
      <c r="BI17" s="888">
        <v>-688.77999999999975</v>
      </c>
      <c r="BJ17" s="888">
        <v>77081.140000000014</v>
      </c>
      <c r="BK17" s="888">
        <v>1531736.2400000016</v>
      </c>
      <c r="BL17" s="888">
        <v>1608128.6000000017</v>
      </c>
      <c r="BM17" s="2603">
        <f t="shared" si="5"/>
        <v>0.95249611256214206</v>
      </c>
      <c r="BN17" s="1144">
        <f t="shared" si="6"/>
        <v>4.7503887437857939E-2</v>
      </c>
      <c r="BR17" s="182">
        <v>920000</v>
      </c>
      <c r="BS17" s="1210">
        <v>2176014.5099999998</v>
      </c>
      <c r="BT17" s="1210"/>
      <c r="BU17" s="1210"/>
      <c r="BV17" s="2618">
        <v>2176014.5099999998</v>
      </c>
      <c r="BW17" s="1210"/>
      <c r="BX17" s="1210"/>
      <c r="BY17" s="1210"/>
      <c r="BZ17" s="2618"/>
      <c r="CA17" s="1210">
        <v>2176014.5099999998</v>
      </c>
      <c r="CB17" s="2576">
        <v>4</v>
      </c>
      <c r="CC17" s="2612">
        <v>0.66942999999999997</v>
      </c>
      <c r="CD17" s="1210">
        <f t="shared" si="7"/>
        <v>1456689.3934292998</v>
      </c>
      <c r="CE17" s="1210">
        <f t="shared" si="8"/>
        <v>0</v>
      </c>
      <c r="CF17" s="1210">
        <f t="shared" si="9"/>
        <v>1456689.3934292998</v>
      </c>
      <c r="CJ17" s="182">
        <v>580000</v>
      </c>
      <c r="CK17" s="888">
        <v>22700</v>
      </c>
      <c r="CL17" s="888"/>
      <c r="CM17" s="477">
        <f>$CT$5</f>
        <v>0.64117999999999997</v>
      </c>
      <c r="CO17" s="2615">
        <f t="shared" si="1"/>
        <v>14554.786</v>
      </c>
      <c r="CP17" s="2615">
        <f t="shared" si="2"/>
        <v>0</v>
      </c>
    </row>
    <row r="18" spans="1:94" ht="13.5" thickTop="1">
      <c r="AS18" s="2592"/>
      <c r="AT18" s="2592"/>
      <c r="AU18" s="2590"/>
      <c r="AV18" s="2592"/>
      <c r="AZ18" s="182">
        <v>920000</v>
      </c>
      <c r="BA18" s="888">
        <v>16571977.949999994</v>
      </c>
      <c r="BB18" s="888">
        <v>4921667.3199999956</v>
      </c>
      <c r="BC18" s="888">
        <v>1352512.3499999989</v>
      </c>
      <c r="BD18" s="888">
        <v>22846157.619999986</v>
      </c>
      <c r="BE18" s="2603">
        <f t="shared" si="3"/>
        <v>5.9200867493621002E-2</v>
      </c>
      <c r="BF18" s="1144">
        <f t="shared" si="4"/>
        <v>0.94079913250637903</v>
      </c>
      <c r="BH18" s="182">
        <v>892000</v>
      </c>
      <c r="BI18" s="888">
        <v>30247.089999999989</v>
      </c>
      <c r="BJ18" s="888">
        <v>4857.3499999999995</v>
      </c>
      <c r="BK18" s="888">
        <v>674340.96000000148</v>
      </c>
      <c r="BL18" s="888">
        <v>709445.40000000142</v>
      </c>
      <c r="BM18" s="2603">
        <f t="shared" si="5"/>
        <v>0.95051847541755874</v>
      </c>
      <c r="BN18" s="1144">
        <f t="shared" si="6"/>
        <v>4.9481524582441261E-2</v>
      </c>
      <c r="BR18" s="182">
        <v>921000</v>
      </c>
      <c r="BS18" s="1210">
        <v>1732.0800000000004</v>
      </c>
      <c r="BT18" s="1210"/>
      <c r="BU18" s="1210"/>
      <c r="BV18" s="2618">
        <v>1732.0800000000004</v>
      </c>
      <c r="BW18" s="1210"/>
      <c r="BX18" s="1210"/>
      <c r="BY18" s="1210"/>
      <c r="BZ18" s="2618"/>
      <c r="CA18" s="1210">
        <v>1732.0800000000004</v>
      </c>
      <c r="CB18" s="2576">
        <v>4</v>
      </c>
      <c r="CC18" s="2612">
        <v>0.66942999999999997</v>
      </c>
      <c r="CD18" s="1210">
        <f t="shared" si="7"/>
        <v>1159.5063144000003</v>
      </c>
      <c r="CE18" s="1210">
        <f t="shared" si="8"/>
        <v>0</v>
      </c>
      <c r="CF18" s="1210">
        <f t="shared" si="9"/>
        <v>1159.5063144000003</v>
      </c>
      <c r="CJ18" s="182">
        <v>586000</v>
      </c>
      <c r="CK18" s="888">
        <v>1000</v>
      </c>
      <c r="CL18" s="888"/>
      <c r="CM18" s="477">
        <f>$CT$5</f>
        <v>0.64117999999999997</v>
      </c>
      <c r="CO18" s="2615">
        <f t="shared" si="1"/>
        <v>641.17999999999995</v>
      </c>
      <c r="CP18" s="2615">
        <f t="shared" si="2"/>
        <v>0</v>
      </c>
    </row>
    <row r="19" spans="1:94">
      <c r="AR19" s="2594" t="s">
        <v>2320</v>
      </c>
      <c r="AS19" s="2593"/>
      <c r="AT19" s="2592"/>
      <c r="AU19" s="2583"/>
      <c r="AV19" s="2592"/>
      <c r="AZ19" s="182">
        <v>566000</v>
      </c>
      <c r="BA19" s="888">
        <v>255303.76999999993</v>
      </c>
      <c r="BB19" s="888">
        <v>1100544.6600000011</v>
      </c>
      <c r="BC19" s="888">
        <v>342278.25999999989</v>
      </c>
      <c r="BD19" s="888">
        <v>1698126.6900000009</v>
      </c>
      <c r="BE19" s="2603">
        <f t="shared" si="3"/>
        <v>0.20156226388503423</v>
      </c>
      <c r="BF19" s="1144">
        <f t="shared" si="4"/>
        <v>0.79843773611496571</v>
      </c>
      <c r="BH19" s="182">
        <v>893000</v>
      </c>
      <c r="BI19" s="888"/>
      <c r="BJ19" s="888"/>
      <c r="BK19" s="888">
        <v>1149558.1200000006</v>
      </c>
      <c r="BL19" s="888">
        <v>1149558.1200000006</v>
      </c>
      <c r="BM19" s="2603">
        <f t="shared" si="5"/>
        <v>1</v>
      </c>
      <c r="BN19" s="1144">
        <f t="shared" si="6"/>
        <v>0</v>
      </c>
      <c r="BR19" s="182">
        <v>926100</v>
      </c>
      <c r="BS19" s="1210">
        <v>1108.31</v>
      </c>
      <c r="BT19" s="1210"/>
      <c r="BU19" s="1210"/>
      <c r="BV19" s="2618">
        <v>1108.31</v>
      </c>
      <c r="BW19" s="1210"/>
      <c r="BX19" s="1210"/>
      <c r="BY19" s="1210"/>
      <c r="BZ19" s="2618"/>
      <c r="CA19" s="1210">
        <v>1108.31</v>
      </c>
      <c r="CB19" s="2576">
        <v>4</v>
      </c>
      <c r="CC19" s="2612">
        <v>0.66942999999999997</v>
      </c>
      <c r="CD19" s="1210">
        <f t="shared" si="7"/>
        <v>741.93596329999991</v>
      </c>
      <c r="CE19" s="1210">
        <f t="shared" si="8"/>
        <v>0</v>
      </c>
      <c r="CF19" s="1210">
        <f t="shared" si="9"/>
        <v>741.93596329999991</v>
      </c>
      <c r="CJ19" s="182">
        <v>588000</v>
      </c>
      <c r="CK19" s="888">
        <v>8200</v>
      </c>
      <c r="CL19" s="888"/>
      <c r="CM19" s="477">
        <f>$CT$5</f>
        <v>0.64117999999999997</v>
      </c>
      <c r="CO19" s="2615">
        <f t="shared" si="1"/>
        <v>5257.6759999999995</v>
      </c>
      <c r="CP19" s="2615">
        <f t="shared" si="2"/>
        <v>0</v>
      </c>
    </row>
    <row r="20" spans="1:94">
      <c r="AR20" s="2582" t="s">
        <v>2319</v>
      </c>
      <c r="AS20" s="2592"/>
      <c r="AT20" s="2592"/>
      <c r="AU20" s="2591">
        <v>0.04</v>
      </c>
      <c r="AZ20" s="182">
        <v>542000</v>
      </c>
      <c r="BA20" s="888">
        <v>2966.71</v>
      </c>
      <c r="BB20" s="888">
        <v>1160.68</v>
      </c>
      <c r="BC20" s="888">
        <v>207126.68999999997</v>
      </c>
      <c r="BD20" s="888">
        <v>211254.08</v>
      </c>
      <c r="BE20" s="2603">
        <f t="shared" si="3"/>
        <v>0.98046243651246867</v>
      </c>
      <c r="BF20" s="1144">
        <f t="shared" si="4"/>
        <v>1.9537563487531329E-2</v>
      </c>
      <c r="BH20" s="182">
        <v>928000</v>
      </c>
      <c r="BI20" s="888">
        <v>282277.44</v>
      </c>
      <c r="BJ20" s="888">
        <v>3087.7499999999995</v>
      </c>
      <c r="BK20" s="888"/>
      <c r="BL20" s="888">
        <v>285365.19</v>
      </c>
      <c r="BM20" s="2603">
        <f t="shared" si="5"/>
        <v>0</v>
      </c>
      <c r="BN20" s="1144">
        <f t="shared" si="6"/>
        <v>1</v>
      </c>
      <c r="BR20" s="182">
        <v>928000</v>
      </c>
      <c r="BS20" s="1210"/>
      <c r="BT20" s="1210">
        <v>33886.32</v>
      </c>
      <c r="BU20" s="1210">
        <v>36784.270000000004</v>
      </c>
      <c r="BV20" s="2618">
        <v>70670.59</v>
      </c>
      <c r="BW20" s="1210"/>
      <c r="BX20" s="1210">
        <v>2047.5900000000001</v>
      </c>
      <c r="BY20" s="1210">
        <v>1331.73</v>
      </c>
      <c r="BZ20" s="2618">
        <v>3379.32</v>
      </c>
      <c r="CA20" s="1210">
        <v>74049.909999999989</v>
      </c>
      <c r="CB20" s="2576">
        <v>4</v>
      </c>
      <c r="CC20" s="2612">
        <v>0.66942999999999997</v>
      </c>
      <c r="CD20" s="1210">
        <f t="shared" si="7"/>
        <v>0</v>
      </c>
      <c r="CE20" s="1210">
        <f t="shared" si="8"/>
        <v>38116.000000000007</v>
      </c>
      <c r="CF20" s="1210">
        <f t="shared" si="9"/>
        <v>38116.000000000007</v>
      </c>
      <c r="CJ20" s="182">
        <v>590000</v>
      </c>
      <c r="CK20" s="888">
        <v>13000</v>
      </c>
      <c r="CL20" s="888"/>
      <c r="CM20" s="477">
        <f>$CT$5</f>
        <v>0.64117999999999997</v>
      </c>
      <c r="CO20" s="2615">
        <f t="shared" si="1"/>
        <v>8335.34</v>
      </c>
      <c r="CP20" s="2615">
        <f t="shared" si="2"/>
        <v>0</v>
      </c>
    </row>
    <row r="21" spans="1:94">
      <c r="A21" s="2620" t="s">
        <v>679</v>
      </c>
      <c r="B21" s="2620" t="s">
        <v>1701</v>
      </c>
      <c r="D21" s="1414" t="s">
        <v>2279</v>
      </c>
      <c r="AR21" s="2582" t="s">
        <v>2318</v>
      </c>
      <c r="AU21" s="2590"/>
      <c r="AZ21" s="182">
        <v>592000</v>
      </c>
      <c r="BA21" s="888">
        <v>567.72</v>
      </c>
      <c r="BB21" s="888">
        <v>29.01</v>
      </c>
      <c r="BC21" s="888">
        <v>441030.86999999976</v>
      </c>
      <c r="BD21" s="888">
        <v>441627.59999999974</v>
      </c>
      <c r="BE21" s="2603">
        <f t="shared" si="3"/>
        <v>0.99864879368952486</v>
      </c>
      <c r="BF21" s="1144">
        <f t="shared" si="4"/>
        <v>1.3512063104751393E-3</v>
      </c>
      <c r="BH21" s="182">
        <v>908000</v>
      </c>
      <c r="BI21" s="888">
        <v>171274.4</v>
      </c>
      <c r="BJ21" s="888"/>
      <c r="BK21" s="888"/>
      <c r="BL21" s="888">
        <v>171274.4</v>
      </c>
      <c r="BM21" s="2603">
        <f t="shared" si="5"/>
        <v>0</v>
      </c>
      <c r="BN21" s="1144">
        <f t="shared" si="6"/>
        <v>1</v>
      </c>
      <c r="BR21" s="182">
        <v>930200</v>
      </c>
      <c r="BS21" s="1210">
        <v>28951.18</v>
      </c>
      <c r="BT21" s="1210"/>
      <c r="BU21" s="1210"/>
      <c r="BV21" s="2618">
        <v>28951.18</v>
      </c>
      <c r="BW21" s="1210"/>
      <c r="BX21" s="1210"/>
      <c r="BY21" s="1210"/>
      <c r="BZ21" s="2618"/>
      <c r="CA21" s="1210">
        <v>28951.18</v>
      </c>
      <c r="CB21" s="2576">
        <v>4</v>
      </c>
      <c r="CC21" s="2612">
        <v>0.66942999999999997</v>
      </c>
      <c r="CD21" s="1210">
        <f t="shared" si="7"/>
        <v>19380.788427399999</v>
      </c>
      <c r="CE21" s="1210">
        <f t="shared" si="8"/>
        <v>0</v>
      </c>
      <c r="CF21" s="1210">
        <f t="shared" si="9"/>
        <v>19380.788427399999</v>
      </c>
      <c r="CJ21" s="182">
        <v>813000</v>
      </c>
      <c r="CK21" s="888"/>
      <c r="CL21" s="888">
        <v>3792.45</v>
      </c>
      <c r="CN21" s="477">
        <f>CW7</f>
        <v>0.6845</v>
      </c>
      <c r="CO21" s="2615">
        <f t="shared" si="1"/>
        <v>0</v>
      </c>
      <c r="CP21" s="2615">
        <f t="shared" si="2"/>
        <v>2595.9320250000001</v>
      </c>
    </row>
    <row r="22" spans="1:94">
      <c r="A22" s="2620" t="s">
        <v>1758</v>
      </c>
      <c r="B22" s="2620" t="s">
        <v>1745</v>
      </c>
      <c r="D22" s="1414" t="s">
        <v>2278</v>
      </c>
      <c r="AT22" s="2589" t="str">
        <f>"365/365="</f>
        <v>365/365=</v>
      </c>
      <c r="AU22" s="2588">
        <f>ROUND(365/365,3)</f>
        <v>1</v>
      </c>
      <c r="AZ22" s="182">
        <v>595000</v>
      </c>
      <c r="BA22" s="888"/>
      <c r="BB22" s="888">
        <v>159.72999999999999</v>
      </c>
      <c r="BC22" s="888">
        <v>354095.21000000066</v>
      </c>
      <c r="BD22" s="888">
        <v>354254.94000000064</v>
      </c>
      <c r="BE22" s="2603">
        <f t="shared" si="3"/>
        <v>0.99954911002793645</v>
      </c>
      <c r="BF22" s="1144">
        <f t="shared" si="4"/>
        <v>4.5088997206355064E-4</v>
      </c>
      <c r="BH22" s="182">
        <v>921000</v>
      </c>
      <c r="BI22" s="888">
        <v>29125.799999999916</v>
      </c>
      <c r="BJ22" s="888">
        <v>2572.4199999999996</v>
      </c>
      <c r="BK22" s="888">
        <v>14798.119999999964</v>
      </c>
      <c r="BL22" s="888">
        <v>46496.33999999988</v>
      </c>
      <c r="BM22" s="2603">
        <f t="shared" si="5"/>
        <v>0.31826419025669556</v>
      </c>
      <c r="BN22" s="1144">
        <f t="shared" si="6"/>
        <v>0.68173580974330439</v>
      </c>
      <c r="BR22" s="1489" t="s">
        <v>978</v>
      </c>
      <c r="BS22" s="2619">
        <v>2207806.08</v>
      </c>
      <c r="BT22" s="2619">
        <v>33886.32</v>
      </c>
      <c r="BU22" s="2619">
        <v>36784.270000000004</v>
      </c>
      <c r="BV22" s="2619">
        <v>2278476.67</v>
      </c>
      <c r="BW22" s="2619">
        <v>334146.60000000009</v>
      </c>
      <c r="BX22" s="2619">
        <v>2047.5900000000001</v>
      </c>
      <c r="BY22" s="2619">
        <v>1331.73</v>
      </c>
      <c r="BZ22" s="2619">
        <v>337525.9200000001</v>
      </c>
      <c r="CA22" s="2619">
        <v>2616002.5900000003</v>
      </c>
      <c r="CD22" s="1210">
        <f>SUM(CD13:CD21)</f>
        <v>1693009.1548049997</v>
      </c>
      <c r="CE22" s="1210">
        <f>SUM(CE13:CE21)</f>
        <v>38116.000000000007</v>
      </c>
      <c r="CF22" s="2611">
        <f>SUM(CF13:CF21)</f>
        <v>1731125.1548049997</v>
      </c>
      <c r="CJ22" s="182">
        <v>870000</v>
      </c>
      <c r="CK22" s="888"/>
      <c r="CL22" s="888">
        <v>2758.4100000000003</v>
      </c>
      <c r="CN22" s="477">
        <f>CW4</f>
        <v>0.71040000000000003</v>
      </c>
      <c r="CO22" s="2615">
        <f t="shared" si="1"/>
        <v>0</v>
      </c>
      <c r="CP22" s="2615">
        <f t="shared" si="2"/>
        <v>1959.5744640000003</v>
      </c>
    </row>
    <row r="23" spans="1:94" ht="13.5" thickBot="1">
      <c r="A23" s="2620" t="s">
        <v>2277</v>
      </c>
      <c r="B23" s="2620" t="s">
        <v>2276</v>
      </c>
      <c r="D23" s="1414" t="s">
        <v>2275</v>
      </c>
      <c r="AR23" s="2584" t="s">
        <v>2302</v>
      </c>
      <c r="AU23" s="2586">
        <f>ROUND(AU20*AU22,5)</f>
        <v>0.04</v>
      </c>
      <c r="AV23" s="2592"/>
      <c r="AZ23" s="182">
        <v>538000</v>
      </c>
      <c r="BA23" s="888">
        <v>-8.5265128291212022E-14</v>
      </c>
      <c r="BB23" s="888">
        <v>18109.099999999999</v>
      </c>
      <c r="BC23" s="888">
        <v>5838299.2800000198</v>
      </c>
      <c r="BD23" s="888">
        <v>5856408.3800000194</v>
      </c>
      <c r="BE23" s="2603">
        <f t="shared" si="3"/>
        <v>0.99690781468351097</v>
      </c>
      <c r="BF23" s="1144">
        <f t="shared" si="4"/>
        <v>3.0921853164890267E-3</v>
      </c>
      <c r="BH23" s="182">
        <v>891000</v>
      </c>
      <c r="BI23" s="888">
        <v>1588.13</v>
      </c>
      <c r="BJ23" s="888">
        <v>679.5</v>
      </c>
      <c r="BK23" s="888">
        <v>40194.999999999993</v>
      </c>
      <c r="BL23" s="888">
        <v>42462.62999999999</v>
      </c>
      <c r="BM23" s="2603">
        <f t="shared" si="5"/>
        <v>0.94659704309412773</v>
      </c>
      <c r="BN23" s="1144">
        <f t="shared" si="6"/>
        <v>5.3402956905872268E-2</v>
      </c>
      <c r="BR23" s="182"/>
      <c r="BS23" s="2613"/>
      <c r="BT23" s="2613"/>
      <c r="BU23" s="2613"/>
      <c r="BV23" s="2613"/>
      <c r="BW23" s="2613"/>
      <c r="BX23" s="2613"/>
      <c r="BY23" s="2613"/>
      <c r="CJ23" s="182">
        <v>902000</v>
      </c>
      <c r="CK23" s="888">
        <v>1357.41</v>
      </c>
      <c r="CL23" s="888">
        <v>892.58999999999992</v>
      </c>
      <c r="CM23" s="477">
        <f>$CT$4</f>
        <v>0.65115999999999996</v>
      </c>
      <c r="CN23" s="477">
        <f>$CW$3</f>
        <v>0.65400999999999998</v>
      </c>
      <c r="CO23" s="2615">
        <f t="shared" si="1"/>
        <v>883.89109559999997</v>
      </c>
      <c r="CP23" s="2615">
        <f t="shared" si="2"/>
        <v>583.76278589999993</v>
      </c>
    </row>
    <row r="24" spans="1:94" ht="13.5" thickTop="1">
      <c r="B24" s="477"/>
      <c r="AU24" s="2590"/>
      <c r="AZ24" s="182">
        <v>598000</v>
      </c>
      <c r="BA24" s="888">
        <v>37736.550000000003</v>
      </c>
      <c r="BB24" s="888">
        <v>1091.0299999999997</v>
      </c>
      <c r="BC24" s="888">
        <v>613479.72</v>
      </c>
      <c r="BD24" s="888">
        <v>652307.29999999993</v>
      </c>
      <c r="BE24" s="2603">
        <f t="shared" si="3"/>
        <v>0.94047655146585063</v>
      </c>
      <c r="BF24" s="1144">
        <f t="shared" si="4"/>
        <v>5.952344853414937E-2</v>
      </c>
      <c r="BH24" s="182">
        <v>887000</v>
      </c>
      <c r="BI24" s="888">
        <v>1395.75</v>
      </c>
      <c r="BJ24" s="888">
        <v>43880.099999999991</v>
      </c>
      <c r="BK24" s="888">
        <v>614212.83000000182</v>
      </c>
      <c r="BL24" s="888">
        <v>659488.6800000018</v>
      </c>
      <c r="BM24" s="2603">
        <f t="shared" si="5"/>
        <v>0.93134703995222501</v>
      </c>
      <c r="BN24" s="1144">
        <f t="shared" si="6"/>
        <v>6.8652960047774991E-2</v>
      </c>
      <c r="BS24" s="477"/>
      <c r="BT24" s="2613"/>
      <c r="BU24" s="2613"/>
      <c r="BV24" s="2613"/>
      <c r="BW24" s="2613"/>
      <c r="BX24" s="2613"/>
      <c r="BY24" s="2613"/>
      <c r="CJ24" s="182">
        <v>903000</v>
      </c>
      <c r="CK24" s="888">
        <v>1043.2</v>
      </c>
      <c r="CL24" s="888">
        <v>685.22</v>
      </c>
      <c r="CM24" s="477">
        <f>$CT$4</f>
        <v>0.65115999999999996</v>
      </c>
      <c r="CN24" s="477">
        <f>$CW$3</f>
        <v>0.65400999999999998</v>
      </c>
      <c r="CO24" s="2615">
        <f t="shared" si="1"/>
        <v>679.29011200000002</v>
      </c>
      <c r="CP24" s="2615">
        <f t="shared" si="2"/>
        <v>448.1407322</v>
      </c>
    </row>
    <row r="25" spans="1:94">
      <c r="A25" s="2621" t="s">
        <v>2274</v>
      </c>
      <c r="B25" s="2621" t="s">
        <v>1252</v>
      </c>
      <c r="C25" s="2621"/>
      <c r="D25" s="2621"/>
      <c r="E25" s="2621"/>
      <c r="F25" s="2621"/>
      <c r="G25" s="2621"/>
      <c r="H25" s="2621"/>
      <c r="I25" s="2621"/>
      <c r="J25" s="2621"/>
      <c r="K25" s="2621"/>
      <c r="L25" s="2621"/>
      <c r="M25" s="2621"/>
      <c r="O25" s="2579" t="s">
        <v>763</v>
      </c>
      <c r="P25" s="2578" t="s">
        <v>2273</v>
      </c>
      <c r="Q25" s="2578"/>
      <c r="R25" s="2578" t="s">
        <v>2272</v>
      </c>
      <c r="S25" s="2578" t="s">
        <v>2271</v>
      </c>
      <c r="T25" s="2578" t="s">
        <v>2270</v>
      </c>
      <c r="V25" s="3867" t="s">
        <v>1121</v>
      </c>
      <c r="W25" s="3867"/>
      <c r="Y25" s="3868" t="s">
        <v>2261</v>
      </c>
      <c r="Z25" s="3869"/>
      <c r="AA25" s="3869"/>
      <c r="AB25" s="3869"/>
      <c r="AC25" s="3870"/>
      <c r="AE25" s="3868" t="s">
        <v>2262</v>
      </c>
      <c r="AF25" s="3869"/>
      <c r="AG25" s="3869"/>
      <c r="AH25" s="3869"/>
      <c r="AI25" s="3870"/>
      <c r="AK25" s="3871" t="s">
        <v>2269</v>
      </c>
      <c r="AL25" s="3872"/>
      <c r="AM25" s="3872"/>
      <c r="AN25" s="3873"/>
      <c r="AR25" s="2594" t="s">
        <v>2317</v>
      </c>
      <c r="AS25" s="2593"/>
      <c r="AT25" s="2592"/>
      <c r="AU25" s="2583"/>
      <c r="AV25" s="2592"/>
      <c r="AZ25" s="182">
        <v>928000</v>
      </c>
      <c r="BA25" s="888">
        <v>1083652.9099999999</v>
      </c>
      <c r="BB25" s="888">
        <v>11615.29</v>
      </c>
      <c r="BC25" s="888"/>
      <c r="BD25" s="888">
        <v>1095268.2</v>
      </c>
      <c r="BE25" s="2603">
        <f t="shared" si="3"/>
        <v>0</v>
      </c>
      <c r="BF25" s="1144">
        <f t="shared" si="4"/>
        <v>1</v>
      </c>
      <c r="BH25" s="182">
        <v>878000</v>
      </c>
      <c r="BI25" s="888">
        <v>1465.1</v>
      </c>
      <c r="BJ25" s="888">
        <v>433.55</v>
      </c>
      <c r="BK25" s="888">
        <v>4825.3200000000015</v>
      </c>
      <c r="BL25" s="888">
        <v>6723.9700000000012</v>
      </c>
      <c r="BM25" s="2603">
        <f t="shared" si="5"/>
        <v>0.71762961464729924</v>
      </c>
      <c r="BN25" s="1144">
        <f t="shared" si="6"/>
        <v>0.28237038535270076</v>
      </c>
      <c r="BR25" s="1569" t="s">
        <v>679</v>
      </c>
      <c r="BS25" s="1569" t="s">
        <v>1701</v>
      </c>
      <c r="CJ25" s="182">
        <v>920000</v>
      </c>
      <c r="CK25" s="888">
        <v>100369.36999999991</v>
      </c>
      <c r="CL25" s="888">
        <v>26033.869999999988</v>
      </c>
      <c r="CM25" s="477">
        <f t="shared" ref="CM25:CM30" si="10">$CT$6</f>
        <v>0.66942999999999997</v>
      </c>
      <c r="CN25" s="477">
        <f t="shared" ref="CN25:CN30" si="11">$CW$5</f>
        <v>0.71745999999999999</v>
      </c>
      <c r="CO25" s="2615">
        <f t="shared" si="1"/>
        <v>67190.267359099933</v>
      </c>
      <c r="CP25" s="2615">
        <f t="shared" si="2"/>
        <v>18678.260370199991</v>
      </c>
    </row>
    <row r="26" spans="1:94" ht="38.25">
      <c r="A26" s="2621"/>
      <c r="B26" s="2621" t="s">
        <v>682</v>
      </c>
      <c r="C26" s="2621"/>
      <c r="D26" s="2621"/>
      <c r="E26" s="2621"/>
      <c r="F26" s="2622" t="s">
        <v>2268</v>
      </c>
      <c r="G26" s="2621" t="s">
        <v>680</v>
      </c>
      <c r="H26" s="2621"/>
      <c r="I26" s="2621"/>
      <c r="J26" s="2621"/>
      <c r="K26" s="2621"/>
      <c r="L26" s="2622" t="s">
        <v>2267</v>
      </c>
      <c r="M26" s="2621" t="s">
        <v>978</v>
      </c>
      <c r="O26" s="2581" t="s">
        <v>739</v>
      </c>
      <c r="P26" s="2578" t="s">
        <v>739</v>
      </c>
      <c r="Q26" s="2578" t="s">
        <v>2266</v>
      </c>
      <c r="R26" s="2578" t="s">
        <v>2265</v>
      </c>
      <c r="S26" s="2578" t="s">
        <v>2264</v>
      </c>
      <c r="T26" s="2578" t="s">
        <v>2263</v>
      </c>
      <c r="V26" s="2578" t="s">
        <v>2262</v>
      </c>
      <c r="W26" s="2578" t="s">
        <v>2261</v>
      </c>
      <c r="Y26" s="2580" t="s">
        <v>2351</v>
      </c>
      <c r="Z26" s="2580" t="s">
        <v>2352</v>
      </c>
      <c r="AA26" s="2580">
        <v>2024</v>
      </c>
      <c r="AB26" s="2580">
        <v>2025</v>
      </c>
      <c r="AC26" s="2580">
        <v>2026</v>
      </c>
      <c r="AE26" s="2580" t="s">
        <v>2351</v>
      </c>
      <c r="AF26" s="2580" t="s">
        <v>2352</v>
      </c>
      <c r="AG26" s="2580">
        <v>2024</v>
      </c>
      <c r="AH26" s="2580">
        <v>2025</v>
      </c>
      <c r="AI26" s="2580">
        <v>2026</v>
      </c>
      <c r="AK26" s="2564" t="s">
        <v>2353</v>
      </c>
      <c r="AL26" s="2564">
        <v>2024</v>
      </c>
      <c r="AM26" s="2564">
        <v>2025</v>
      </c>
      <c r="AN26" s="2564">
        <v>2026</v>
      </c>
      <c r="AR26" s="2582" t="s">
        <v>2316</v>
      </c>
      <c r="AS26" s="2592"/>
      <c r="AT26" s="2592"/>
      <c r="AU26" s="2591">
        <v>0.04</v>
      </c>
      <c r="AV26" s="2592"/>
      <c r="AZ26" s="182">
        <v>583000</v>
      </c>
      <c r="BA26" s="888">
        <v>380808.91999999993</v>
      </c>
      <c r="BB26" s="888">
        <v>7041.88</v>
      </c>
      <c r="BC26" s="888">
        <v>822342.47000000137</v>
      </c>
      <c r="BD26" s="888">
        <v>1210193.2700000014</v>
      </c>
      <c r="BE26" s="2603">
        <f t="shared" si="3"/>
        <v>0.67951333922060264</v>
      </c>
      <c r="BF26" s="1144">
        <f t="shared" si="4"/>
        <v>0.32048666077939736</v>
      </c>
      <c r="BH26" s="182">
        <v>905000</v>
      </c>
      <c r="BI26" s="888">
        <v>17353.530000000002</v>
      </c>
      <c r="BJ26" s="888">
        <v>146695.41000000041</v>
      </c>
      <c r="BK26" s="888">
        <v>3075.5300000000007</v>
      </c>
      <c r="BL26" s="888">
        <v>167124.47000000041</v>
      </c>
      <c r="BM26" s="2603">
        <f t="shared" si="5"/>
        <v>1.840263128433552E-2</v>
      </c>
      <c r="BN26" s="1144">
        <f t="shared" si="6"/>
        <v>0.9815973687156645</v>
      </c>
      <c r="BR26" s="1569" t="s">
        <v>1758</v>
      </c>
      <c r="BS26" s="1569" t="s">
        <v>1745</v>
      </c>
      <c r="CJ26" s="182">
        <v>921000</v>
      </c>
      <c r="CK26" s="888">
        <v>3704.2</v>
      </c>
      <c r="CL26" s="888">
        <v>1067.97</v>
      </c>
      <c r="CM26" s="477">
        <f t="shared" si="10"/>
        <v>0.66942999999999997</v>
      </c>
      <c r="CN26" s="477">
        <f t="shared" si="11"/>
        <v>0.71745999999999999</v>
      </c>
      <c r="CO26" s="2615">
        <f t="shared" si="1"/>
        <v>2479.7026059999998</v>
      </c>
      <c r="CP26" s="2615">
        <f t="shared" si="2"/>
        <v>766.22575619999998</v>
      </c>
    </row>
    <row r="27" spans="1:94">
      <c r="A27" s="2621" t="s">
        <v>1170</v>
      </c>
      <c r="B27" s="2621" t="s">
        <v>678</v>
      </c>
      <c r="C27" s="2621" t="s">
        <v>677</v>
      </c>
      <c r="D27" s="2621" t="s">
        <v>683</v>
      </c>
      <c r="E27" s="2621" t="s">
        <v>763</v>
      </c>
      <c r="F27" s="2622"/>
      <c r="G27" s="2621" t="s">
        <v>678</v>
      </c>
      <c r="H27" s="2621" t="s">
        <v>677</v>
      </c>
      <c r="I27" s="2621" t="s">
        <v>683</v>
      </c>
      <c r="J27" s="2621" t="s">
        <v>676</v>
      </c>
      <c r="K27" s="2621" t="s">
        <v>763</v>
      </c>
      <c r="L27" s="2622"/>
      <c r="M27" s="2621"/>
      <c r="O27" s="2579" t="s">
        <v>2260</v>
      </c>
      <c r="P27" s="2578"/>
      <c r="Q27" s="2578"/>
      <c r="R27" s="2578" t="s">
        <v>24</v>
      </c>
      <c r="S27" s="2578" t="s">
        <v>2259</v>
      </c>
      <c r="T27" s="2578" t="s">
        <v>11</v>
      </c>
      <c r="V27" s="2269"/>
      <c r="W27" s="2269"/>
      <c r="Y27" s="950"/>
      <c r="Z27" s="2577">
        <f>+'G-3.05,5.02 PF NE Labor'!AU44</f>
        <v>3.9960000000000002E-2</v>
      </c>
      <c r="AA27" s="1130">
        <f>+'G-3.05,5.02 PF NE Labor'!AU50</f>
        <v>0.04</v>
      </c>
      <c r="AB27" s="1130">
        <f>+'G-3.05,5.02 PF NE Labor'!AU56</f>
        <v>3.3520000000000001E-2</v>
      </c>
      <c r="AC27" s="1130">
        <f>+'G-3.05,5.02 PF NE Labor'!AU62</f>
        <v>0.04</v>
      </c>
      <c r="AE27" s="950"/>
      <c r="AF27" s="2577">
        <f>'G-3.05,5.02 PF NE Labor'!AU17</f>
        <v>2.5690000000000001E-2</v>
      </c>
      <c r="AG27" s="1130">
        <f>+'G-3.05,5.02 PF NE Labor'!AU23</f>
        <v>0.04</v>
      </c>
      <c r="AH27" s="1130">
        <f>+'G-3.05,5.02 PF NE Labor'!AU29</f>
        <v>3.056E-2</v>
      </c>
      <c r="AI27" s="1130">
        <f>+'G-3.05,5.02 PF NE Labor'!AU36</f>
        <v>0.04</v>
      </c>
      <c r="AK27" s="1130"/>
      <c r="AL27" s="1130"/>
      <c r="AM27" s="1130"/>
      <c r="AN27" s="1130"/>
      <c r="AR27" s="2582" t="s">
        <v>2315</v>
      </c>
      <c r="AU27" s="2590"/>
      <c r="AZ27" s="182">
        <v>594000</v>
      </c>
      <c r="BA27" s="888"/>
      <c r="BB27" s="888"/>
      <c r="BC27" s="888">
        <v>614973.21000000136</v>
      </c>
      <c r="BD27" s="888">
        <v>614973.21000000136</v>
      </c>
      <c r="BE27" s="2603">
        <f t="shared" si="3"/>
        <v>1</v>
      </c>
      <c r="BF27" s="1144">
        <f t="shared" si="4"/>
        <v>0</v>
      </c>
      <c r="BH27" s="182">
        <v>813000</v>
      </c>
      <c r="BI27" s="888">
        <v>674111.46000000008</v>
      </c>
      <c r="BJ27" s="888"/>
      <c r="BK27" s="888"/>
      <c r="BL27" s="888">
        <v>674111.46000000008</v>
      </c>
      <c r="BM27" s="2603">
        <f t="shared" si="5"/>
        <v>0</v>
      </c>
      <c r="BN27" s="1144">
        <f t="shared" si="6"/>
        <v>1</v>
      </c>
      <c r="BR27" s="1569" t="s">
        <v>2277</v>
      </c>
      <c r="BS27" s="1569" t="s">
        <v>2276</v>
      </c>
      <c r="CJ27" s="182">
        <v>926100</v>
      </c>
      <c r="CK27" s="888">
        <v>4948.6599999999989</v>
      </c>
      <c r="CL27" s="888">
        <v>1415.96</v>
      </c>
      <c r="CM27" s="477">
        <f t="shared" si="10"/>
        <v>0.66942999999999997</v>
      </c>
      <c r="CN27" s="477">
        <f t="shared" si="11"/>
        <v>0.71745999999999999</v>
      </c>
      <c r="CO27" s="2615">
        <f t="shared" si="1"/>
        <v>3312.7814637999991</v>
      </c>
      <c r="CP27" s="2615">
        <f t="shared" si="2"/>
        <v>1015.8946616000001</v>
      </c>
    </row>
    <row r="28" spans="1:94">
      <c r="A28" s="2573">
        <v>813000</v>
      </c>
      <c r="B28" s="2569"/>
      <c r="C28" s="2569"/>
      <c r="D28" s="2569"/>
      <c r="E28" s="2569"/>
      <c r="F28" s="2623"/>
      <c r="G28" s="2569">
        <v>885318.23999999976</v>
      </c>
      <c r="H28" s="2569"/>
      <c r="I28" s="2569"/>
      <c r="J28" s="2569"/>
      <c r="K28" s="2569">
        <v>77311.630000000019</v>
      </c>
      <c r="L28" s="2623">
        <v>962629.86999999976</v>
      </c>
      <c r="M28" s="2569">
        <v>962629.86999999976</v>
      </c>
      <c r="N28" s="2576">
        <f>$B$72</f>
        <v>10</v>
      </c>
      <c r="O28" s="2575">
        <f t="shared" ref="O28:O60" si="12">IF(N28=$B$69,$C$69,IF(N28=$B$70,$C$70,IF(N28=$B$71,$C$71,IF(N28=$B$72,$C$72,IF(N28=$B$73,$C$73,0)))))</f>
        <v>0.67015999999999998</v>
      </c>
      <c r="P28" s="2569">
        <f t="shared" ref="P28:P60" si="13">(O28*B28)+(O28*C28)+(O28*G28)+(O28*H28)</f>
        <v>593304.87171839981</v>
      </c>
      <c r="Q28" s="2569">
        <f t="shared" ref="Q28:Q60" si="14">E28+K28</f>
        <v>77311.630000000019</v>
      </c>
      <c r="R28" s="2569">
        <f t="shared" ref="R28:R60" si="15">Q28+P28</f>
        <v>670616.50171839981</v>
      </c>
      <c r="S28" s="2569">
        <f>-IFERROR(VLOOKUP(A28,'G-3.05,5.02 PF NE Labor'!$BR$33:$CD$40,13,FALSE),0)</f>
        <v>-88837.656097600004</v>
      </c>
      <c r="T28" s="2569">
        <f t="shared" ref="T28:T61" si="16">R28+S28</f>
        <v>581778.84562079981</v>
      </c>
      <c r="V28" s="2568">
        <f>VLOOKUP(A28,'G-3.05,5.02 PF NE Labor'!$BH$13:$BN$46,6,FALSE)</f>
        <v>0</v>
      </c>
      <c r="W28" s="2568">
        <f>VLOOKUP(A28,'G-3.05,5.02 PF NE Labor'!$BH$13:$BN$46,7,FALSE)</f>
        <v>1</v>
      </c>
      <c r="Y28" s="2574">
        <f t="shared" ref="Y28:Y60" si="17">T28*W28</f>
        <v>581778.84562079981</v>
      </c>
      <c r="Z28" s="2574">
        <f t="shared" ref="Z28:Z60" si="18">Y28*$Z$27</f>
        <v>23247.882671007163</v>
      </c>
      <c r="AA28" s="2574">
        <f t="shared" ref="AA28:AA60" si="19">(Y28+Z28)*$AA$27</f>
        <v>24201.06913167228</v>
      </c>
      <c r="AB28" s="2574">
        <f t="shared" ref="AB28:AB60" si="20">(Y28+Z28+AA28)*$AB$27</f>
        <v>21091.715769635026</v>
      </c>
      <c r="AC28" s="2574">
        <f t="shared" ref="AC28:AC60" si="21">(Y28+Z28+AA28+AB28)*$AC$27</f>
        <v>26012.780527724572</v>
      </c>
      <c r="AE28" s="2574">
        <f t="shared" ref="AE28:AE60" si="22">T28*V28</f>
        <v>0</v>
      </c>
      <c r="AF28" s="2574">
        <f t="shared" ref="AF28:AF60" si="23">AE28*$AF$27</f>
        <v>0</v>
      </c>
      <c r="AG28" s="2574">
        <f t="shared" ref="AG28:AG60" si="24">(AE28+AF28)*$AG$27</f>
        <v>0</v>
      </c>
      <c r="AH28" s="2574">
        <f t="shared" ref="AH28:AH60" si="25">(AE28+AF28+AG28)*$AH$27</f>
        <v>0</v>
      </c>
      <c r="AI28" s="2574">
        <f t="shared" ref="AI28:AI60" si="26">(AE28+AF28+AG28+AH28)*$AI$27</f>
        <v>0</v>
      </c>
      <c r="AK28" s="2574">
        <f t="shared" ref="AK28:AK60" si="27">AE28+AF28+Y28+Z28</f>
        <v>605026.728291807</v>
      </c>
      <c r="AL28" s="2574">
        <f t="shared" ref="AL28:AL60" si="28">AK28+AG28+AA28</f>
        <v>629227.79742347926</v>
      </c>
      <c r="AM28" s="2574">
        <f t="shared" ref="AM28:AM60" si="29">AK28+AH28+AB28</f>
        <v>626118.44406144205</v>
      </c>
      <c r="AN28" s="2574">
        <f t="shared" ref="AN28:AN60" si="30">AL28+AI28+AC28</f>
        <v>655240.5779512038</v>
      </c>
      <c r="AT28" s="2589" t="str">
        <f>"279/365="</f>
        <v>279/365=</v>
      </c>
      <c r="AU28" s="2588">
        <f>ROUND(279/365,3)</f>
        <v>0.76400000000000001</v>
      </c>
      <c r="AV28" s="2582" t="s">
        <v>2314</v>
      </c>
      <c r="AZ28" s="182">
        <v>569000</v>
      </c>
      <c r="BA28" s="888">
        <v>469.47</v>
      </c>
      <c r="BB28" s="888">
        <v>22.09</v>
      </c>
      <c r="BC28" s="888">
        <v>351317.9099999998</v>
      </c>
      <c r="BD28" s="888">
        <v>351809.4699999998</v>
      </c>
      <c r="BE28" s="2603">
        <f t="shared" si="3"/>
        <v>0.99860276643491153</v>
      </c>
      <c r="BF28" s="1144">
        <f t="shared" si="4"/>
        <v>1.3972335650884737E-3</v>
      </c>
      <c r="BH28" s="182">
        <v>930200</v>
      </c>
      <c r="BI28" s="888">
        <v>100807.71000000004</v>
      </c>
      <c r="BJ28" s="888">
        <v>9153.6099999999988</v>
      </c>
      <c r="BK28" s="888">
        <v>39095.129999999983</v>
      </c>
      <c r="BL28" s="888">
        <v>149056.45000000001</v>
      </c>
      <c r="BM28" s="2603">
        <f t="shared" si="5"/>
        <v>0.2622840541284861</v>
      </c>
      <c r="BN28" s="1144">
        <f t="shared" si="6"/>
        <v>0.7377159458715139</v>
      </c>
      <c r="BR28" s="1570" t="s">
        <v>2340</v>
      </c>
      <c r="BS28" s="1570" t="s">
        <v>1759</v>
      </c>
      <c r="CJ28" s="182">
        <v>928000</v>
      </c>
      <c r="CK28" s="888">
        <v>5864.91</v>
      </c>
      <c r="CL28" s="888">
        <v>1131.74</v>
      </c>
      <c r="CM28" s="477">
        <f t="shared" si="10"/>
        <v>0.66942999999999997</v>
      </c>
      <c r="CN28" s="477">
        <f t="shared" si="11"/>
        <v>0.71745999999999999</v>
      </c>
      <c r="CO28" s="2615">
        <f t="shared" si="1"/>
        <v>3926.1467012999997</v>
      </c>
      <c r="CP28" s="2615">
        <f t="shared" si="2"/>
        <v>811.97818040000004</v>
      </c>
    </row>
    <row r="29" spans="1:94" ht="13.5" thickBot="1">
      <c r="A29" s="2573">
        <v>870000</v>
      </c>
      <c r="B29" s="2569"/>
      <c r="C29" s="2569"/>
      <c r="D29" s="2569"/>
      <c r="E29" s="2569"/>
      <c r="F29" s="2623"/>
      <c r="G29" s="2569">
        <v>1362115.0700000003</v>
      </c>
      <c r="H29" s="2569">
        <v>145621.05999999997</v>
      </c>
      <c r="I29" s="2569">
        <v>59038.150000000016</v>
      </c>
      <c r="J29" s="2569"/>
      <c r="K29" s="2569">
        <v>278570.35000000015</v>
      </c>
      <c r="L29" s="2623">
        <v>1845344.6300000004</v>
      </c>
      <c r="M29" s="2569">
        <v>1845344.6300000004</v>
      </c>
      <c r="N29" s="2576">
        <f>$B$73</f>
        <v>1</v>
      </c>
      <c r="O29" s="2575">
        <f t="shared" si="12"/>
        <v>0.6845</v>
      </c>
      <c r="P29" s="2569">
        <f t="shared" si="13"/>
        <v>1032045.3809850002</v>
      </c>
      <c r="Q29" s="2569">
        <f t="shared" si="14"/>
        <v>278570.35000000015</v>
      </c>
      <c r="R29" s="2569">
        <f t="shared" si="15"/>
        <v>1310615.7309850003</v>
      </c>
      <c r="S29" s="2569">
        <f>-IFERROR(VLOOKUP(A29,'G-3.05,5.02 PF NE Labor'!$BR$33:$CD$40,13,FALSE),0)</f>
        <v>-21433.876224</v>
      </c>
      <c r="T29" s="2569">
        <f t="shared" si="16"/>
        <v>1289181.8547610003</v>
      </c>
      <c r="V29" s="2568">
        <f>VLOOKUP(A29,'G-3.05,5.02 PF NE Labor'!$BH$13:$BN$46,6,FALSE)</f>
        <v>0.17943009357075734</v>
      </c>
      <c r="W29" s="2568">
        <f>VLOOKUP(A29,'G-3.05,5.02 PF NE Labor'!$BH$13:$BN$46,7,FALSE)</f>
        <v>0.82056990642924266</v>
      </c>
      <c r="Y29" s="2574">
        <f t="shared" si="17"/>
        <v>1057863.8339315115</v>
      </c>
      <c r="Z29" s="2574">
        <f t="shared" si="18"/>
        <v>42272.238803903201</v>
      </c>
      <c r="AA29" s="2574">
        <f t="shared" si="19"/>
        <v>44005.442909416583</v>
      </c>
      <c r="AB29" s="2574">
        <f t="shared" si="20"/>
        <v>38351.623604414737</v>
      </c>
      <c r="AC29" s="2574">
        <f t="shared" si="21"/>
        <v>47299.725569969836</v>
      </c>
      <c r="AE29" s="2574">
        <f t="shared" si="22"/>
        <v>231318.02082948879</v>
      </c>
      <c r="AF29" s="2574">
        <f t="shared" si="23"/>
        <v>5942.5599551095675</v>
      </c>
      <c r="AG29" s="2574">
        <f t="shared" si="24"/>
        <v>9490.4232313839348</v>
      </c>
      <c r="AH29" s="2574">
        <f t="shared" si="25"/>
        <v>7540.7106827284188</v>
      </c>
      <c r="AI29" s="2574">
        <f t="shared" si="26"/>
        <v>10171.668587948428</v>
      </c>
      <c r="AK29" s="2574">
        <f t="shared" si="27"/>
        <v>1337396.653520013</v>
      </c>
      <c r="AL29" s="2574">
        <f t="shared" si="28"/>
        <v>1390892.5196608135</v>
      </c>
      <c r="AM29" s="2574">
        <f t="shared" si="29"/>
        <v>1383288.9878071561</v>
      </c>
      <c r="AN29" s="2574">
        <f t="shared" si="30"/>
        <v>1448363.9138187317</v>
      </c>
      <c r="AR29" s="2584" t="s">
        <v>2297</v>
      </c>
      <c r="AU29" s="2586">
        <f>ROUND(AU26*AU28,5)</f>
        <v>3.056E-2</v>
      </c>
      <c r="AV29" s="2592"/>
      <c r="AZ29" s="182">
        <v>908000</v>
      </c>
      <c r="BA29" s="888">
        <v>254269.15000000005</v>
      </c>
      <c r="BB29" s="888">
        <v>2130.2399999999998</v>
      </c>
      <c r="BC29" s="888"/>
      <c r="BD29" s="888">
        <v>256399.39000000004</v>
      </c>
      <c r="BE29" s="2603">
        <f t="shared" si="3"/>
        <v>0</v>
      </c>
      <c r="BF29" s="1144">
        <f t="shared" si="4"/>
        <v>1</v>
      </c>
      <c r="BH29" s="182">
        <v>870000</v>
      </c>
      <c r="BI29" s="888">
        <v>978833.13999999943</v>
      </c>
      <c r="BJ29" s="888">
        <v>272025.54000000004</v>
      </c>
      <c r="BK29" s="888">
        <v>273519.28000000009</v>
      </c>
      <c r="BL29" s="888">
        <v>1524377.9599999995</v>
      </c>
      <c r="BM29" s="2603">
        <f t="shared" si="5"/>
        <v>0.17943009357075734</v>
      </c>
      <c r="BN29" s="1144">
        <f t="shared" si="6"/>
        <v>0.82056990642924266</v>
      </c>
      <c r="BS29" s="477"/>
      <c r="CJ29" s="182">
        <v>930200</v>
      </c>
      <c r="CK29" s="888">
        <v>16483.999999999996</v>
      </c>
      <c r="CL29" s="888">
        <v>6804.5300000000007</v>
      </c>
      <c r="CM29" s="477">
        <f t="shared" si="10"/>
        <v>0.66942999999999997</v>
      </c>
      <c r="CN29" s="477">
        <f t="shared" si="11"/>
        <v>0.71745999999999999</v>
      </c>
      <c r="CO29" s="2615">
        <f t="shared" si="1"/>
        <v>11034.884119999997</v>
      </c>
      <c r="CP29" s="2615">
        <f t="shared" si="2"/>
        <v>4881.9780938000004</v>
      </c>
    </row>
    <row r="30" spans="1:94" ht="13.5" thickTop="1">
      <c r="A30" s="2573">
        <v>874000</v>
      </c>
      <c r="B30" s="2569"/>
      <c r="C30" s="2569"/>
      <c r="D30" s="2569"/>
      <c r="E30" s="2569"/>
      <c r="F30" s="2623"/>
      <c r="G30" s="2569">
        <v>477468.77000000014</v>
      </c>
      <c r="H30" s="2569">
        <v>372224.4099999998</v>
      </c>
      <c r="I30" s="2569">
        <v>248402.2699999999</v>
      </c>
      <c r="J30" s="2569"/>
      <c r="K30" s="2569">
        <v>839363.40000000119</v>
      </c>
      <c r="L30" s="2623">
        <v>1937458.850000001</v>
      </c>
      <c r="M30" s="2569">
        <v>1937458.850000001</v>
      </c>
      <c r="N30" s="2576">
        <f t="shared" ref="N30:N45" si="31">$B$70</f>
        <v>3</v>
      </c>
      <c r="O30" s="2575">
        <f t="shared" si="12"/>
        <v>0.71040000000000003</v>
      </c>
      <c r="P30" s="2569">
        <f t="shared" si="13"/>
        <v>603622.035072</v>
      </c>
      <c r="Q30" s="2569">
        <f t="shared" si="14"/>
        <v>839363.40000000119</v>
      </c>
      <c r="R30" s="2569">
        <f t="shared" si="15"/>
        <v>1442985.4350720011</v>
      </c>
      <c r="S30" s="2569">
        <f>-IFERROR(VLOOKUP(A30,'G-3.05,5.02 PF NE Labor'!$BR$33:$CD$40,13,FALSE),0)</f>
        <v>0</v>
      </c>
      <c r="T30" s="2569">
        <f t="shared" si="16"/>
        <v>1442985.4350720011</v>
      </c>
      <c r="V30" s="2568">
        <f>VLOOKUP(A30,'G-3.05,5.02 PF NE Labor'!$BH$13:$BN$46,6,FALSE)</f>
        <v>0.62034827191022157</v>
      </c>
      <c r="W30" s="2568">
        <f>VLOOKUP(A30,'G-3.05,5.02 PF NE Labor'!$BH$13:$BN$46,7,FALSE)</f>
        <v>0.37965172808977843</v>
      </c>
      <c r="Y30" s="2574">
        <f t="shared" si="17"/>
        <v>547831.91403346602</v>
      </c>
      <c r="Z30" s="2574">
        <f t="shared" si="18"/>
        <v>21891.363284777304</v>
      </c>
      <c r="AA30" s="2574">
        <f t="shared" si="19"/>
        <v>22788.93109272973</v>
      </c>
      <c r="AB30" s="2574">
        <f t="shared" si="20"/>
        <v>19861.009225935813</v>
      </c>
      <c r="AC30" s="2574">
        <f t="shared" si="21"/>
        <v>24494.928705476352</v>
      </c>
      <c r="AE30" s="2574">
        <f t="shared" si="22"/>
        <v>895153.52103853505</v>
      </c>
      <c r="AF30" s="2574">
        <f t="shared" si="23"/>
        <v>22996.493955479968</v>
      </c>
      <c r="AG30" s="2574">
        <f t="shared" si="24"/>
        <v>36726.000599760599</v>
      </c>
      <c r="AH30" s="2574">
        <f t="shared" si="25"/>
        <v>29181.01103654578</v>
      </c>
      <c r="AI30" s="2574">
        <f t="shared" si="26"/>
        <v>39362.281065212854</v>
      </c>
      <c r="AK30" s="2574">
        <f t="shared" si="27"/>
        <v>1487873.2923122584</v>
      </c>
      <c r="AL30" s="2574">
        <f t="shared" si="28"/>
        <v>1547388.2240047487</v>
      </c>
      <c r="AM30" s="2574">
        <f t="shared" si="29"/>
        <v>1536915.31257474</v>
      </c>
      <c r="AN30" s="2574">
        <f t="shared" si="30"/>
        <v>1611245.433775438</v>
      </c>
      <c r="AU30" s="2590"/>
      <c r="AZ30" s="182">
        <v>590000</v>
      </c>
      <c r="BA30" s="888">
        <v>511168.4599999999</v>
      </c>
      <c r="BB30" s="888">
        <v>118586.17999999995</v>
      </c>
      <c r="BC30" s="888">
        <v>163070.54000000004</v>
      </c>
      <c r="BD30" s="888">
        <v>792825.17999999993</v>
      </c>
      <c r="BE30" s="2603">
        <f t="shared" si="3"/>
        <v>0.20568284675317711</v>
      </c>
      <c r="BF30" s="1144">
        <f t="shared" si="4"/>
        <v>0.79431715324682295</v>
      </c>
      <c r="BH30" s="182">
        <v>923000</v>
      </c>
      <c r="BI30" s="888">
        <v>606.25000000000023</v>
      </c>
      <c r="BJ30" s="888">
        <v>691.15</v>
      </c>
      <c r="BK30" s="888">
        <v>48.2</v>
      </c>
      <c r="BL30" s="888">
        <v>1345.6000000000001</v>
      </c>
      <c r="BM30" s="2603">
        <f t="shared" si="5"/>
        <v>3.5820451843043992E-2</v>
      </c>
      <c r="BN30" s="1144">
        <f t="shared" si="6"/>
        <v>0.96417954815695606</v>
      </c>
      <c r="BR30" s="1418" t="s">
        <v>2274</v>
      </c>
      <c r="BS30" s="1418" t="s">
        <v>1252</v>
      </c>
      <c r="BT30" s="1418"/>
      <c r="BU30" s="1418"/>
      <c r="BV30" s="1418"/>
      <c r="BW30" s="1418"/>
      <c r="BX30" s="1418"/>
      <c r="BY30" s="1418"/>
      <c r="BZ30" s="477"/>
      <c r="CJ30" s="182">
        <v>935000</v>
      </c>
      <c r="CK30" s="888">
        <v>1060.43</v>
      </c>
      <c r="CL30" s="888">
        <v>303.42</v>
      </c>
      <c r="CM30" s="477">
        <f t="shared" si="10"/>
        <v>0.66942999999999997</v>
      </c>
      <c r="CN30" s="477">
        <f t="shared" si="11"/>
        <v>0.71745999999999999</v>
      </c>
      <c r="CO30" s="2614">
        <f t="shared" si="1"/>
        <v>709.88365490000001</v>
      </c>
      <c r="CP30" s="2614">
        <f t="shared" si="2"/>
        <v>217.69171320000001</v>
      </c>
    </row>
    <row r="31" spans="1:94">
      <c r="A31" s="2573">
        <v>875000</v>
      </c>
      <c r="B31" s="2569"/>
      <c r="C31" s="2569"/>
      <c r="D31" s="2569"/>
      <c r="E31" s="2569"/>
      <c r="F31" s="2623"/>
      <c r="G31" s="2569"/>
      <c r="H31" s="2569"/>
      <c r="I31" s="2569">
        <v>46696.010000000017</v>
      </c>
      <c r="J31" s="2569"/>
      <c r="K31" s="2569">
        <v>70940.190000000017</v>
      </c>
      <c r="L31" s="2623">
        <v>117636.20000000004</v>
      </c>
      <c r="M31" s="2569">
        <v>117636.20000000004</v>
      </c>
      <c r="N31" s="2576">
        <f t="shared" si="31"/>
        <v>3</v>
      </c>
      <c r="O31" s="2575">
        <f t="shared" si="12"/>
        <v>0.71040000000000003</v>
      </c>
      <c r="P31" s="2569">
        <f t="shared" si="13"/>
        <v>0</v>
      </c>
      <c r="Q31" s="2569">
        <f t="shared" si="14"/>
        <v>70940.190000000017</v>
      </c>
      <c r="R31" s="2569">
        <f t="shared" si="15"/>
        <v>70940.190000000017</v>
      </c>
      <c r="S31" s="2569">
        <f>-IFERROR(VLOOKUP(A31,'G-3.05,5.02 PF NE Labor'!$BR$33:$CD$40,13,FALSE),0)</f>
        <v>0</v>
      </c>
      <c r="T31" s="2569">
        <f t="shared" si="16"/>
        <v>70940.190000000017</v>
      </c>
      <c r="V31" s="2568">
        <f>VLOOKUP(A31,'G-3.05,5.02 PF NE Labor'!$BH$13:$BN$46,6,FALSE)</f>
        <v>1</v>
      </c>
      <c r="W31" s="2568">
        <f>VLOOKUP(A31,'G-3.05,5.02 PF NE Labor'!$BH$13:$BN$46,7,FALSE)</f>
        <v>0</v>
      </c>
      <c r="Y31" s="2574">
        <f t="shared" si="17"/>
        <v>0</v>
      </c>
      <c r="Z31" s="2574">
        <f t="shared" si="18"/>
        <v>0</v>
      </c>
      <c r="AA31" s="2574">
        <f t="shared" si="19"/>
        <v>0</v>
      </c>
      <c r="AB31" s="2574">
        <f t="shared" si="20"/>
        <v>0</v>
      </c>
      <c r="AC31" s="2574">
        <f t="shared" si="21"/>
        <v>0</v>
      </c>
      <c r="AE31" s="2574">
        <f t="shared" si="22"/>
        <v>70940.190000000017</v>
      </c>
      <c r="AF31" s="2574">
        <f t="shared" si="23"/>
        <v>1822.4534811000005</v>
      </c>
      <c r="AG31" s="2574">
        <f t="shared" si="24"/>
        <v>2910.5057392440008</v>
      </c>
      <c r="AH31" s="2574">
        <f t="shared" si="25"/>
        <v>2312.5714401737137</v>
      </c>
      <c r="AI31" s="2574">
        <f t="shared" si="26"/>
        <v>3119.4288264207098</v>
      </c>
      <c r="AK31" s="2574">
        <f t="shared" si="27"/>
        <v>72762.643481100022</v>
      </c>
      <c r="AL31" s="2574">
        <f t="shared" si="28"/>
        <v>75673.149220344028</v>
      </c>
      <c r="AM31" s="2574">
        <f t="shared" si="29"/>
        <v>75075.214921273742</v>
      </c>
      <c r="AN31" s="2574">
        <f t="shared" si="30"/>
        <v>78792.578046764742</v>
      </c>
      <c r="AR31" s="2594" t="s">
        <v>2313</v>
      </c>
      <c r="AS31" s="2593"/>
      <c r="AT31" s="2592"/>
      <c r="AU31" s="2591">
        <v>0.04</v>
      </c>
      <c r="AV31" s="2592"/>
      <c r="AZ31" s="182">
        <v>591000</v>
      </c>
      <c r="BA31" s="888">
        <v>2511.64</v>
      </c>
      <c r="BB31" s="888">
        <v>548.12000000000012</v>
      </c>
      <c r="BC31" s="888">
        <v>268693.93000000034</v>
      </c>
      <c r="BD31" s="888">
        <v>271753.69000000035</v>
      </c>
      <c r="BE31" s="2603">
        <f t="shared" si="3"/>
        <v>0.98874068646501179</v>
      </c>
      <c r="BF31" s="1144">
        <f t="shared" si="4"/>
        <v>1.1259313534988213E-2</v>
      </c>
      <c r="BH31" s="182">
        <v>902000</v>
      </c>
      <c r="BI31" s="888">
        <v>141977.53999999998</v>
      </c>
      <c r="BJ31" s="888">
        <v>31259.750000000007</v>
      </c>
      <c r="BK31" s="888">
        <v>129669.48999999998</v>
      </c>
      <c r="BL31" s="888">
        <v>302906.77999999997</v>
      </c>
      <c r="BM31" s="2603">
        <f t="shared" si="5"/>
        <v>0.42808381509321114</v>
      </c>
      <c r="BN31" s="1144">
        <f t="shared" si="6"/>
        <v>0.57191618490678886</v>
      </c>
      <c r="BR31" s="1418"/>
      <c r="BS31" s="1418" t="s">
        <v>682</v>
      </c>
      <c r="BT31" s="1418"/>
      <c r="BU31" s="1418"/>
      <c r="BV31" s="2616" t="s">
        <v>2268</v>
      </c>
      <c r="BW31" s="1418" t="s">
        <v>680</v>
      </c>
      <c r="BX31" s="2616" t="s">
        <v>2267</v>
      </c>
      <c r="BY31" s="1418" t="s">
        <v>978</v>
      </c>
      <c r="BZ31" s="477"/>
      <c r="CJ31" s="1489" t="s">
        <v>978</v>
      </c>
      <c r="CK31" s="1490">
        <v>222182.17999999993</v>
      </c>
      <c r="CL31" s="1490">
        <v>44886.159999999982</v>
      </c>
      <c r="CO31" s="888">
        <f>SUM(CO6:CO30)</f>
        <v>146343.62911269994</v>
      </c>
      <c r="CP31" s="888">
        <f>SUM(CP6:CP30)</f>
        <v>31959.438782499994</v>
      </c>
    </row>
    <row r="32" spans="1:94">
      <c r="A32" s="2573">
        <v>876000</v>
      </c>
      <c r="B32" s="2569"/>
      <c r="C32" s="2569"/>
      <c r="D32" s="2569"/>
      <c r="E32" s="2569"/>
      <c r="F32" s="2623"/>
      <c r="G32" s="2569"/>
      <c r="H32" s="2569"/>
      <c r="I32" s="2569">
        <v>9411.6200000000008</v>
      </c>
      <c r="J32" s="2569"/>
      <c r="K32" s="2569">
        <v>4877.17</v>
      </c>
      <c r="L32" s="2623">
        <v>14288.79</v>
      </c>
      <c r="M32" s="2569">
        <v>14288.79</v>
      </c>
      <c r="N32" s="2576">
        <f t="shared" si="31"/>
        <v>3</v>
      </c>
      <c r="O32" s="2575">
        <f t="shared" si="12"/>
        <v>0.71040000000000003</v>
      </c>
      <c r="P32" s="2569">
        <f t="shared" si="13"/>
        <v>0</v>
      </c>
      <c r="Q32" s="2569">
        <f t="shared" si="14"/>
        <v>4877.17</v>
      </c>
      <c r="R32" s="2569">
        <f t="shared" si="15"/>
        <v>4877.17</v>
      </c>
      <c r="S32" s="2569">
        <f>-IFERROR(VLOOKUP(A32,'G-3.05,5.02 PF NE Labor'!$BR$33:$CD$40,13,FALSE),0)</f>
        <v>0</v>
      </c>
      <c r="T32" s="2569">
        <f t="shared" si="16"/>
        <v>4877.17</v>
      </c>
      <c r="V32" s="2568">
        <f>VLOOKUP(A32,'G-3.05,5.02 PF NE Labor'!$BH$13:$BN$46,6,FALSE)</f>
        <v>1</v>
      </c>
      <c r="W32" s="2568">
        <f>VLOOKUP(A32,'G-3.05,5.02 PF NE Labor'!$BH$13:$BN$46,7,FALSE)</f>
        <v>0</v>
      </c>
      <c r="Y32" s="2574">
        <f t="shared" si="17"/>
        <v>0</v>
      </c>
      <c r="Z32" s="2574">
        <f t="shared" si="18"/>
        <v>0</v>
      </c>
      <c r="AA32" s="2574">
        <f t="shared" si="19"/>
        <v>0</v>
      </c>
      <c r="AB32" s="2574">
        <f t="shared" si="20"/>
        <v>0</v>
      </c>
      <c r="AC32" s="2574">
        <f t="shared" si="21"/>
        <v>0</v>
      </c>
      <c r="AE32" s="2574">
        <f t="shared" si="22"/>
        <v>4877.17</v>
      </c>
      <c r="AF32" s="2574">
        <f t="shared" si="23"/>
        <v>125.2944973</v>
      </c>
      <c r="AG32" s="2574">
        <f t="shared" si="24"/>
        <v>200.09857989200003</v>
      </c>
      <c r="AH32" s="2574">
        <f t="shared" si="25"/>
        <v>158.99032763898754</v>
      </c>
      <c r="AI32" s="2574">
        <f t="shared" si="26"/>
        <v>214.46213619323953</v>
      </c>
      <c r="AK32" s="2574">
        <f t="shared" si="27"/>
        <v>5002.4644973000004</v>
      </c>
      <c r="AL32" s="2574">
        <f t="shared" si="28"/>
        <v>5202.5630771920005</v>
      </c>
      <c r="AM32" s="2574">
        <f t="shared" si="29"/>
        <v>5161.4548249389882</v>
      </c>
      <c r="AN32" s="2574">
        <f t="shared" si="30"/>
        <v>5417.02521338524</v>
      </c>
      <c r="AS32" s="2592"/>
      <c r="AT32" s="2592"/>
      <c r="AU32" s="2599"/>
      <c r="AV32" s="2592"/>
      <c r="AZ32" s="182">
        <v>548000</v>
      </c>
      <c r="BA32" s="888"/>
      <c r="BB32" s="888"/>
      <c r="BC32" s="888">
        <v>297469.23999999993</v>
      </c>
      <c r="BD32" s="888">
        <v>297469.23999999993</v>
      </c>
      <c r="BE32" s="2603">
        <f t="shared" si="3"/>
        <v>1</v>
      </c>
      <c r="BF32" s="1144">
        <f t="shared" si="4"/>
        <v>0</v>
      </c>
      <c r="BH32" s="182">
        <v>926100</v>
      </c>
      <c r="BI32" s="888">
        <v>48374.159999999996</v>
      </c>
      <c r="BJ32" s="888">
        <v>6306.8999999999987</v>
      </c>
      <c r="BK32" s="888">
        <v>25126.500000000007</v>
      </c>
      <c r="BL32" s="888">
        <v>79807.56</v>
      </c>
      <c r="BM32" s="2603">
        <f t="shared" si="5"/>
        <v>0.31483859423844068</v>
      </c>
      <c r="BN32" s="1144">
        <f t="shared" si="6"/>
        <v>0.68516140576155937</v>
      </c>
      <c r="BR32" s="1421" t="s">
        <v>1170</v>
      </c>
      <c r="BS32" s="1421" t="s">
        <v>678</v>
      </c>
      <c r="BT32" s="1421" t="s">
        <v>683</v>
      </c>
      <c r="BU32" s="1421" t="s">
        <v>763</v>
      </c>
      <c r="BV32" s="2617"/>
      <c r="BW32" s="1421" t="s">
        <v>678</v>
      </c>
      <c r="BX32" s="2617"/>
      <c r="BY32" s="1421"/>
      <c r="BZ32" s="477"/>
      <c r="CB32" s="477" t="s">
        <v>2339</v>
      </c>
      <c r="CC32" s="477" t="s">
        <v>2266</v>
      </c>
      <c r="CD32" s="477" t="s">
        <v>537</v>
      </c>
    </row>
    <row r="33" spans="1:82" ht="13.5" thickBot="1">
      <c r="A33" s="2573">
        <v>877000</v>
      </c>
      <c r="B33" s="2569"/>
      <c r="C33" s="2569"/>
      <c r="D33" s="2569"/>
      <c r="E33" s="2569"/>
      <c r="F33" s="2623"/>
      <c r="G33" s="2569"/>
      <c r="H33" s="2569"/>
      <c r="I33" s="2569">
        <v>25988.800000000007</v>
      </c>
      <c r="J33" s="2569"/>
      <c r="K33" s="2569">
        <v>40412.270000000011</v>
      </c>
      <c r="L33" s="2623">
        <v>66401.070000000022</v>
      </c>
      <c r="M33" s="2569">
        <v>66401.070000000022</v>
      </c>
      <c r="N33" s="2576">
        <f t="shared" si="31"/>
        <v>3</v>
      </c>
      <c r="O33" s="2575">
        <f t="shared" si="12"/>
        <v>0.71040000000000003</v>
      </c>
      <c r="P33" s="2569">
        <f t="shared" si="13"/>
        <v>0</v>
      </c>
      <c r="Q33" s="2569">
        <f t="shared" si="14"/>
        <v>40412.270000000011</v>
      </c>
      <c r="R33" s="2569">
        <f t="shared" si="15"/>
        <v>40412.270000000011</v>
      </c>
      <c r="S33" s="2569">
        <f>-IFERROR(VLOOKUP(A33,'G-3.05,5.02 PF NE Labor'!$BR$33:$CD$40,13,FALSE),0)</f>
        <v>0</v>
      </c>
      <c r="T33" s="2569">
        <f t="shared" si="16"/>
        <v>40412.270000000011</v>
      </c>
      <c r="V33" s="2568">
        <f>VLOOKUP(A33,'G-3.05,5.02 PF NE Labor'!$BH$13:$BN$46,6,FALSE)</f>
        <v>1</v>
      </c>
      <c r="W33" s="2568">
        <f>VLOOKUP(A33,'G-3.05,5.02 PF NE Labor'!$BH$13:$BN$46,7,FALSE)</f>
        <v>0</v>
      </c>
      <c r="Y33" s="2574">
        <f t="shared" si="17"/>
        <v>0</v>
      </c>
      <c r="Z33" s="2574">
        <f t="shared" si="18"/>
        <v>0</v>
      </c>
      <c r="AA33" s="2574">
        <f t="shared" si="19"/>
        <v>0</v>
      </c>
      <c r="AB33" s="2574">
        <f t="shared" si="20"/>
        <v>0</v>
      </c>
      <c r="AC33" s="2574">
        <f t="shared" si="21"/>
        <v>0</v>
      </c>
      <c r="AE33" s="2574">
        <f t="shared" si="22"/>
        <v>40412.270000000011</v>
      </c>
      <c r="AF33" s="2574">
        <f t="shared" si="23"/>
        <v>1038.1912163000004</v>
      </c>
      <c r="AG33" s="2574">
        <f t="shared" si="24"/>
        <v>1658.0184486520006</v>
      </c>
      <c r="AH33" s="2574">
        <f t="shared" si="25"/>
        <v>1317.3951385609337</v>
      </c>
      <c r="AI33" s="2574">
        <f t="shared" si="26"/>
        <v>1777.0349921405179</v>
      </c>
      <c r="AK33" s="2574">
        <f t="shared" si="27"/>
        <v>41450.461216300013</v>
      </c>
      <c r="AL33" s="2574">
        <f t="shared" si="28"/>
        <v>43108.479664952014</v>
      </c>
      <c r="AM33" s="2574">
        <f t="shared" si="29"/>
        <v>42767.856354860945</v>
      </c>
      <c r="AN33" s="2574">
        <f t="shared" si="30"/>
        <v>44885.514657092535</v>
      </c>
      <c r="AR33" s="2582" t="s">
        <v>2312</v>
      </c>
      <c r="AS33" s="2592"/>
      <c r="AT33" s="2592"/>
      <c r="AU33" s="2598">
        <f>AU31</f>
        <v>0.04</v>
      </c>
      <c r="AV33" s="2592"/>
      <c r="AZ33" s="182">
        <v>505000</v>
      </c>
      <c r="BA33" s="888">
        <v>6991.49</v>
      </c>
      <c r="BB33" s="888"/>
      <c r="BC33" s="888">
        <v>562327.59000000008</v>
      </c>
      <c r="BD33" s="888">
        <v>569319.08000000007</v>
      </c>
      <c r="BE33" s="2603">
        <f t="shared" si="3"/>
        <v>0.98771955789712862</v>
      </c>
      <c r="BF33" s="1144">
        <f t="shared" si="4"/>
        <v>1.2280442102871381E-2</v>
      </c>
      <c r="BH33" s="182">
        <v>875000</v>
      </c>
      <c r="BI33" s="888"/>
      <c r="BJ33" s="888"/>
      <c r="BK33" s="888">
        <v>103754.79</v>
      </c>
      <c r="BL33" s="888">
        <v>103754.79</v>
      </c>
      <c r="BM33" s="2603">
        <f t="shared" si="5"/>
        <v>1</v>
      </c>
      <c r="BN33" s="1144">
        <f t="shared" si="6"/>
        <v>0</v>
      </c>
      <c r="BR33" s="182">
        <v>813000</v>
      </c>
      <c r="BS33" s="1210"/>
      <c r="BT33" s="1210"/>
      <c r="BU33" s="1210"/>
      <c r="BV33" s="2618"/>
      <c r="BW33" s="1210">
        <v>132561.86000000002</v>
      </c>
      <c r="BX33" s="2618">
        <v>132561.86000000002</v>
      </c>
      <c r="BY33" s="1210">
        <v>132561.86000000002</v>
      </c>
      <c r="BZ33" s="2576">
        <f>'G-3.05,5.02 PF NE Labor'!$B$72</f>
        <v>10</v>
      </c>
      <c r="CA33" s="2612">
        <v>0.67015999999999998</v>
      </c>
      <c r="CB33" s="1210">
        <f t="shared" ref="CB33:CB40" si="32">(CA33*BS33)+(CA33*BW33)</f>
        <v>88837.656097600004</v>
      </c>
      <c r="CC33" s="1210">
        <f t="shared" ref="CC33:CC40" si="33">BU33</f>
        <v>0</v>
      </c>
      <c r="CD33" s="1210">
        <f t="shared" ref="CD33:CD40" si="34">SUM(CB33:CC33)</f>
        <v>88837.656097600004</v>
      </c>
    </row>
    <row r="34" spans="1:82" ht="13.5" thickTop="1">
      <c r="A34" s="2573">
        <v>878000</v>
      </c>
      <c r="B34" s="2569"/>
      <c r="C34" s="2569"/>
      <c r="D34" s="2569"/>
      <c r="E34" s="2569"/>
      <c r="F34" s="2623"/>
      <c r="G34" s="2569"/>
      <c r="H34" s="2569"/>
      <c r="I34" s="2569">
        <v>2643.4200000000005</v>
      </c>
      <c r="J34" s="2569"/>
      <c r="K34" s="2569">
        <v>4774.5700000000015</v>
      </c>
      <c r="L34" s="2623">
        <v>7417.9900000000016</v>
      </c>
      <c r="M34" s="2569">
        <v>7417.9900000000016</v>
      </c>
      <c r="N34" s="2576">
        <f t="shared" si="31"/>
        <v>3</v>
      </c>
      <c r="O34" s="2575">
        <f t="shared" si="12"/>
        <v>0.71040000000000003</v>
      </c>
      <c r="P34" s="2569">
        <f t="shared" si="13"/>
        <v>0</v>
      </c>
      <c r="Q34" s="2569">
        <f t="shared" si="14"/>
        <v>4774.5700000000015</v>
      </c>
      <c r="R34" s="2569">
        <f t="shared" si="15"/>
        <v>4774.5700000000015</v>
      </c>
      <c r="S34" s="2569">
        <f>-IFERROR(VLOOKUP(A34,'G-3.05,5.02 PF NE Labor'!$BR$33:$CD$40,13,FALSE),0)</f>
        <v>0</v>
      </c>
      <c r="T34" s="2569">
        <f t="shared" si="16"/>
        <v>4774.5700000000015</v>
      </c>
      <c r="V34" s="2568">
        <f>VLOOKUP(A34,'G-3.05,5.02 PF NE Labor'!$BH$13:$BN$46,6,FALSE)</f>
        <v>0.71762961464729924</v>
      </c>
      <c r="W34" s="2568">
        <f>VLOOKUP(A34,'G-3.05,5.02 PF NE Labor'!$BH$13:$BN$46,7,FALSE)</f>
        <v>0.28237038535270076</v>
      </c>
      <c r="Y34" s="2574">
        <f t="shared" si="17"/>
        <v>1348.1971707934449</v>
      </c>
      <c r="Z34" s="2574">
        <f t="shared" si="18"/>
        <v>53.873958944906065</v>
      </c>
      <c r="AA34" s="2574">
        <f t="shared" si="19"/>
        <v>56.082845189534041</v>
      </c>
      <c r="AB34" s="2574">
        <f t="shared" si="20"/>
        <v>48.877321239582706</v>
      </c>
      <c r="AC34" s="2574">
        <f t="shared" si="21"/>
        <v>60.281251846698709</v>
      </c>
      <c r="AE34" s="2574">
        <f t="shared" si="22"/>
        <v>3426.3728292065566</v>
      </c>
      <c r="AF34" s="2574">
        <f t="shared" si="23"/>
        <v>88.023517982316449</v>
      </c>
      <c r="AG34" s="2574">
        <f t="shared" si="24"/>
        <v>140.57585388755493</v>
      </c>
      <c r="AH34" s="2574">
        <f t="shared" si="25"/>
        <v>111.69595046489565</v>
      </c>
      <c r="AI34" s="2574">
        <f t="shared" si="26"/>
        <v>150.66672606165295</v>
      </c>
      <c r="AK34" s="2574">
        <f t="shared" si="27"/>
        <v>4916.4674769272242</v>
      </c>
      <c r="AL34" s="2574">
        <f t="shared" si="28"/>
        <v>5113.1261760043135</v>
      </c>
      <c r="AM34" s="2574">
        <f t="shared" si="29"/>
        <v>5077.0407486317026</v>
      </c>
      <c r="AN34" s="2574">
        <f t="shared" si="30"/>
        <v>5324.0741539126657</v>
      </c>
      <c r="AR34" s="2582" t="s">
        <v>2311</v>
      </c>
      <c r="AU34" s="2590"/>
      <c r="AZ34" s="182">
        <v>501200</v>
      </c>
      <c r="BA34" s="888">
        <v>52872.469999999994</v>
      </c>
      <c r="BB34" s="888"/>
      <c r="BC34" s="888">
        <v>848458.9099999998</v>
      </c>
      <c r="BD34" s="888">
        <v>901331.37999999977</v>
      </c>
      <c r="BE34" s="2603">
        <f t="shared" si="3"/>
        <v>0.94133958811020202</v>
      </c>
      <c r="BF34" s="1144">
        <f t="shared" si="4"/>
        <v>5.8660411889797981E-2</v>
      </c>
      <c r="BH34" s="182">
        <v>894000</v>
      </c>
      <c r="BI34" s="888"/>
      <c r="BJ34" s="888"/>
      <c r="BK34" s="888">
        <v>87623.67</v>
      </c>
      <c r="BL34" s="888">
        <v>87623.67</v>
      </c>
      <c r="BM34" s="2603">
        <f t="shared" si="5"/>
        <v>1</v>
      </c>
      <c r="BN34" s="1144">
        <f t="shared" si="6"/>
        <v>0</v>
      </c>
      <c r="BR34" s="182">
        <v>870000</v>
      </c>
      <c r="BS34" s="1210"/>
      <c r="BT34" s="1210"/>
      <c r="BU34" s="1210"/>
      <c r="BV34" s="2618"/>
      <c r="BW34" s="1210">
        <v>30171.559999999998</v>
      </c>
      <c r="BX34" s="2618">
        <v>30171.559999999998</v>
      </c>
      <c r="BY34" s="1210">
        <v>30171.559999999998</v>
      </c>
      <c r="BZ34" s="2576">
        <f>'G-3.05,5.02 PF NE Labor'!$B$70</f>
        <v>3</v>
      </c>
      <c r="CA34" s="2612">
        <v>0.71040000000000003</v>
      </c>
      <c r="CB34" s="1210">
        <f t="shared" si="32"/>
        <v>21433.876224</v>
      </c>
      <c r="CC34" s="1210">
        <f t="shared" si="33"/>
        <v>0</v>
      </c>
      <c r="CD34" s="1210">
        <f t="shared" si="34"/>
        <v>21433.876224</v>
      </c>
    </row>
    <row r="35" spans="1:82">
      <c r="A35" s="2573">
        <v>879000</v>
      </c>
      <c r="B35" s="2569"/>
      <c r="C35" s="2569"/>
      <c r="D35" s="2569"/>
      <c r="E35" s="2569"/>
      <c r="F35" s="2623"/>
      <c r="G35" s="2569">
        <v>89475.060000000041</v>
      </c>
      <c r="H35" s="2569"/>
      <c r="I35" s="2569">
        <v>585405.61000000045</v>
      </c>
      <c r="J35" s="2569"/>
      <c r="K35" s="2569">
        <v>1095740.940000002</v>
      </c>
      <c r="L35" s="2623">
        <v>1770621.6100000027</v>
      </c>
      <c r="M35" s="2569">
        <v>1770621.6100000027</v>
      </c>
      <c r="N35" s="2576">
        <f t="shared" si="31"/>
        <v>3</v>
      </c>
      <c r="O35" s="2575">
        <f t="shared" si="12"/>
        <v>0.71040000000000003</v>
      </c>
      <c r="P35" s="2569">
        <f t="shared" si="13"/>
        <v>63563.082624000032</v>
      </c>
      <c r="Q35" s="2569">
        <f t="shared" si="14"/>
        <v>1095740.940000002</v>
      </c>
      <c r="R35" s="2569">
        <f t="shared" si="15"/>
        <v>1159304.0226240021</v>
      </c>
      <c r="S35" s="2569">
        <f>-IFERROR(VLOOKUP(A35,'G-3.05,5.02 PF NE Labor'!$BR$33:$CD$40,13,FALSE),0)</f>
        <v>0</v>
      </c>
      <c r="T35" s="2569">
        <f t="shared" si="16"/>
        <v>1159304.0226240021</v>
      </c>
      <c r="V35" s="2568">
        <f>VLOOKUP(A35,'G-3.05,5.02 PF NE Labor'!$BH$13:$BN$46,6,FALSE)</f>
        <v>0.95249611256214206</v>
      </c>
      <c r="W35" s="2568">
        <f>VLOOKUP(A35,'G-3.05,5.02 PF NE Labor'!$BH$13:$BN$46,7,FALSE)</f>
        <v>4.7503887437857939E-2</v>
      </c>
      <c r="Y35" s="2574">
        <f t="shared" si="17"/>
        <v>55071.447796986511</v>
      </c>
      <c r="Z35" s="2574">
        <f t="shared" si="18"/>
        <v>2200.6550539675809</v>
      </c>
      <c r="AA35" s="2574">
        <f t="shared" si="19"/>
        <v>2290.8841140381637</v>
      </c>
      <c r="AB35" s="2574">
        <f t="shared" si="20"/>
        <v>1996.5513230665404</v>
      </c>
      <c r="AC35" s="2574">
        <f t="shared" si="21"/>
        <v>2462.3815315223519</v>
      </c>
      <c r="AE35" s="2574">
        <f t="shared" si="22"/>
        <v>1104232.5748270156</v>
      </c>
      <c r="AF35" s="2574">
        <f t="shared" si="23"/>
        <v>28367.734847306034</v>
      </c>
      <c r="AG35" s="2574">
        <f t="shared" si="24"/>
        <v>45304.01238697287</v>
      </c>
      <c r="AH35" s="2574">
        <f t="shared" si="25"/>
        <v>35996.756082193162</v>
      </c>
      <c r="AI35" s="2574">
        <f t="shared" si="26"/>
        <v>48556.04312573951</v>
      </c>
      <c r="AK35" s="2574">
        <f t="shared" si="27"/>
        <v>1189872.4125252757</v>
      </c>
      <c r="AL35" s="2574">
        <f t="shared" si="28"/>
        <v>1237467.3090262867</v>
      </c>
      <c r="AM35" s="2574">
        <f t="shared" si="29"/>
        <v>1227865.7199305354</v>
      </c>
      <c r="AN35" s="2574">
        <f t="shared" si="30"/>
        <v>1288485.7336835486</v>
      </c>
      <c r="AT35" s="2589" t="str">
        <f>"365/365="</f>
        <v>365/365=</v>
      </c>
      <c r="AU35" s="2588">
        <f>ROUND(365/365,3)</f>
        <v>1</v>
      </c>
      <c r="AZ35" s="182">
        <v>921000</v>
      </c>
      <c r="BA35" s="888">
        <v>104658.00000000067</v>
      </c>
      <c r="BB35" s="888">
        <v>9196.2599999999948</v>
      </c>
      <c r="BC35" s="888">
        <v>50857.359999999666</v>
      </c>
      <c r="BD35" s="888">
        <v>164711.62000000034</v>
      </c>
      <c r="BE35" s="2603">
        <f t="shared" si="3"/>
        <v>0.30876607248474369</v>
      </c>
      <c r="BF35" s="1144">
        <f t="shared" si="4"/>
        <v>0.69123392751525636</v>
      </c>
      <c r="BH35" s="182">
        <v>935000</v>
      </c>
      <c r="BI35" s="888">
        <v>61765.500000000022</v>
      </c>
      <c r="BJ35" s="888">
        <v>37113.089999999997</v>
      </c>
      <c r="BK35" s="888">
        <v>187724.69999999992</v>
      </c>
      <c r="BL35" s="888">
        <v>286603.28999999992</v>
      </c>
      <c r="BM35" s="2603">
        <f t="shared" si="5"/>
        <v>0.65499841261417469</v>
      </c>
      <c r="BN35" s="1144">
        <f t="shared" si="6"/>
        <v>0.34500158738582531</v>
      </c>
      <c r="BR35" s="182">
        <v>880000</v>
      </c>
      <c r="BS35" s="1210"/>
      <c r="BT35" s="1210"/>
      <c r="BU35" s="1210"/>
      <c r="BV35" s="2618"/>
      <c r="BW35" s="1210">
        <v>415.7</v>
      </c>
      <c r="BX35" s="2618">
        <v>415.7</v>
      </c>
      <c r="BY35" s="1210">
        <v>415.7</v>
      </c>
      <c r="BZ35" s="2576">
        <v>3</v>
      </c>
      <c r="CA35" s="2612">
        <v>0.71040000000000003</v>
      </c>
      <c r="CB35" s="1210">
        <f t="shared" si="32"/>
        <v>295.31328000000002</v>
      </c>
      <c r="CC35" s="1210">
        <f t="shared" si="33"/>
        <v>0</v>
      </c>
      <c r="CD35" s="1210">
        <f t="shared" si="34"/>
        <v>295.31328000000002</v>
      </c>
    </row>
    <row r="36" spans="1:82" ht="13.5" thickBot="1">
      <c r="A36" s="2573">
        <v>880000</v>
      </c>
      <c r="B36" s="2569"/>
      <c r="C36" s="2569"/>
      <c r="D36" s="2569"/>
      <c r="E36" s="2569"/>
      <c r="F36" s="2623"/>
      <c r="G36" s="2569">
        <v>353713.54999999993</v>
      </c>
      <c r="H36" s="2569">
        <v>84226.98</v>
      </c>
      <c r="I36" s="2569">
        <v>277531.25000000012</v>
      </c>
      <c r="J36" s="2569"/>
      <c r="K36" s="2569">
        <v>1122525.8100000028</v>
      </c>
      <c r="L36" s="2623">
        <v>1837997.5900000029</v>
      </c>
      <c r="M36" s="2569">
        <v>1837997.5900000029</v>
      </c>
      <c r="N36" s="2576">
        <f t="shared" si="31"/>
        <v>3</v>
      </c>
      <c r="O36" s="2575">
        <f t="shared" si="12"/>
        <v>0.71040000000000003</v>
      </c>
      <c r="P36" s="2569">
        <f t="shared" si="13"/>
        <v>311112.95251199999</v>
      </c>
      <c r="Q36" s="2569">
        <f t="shared" si="14"/>
        <v>1122525.8100000028</v>
      </c>
      <c r="R36" s="2569">
        <f t="shared" si="15"/>
        <v>1433638.7625120028</v>
      </c>
      <c r="S36" s="2569">
        <f>-IFERROR(VLOOKUP(A36,'G-3.05,5.02 PF NE Labor'!$BR$33:$CD$40,13,FALSE),0)</f>
        <v>-295.31328000000002</v>
      </c>
      <c r="T36" s="2569">
        <f t="shared" si="16"/>
        <v>1433343.449232003</v>
      </c>
      <c r="V36" s="2568">
        <f>VLOOKUP(A36,'G-3.05,5.02 PF NE Labor'!$BH$13:$BN$46,6,FALSE)</f>
        <v>0.73611021674296606</v>
      </c>
      <c r="W36" s="2568">
        <f>VLOOKUP(A36,'G-3.05,5.02 PF NE Labor'!$BH$13:$BN$46,7,FALSE)</f>
        <v>0.26388978325703394</v>
      </c>
      <c r="Y36" s="2574">
        <f t="shared" si="17"/>
        <v>378244.69215072267</v>
      </c>
      <c r="Z36" s="2574">
        <f t="shared" si="18"/>
        <v>15114.657898342879</v>
      </c>
      <c r="AA36" s="2574">
        <f t="shared" si="19"/>
        <v>15734.374001962622</v>
      </c>
      <c r="AB36" s="2574">
        <f t="shared" si="20"/>
        <v>13712.821630190463</v>
      </c>
      <c r="AC36" s="2574">
        <f t="shared" si="21"/>
        <v>16912.261827248745</v>
      </c>
      <c r="AE36" s="2574">
        <f t="shared" si="22"/>
        <v>1055098.7570812802</v>
      </c>
      <c r="AF36" s="2574">
        <f t="shared" si="23"/>
        <v>27105.48706941809</v>
      </c>
      <c r="AG36" s="2574">
        <f t="shared" si="24"/>
        <v>43288.169766027939</v>
      </c>
      <c r="AH36" s="2574">
        <f t="shared" si="25"/>
        <v>34395.048169295158</v>
      </c>
      <c r="AI36" s="2574">
        <f t="shared" si="26"/>
        <v>46395.498483440861</v>
      </c>
      <c r="AK36" s="2574">
        <f t="shared" si="27"/>
        <v>1475563.5941997641</v>
      </c>
      <c r="AL36" s="2574">
        <f t="shared" si="28"/>
        <v>1534586.1379677546</v>
      </c>
      <c r="AM36" s="2574">
        <f t="shared" si="29"/>
        <v>1523671.4639992495</v>
      </c>
      <c r="AN36" s="2574">
        <f t="shared" si="30"/>
        <v>1597893.8982784443</v>
      </c>
      <c r="AR36" s="2584" t="s">
        <v>2310</v>
      </c>
      <c r="AU36" s="2586">
        <f>ROUND(AU33*AU35,5)</f>
        <v>0.04</v>
      </c>
      <c r="AV36" s="2592"/>
      <c r="AZ36" s="182">
        <v>544000</v>
      </c>
      <c r="BA36" s="888">
        <v>125797.66000000002</v>
      </c>
      <c r="BB36" s="888">
        <v>37107.33</v>
      </c>
      <c r="BC36" s="888">
        <v>1724045.6199999992</v>
      </c>
      <c r="BD36" s="888">
        <v>1886950.6099999992</v>
      </c>
      <c r="BE36" s="2603">
        <f t="shared" si="3"/>
        <v>0.91366759196733827</v>
      </c>
      <c r="BF36" s="1144">
        <f t="shared" si="4"/>
        <v>8.6332408032661734E-2</v>
      </c>
      <c r="BH36" s="182">
        <v>877000</v>
      </c>
      <c r="BI36" s="888"/>
      <c r="BJ36" s="888"/>
      <c r="BK36" s="888">
        <v>58969.509999999995</v>
      </c>
      <c r="BL36" s="888">
        <v>58969.509999999995</v>
      </c>
      <c r="BM36" s="2603">
        <f t="shared" si="5"/>
        <v>1</v>
      </c>
      <c r="BN36" s="1144">
        <f t="shared" si="6"/>
        <v>0</v>
      </c>
      <c r="BR36" s="182">
        <v>920000</v>
      </c>
      <c r="BS36" s="1210">
        <v>632914.89999999991</v>
      </c>
      <c r="BT36" s="1210"/>
      <c r="BU36" s="1210"/>
      <c r="BV36" s="2618">
        <v>632914.89999999991</v>
      </c>
      <c r="BW36" s="1210"/>
      <c r="BX36" s="2618"/>
      <c r="BY36" s="1210">
        <v>632914.89999999991</v>
      </c>
      <c r="BZ36" s="2576">
        <f>'G-3.05,5.02 PF NE Labor'!$B$71</f>
        <v>4</v>
      </c>
      <c r="CA36" s="2612">
        <v>0.71745999999999999</v>
      </c>
      <c r="CB36" s="1210">
        <f t="shared" si="32"/>
        <v>454091.1241539999</v>
      </c>
      <c r="CC36" s="1210">
        <f t="shared" si="33"/>
        <v>0</v>
      </c>
      <c r="CD36" s="1210">
        <f t="shared" si="34"/>
        <v>454091.1241539999</v>
      </c>
    </row>
    <row r="37" spans="1:82" ht="13.5" thickTop="1">
      <c r="A37" s="2573">
        <v>885000</v>
      </c>
      <c r="B37" s="2569"/>
      <c r="C37" s="2569"/>
      <c r="D37" s="2569"/>
      <c r="E37" s="2569"/>
      <c r="F37" s="2623"/>
      <c r="G37" s="2569"/>
      <c r="H37" s="2569"/>
      <c r="I37" s="2569">
        <v>12876.270000000002</v>
      </c>
      <c r="J37" s="2569"/>
      <c r="K37" s="2569">
        <v>7619.0300000000007</v>
      </c>
      <c r="L37" s="2623">
        <v>20495.300000000003</v>
      </c>
      <c r="M37" s="2569">
        <v>20495.300000000003</v>
      </c>
      <c r="N37" s="2576">
        <f t="shared" si="31"/>
        <v>3</v>
      </c>
      <c r="O37" s="2575">
        <f t="shared" si="12"/>
        <v>0.71040000000000003</v>
      </c>
      <c r="P37" s="2569">
        <f t="shared" si="13"/>
        <v>0</v>
      </c>
      <c r="Q37" s="2569">
        <f t="shared" si="14"/>
        <v>7619.0300000000007</v>
      </c>
      <c r="R37" s="2569">
        <f t="shared" si="15"/>
        <v>7619.0300000000007</v>
      </c>
      <c r="S37" s="2569">
        <f>-IFERROR(VLOOKUP(A37,'G-3.05,5.02 PF NE Labor'!$BR$33:$CD$40,13,FALSE),0)</f>
        <v>0</v>
      </c>
      <c r="T37" s="2569">
        <f t="shared" si="16"/>
        <v>7619.0300000000007</v>
      </c>
      <c r="V37" s="2568">
        <f>VLOOKUP(A37,'G-3.05,5.02 PF NE Labor'!$BH$13:$BN$46,6,FALSE)</f>
        <v>0.66724327926704963</v>
      </c>
      <c r="W37" s="2568">
        <f>VLOOKUP(A37,'G-3.05,5.02 PF NE Labor'!$BH$13:$BN$46,7,FALSE)</f>
        <v>0.33275672073295037</v>
      </c>
      <c r="Y37" s="2574">
        <f t="shared" si="17"/>
        <v>2535.2834379659712</v>
      </c>
      <c r="Z37" s="2574">
        <f t="shared" si="18"/>
        <v>101.30992618112022</v>
      </c>
      <c r="AA37" s="2574">
        <f t="shared" si="19"/>
        <v>105.46373456588367</v>
      </c>
      <c r="AB37" s="2574">
        <f t="shared" si="20"/>
        <v>91.913753948858925</v>
      </c>
      <c r="AC37" s="2574">
        <f t="shared" si="21"/>
        <v>113.35883410647335</v>
      </c>
      <c r="AE37" s="2574">
        <f t="shared" si="22"/>
        <v>5083.7465620340299</v>
      </c>
      <c r="AF37" s="2574">
        <f t="shared" si="23"/>
        <v>130.60144917865424</v>
      </c>
      <c r="AG37" s="2574">
        <f t="shared" si="24"/>
        <v>208.57392044850738</v>
      </c>
      <c r="AH37" s="2574">
        <f t="shared" si="25"/>
        <v>165.72449423156601</v>
      </c>
      <c r="AI37" s="2574">
        <f t="shared" si="26"/>
        <v>223.5458570357103</v>
      </c>
      <c r="AK37" s="2574">
        <f t="shared" si="27"/>
        <v>7850.9413753597764</v>
      </c>
      <c r="AL37" s="2574">
        <f t="shared" si="28"/>
        <v>8164.9790303741675</v>
      </c>
      <c r="AM37" s="2574">
        <f t="shared" si="29"/>
        <v>8108.5796235402013</v>
      </c>
      <c r="AN37" s="2574">
        <f t="shared" si="30"/>
        <v>8501.8837215163512</v>
      </c>
      <c r="AZ37" s="182">
        <v>557000</v>
      </c>
      <c r="BA37" s="888">
        <v>2886244.4400000004</v>
      </c>
      <c r="BB37" s="888">
        <v>1210777.1899999997</v>
      </c>
      <c r="BC37" s="888">
        <v>-505.71</v>
      </c>
      <c r="BD37" s="888">
        <v>4096515.92</v>
      </c>
      <c r="BE37" s="2603">
        <f t="shared" si="3"/>
        <v>-1.2344880622360672E-4</v>
      </c>
      <c r="BF37" s="1144">
        <f t="shared" si="4"/>
        <v>1.0001234488062236</v>
      </c>
      <c r="BH37" s="182">
        <v>889000</v>
      </c>
      <c r="BI37" s="888">
        <v>105.98</v>
      </c>
      <c r="BJ37" s="888">
        <v>210.43</v>
      </c>
      <c r="BK37" s="888">
        <v>135680.95999999996</v>
      </c>
      <c r="BL37" s="888">
        <v>135997.36999999997</v>
      </c>
      <c r="BM37" s="2603">
        <f t="shared" si="5"/>
        <v>0.99767341089022532</v>
      </c>
      <c r="BN37" s="1144">
        <f t="shared" si="6"/>
        <v>2.3265891097746794E-3</v>
      </c>
      <c r="BR37" s="182">
        <v>921000</v>
      </c>
      <c r="BS37" s="1210">
        <v>495.54000000000025</v>
      </c>
      <c r="BT37" s="1210"/>
      <c r="BU37" s="1210"/>
      <c r="BV37" s="2618">
        <v>495.54000000000025</v>
      </c>
      <c r="BW37" s="1210"/>
      <c r="BX37" s="2618"/>
      <c r="BY37" s="1210">
        <v>495.54000000000025</v>
      </c>
      <c r="BZ37" s="2576">
        <f>'G-3.05,5.02 PF NE Labor'!$B$71</f>
        <v>4</v>
      </c>
      <c r="CA37" s="2612">
        <v>0.71745999999999999</v>
      </c>
      <c r="CB37" s="1210">
        <f t="shared" si="32"/>
        <v>355.53012840000019</v>
      </c>
      <c r="CC37" s="1210">
        <f t="shared" si="33"/>
        <v>0</v>
      </c>
      <c r="CD37" s="1210">
        <f t="shared" si="34"/>
        <v>355.53012840000019</v>
      </c>
    </row>
    <row r="38" spans="1:82">
      <c r="A38" s="2573">
        <v>887000</v>
      </c>
      <c r="B38" s="2569"/>
      <c r="C38" s="2569"/>
      <c r="D38" s="2569"/>
      <c r="E38" s="2569"/>
      <c r="F38" s="2623"/>
      <c r="G38" s="2569"/>
      <c r="H38" s="2569"/>
      <c r="I38" s="2569">
        <v>168484.73</v>
      </c>
      <c r="J38" s="2569"/>
      <c r="K38" s="2569">
        <v>567879.31000000157</v>
      </c>
      <c r="L38" s="2623">
        <v>736364.04000000155</v>
      </c>
      <c r="M38" s="2569">
        <v>736364.04000000155</v>
      </c>
      <c r="N38" s="2576">
        <f t="shared" si="31"/>
        <v>3</v>
      </c>
      <c r="O38" s="2575">
        <f t="shared" si="12"/>
        <v>0.71040000000000003</v>
      </c>
      <c r="P38" s="2569">
        <f t="shared" si="13"/>
        <v>0</v>
      </c>
      <c r="Q38" s="2569">
        <f t="shared" si="14"/>
        <v>567879.31000000157</v>
      </c>
      <c r="R38" s="2569">
        <f t="shared" si="15"/>
        <v>567879.31000000157</v>
      </c>
      <c r="S38" s="2569">
        <f>-IFERROR(VLOOKUP(A38,'G-3.05,5.02 PF NE Labor'!$BR$33:$CD$40,13,FALSE),0)</f>
        <v>0</v>
      </c>
      <c r="T38" s="2569">
        <f t="shared" si="16"/>
        <v>567879.31000000157</v>
      </c>
      <c r="V38" s="2568">
        <f>VLOOKUP(A38,'G-3.05,5.02 PF NE Labor'!$BH$13:$BN$46,6,FALSE)</f>
        <v>0.93134703995222501</v>
      </c>
      <c r="W38" s="2568">
        <f>VLOOKUP(A38,'G-3.05,5.02 PF NE Labor'!$BH$13:$BN$46,7,FALSE)</f>
        <v>6.8652960047774991E-2</v>
      </c>
      <c r="Y38" s="2574">
        <f t="shared" si="17"/>
        <v>38986.595581388137</v>
      </c>
      <c r="Z38" s="2574">
        <f t="shared" si="18"/>
        <v>1557.90435943227</v>
      </c>
      <c r="AA38" s="2574">
        <f t="shared" si="19"/>
        <v>1621.7799976328165</v>
      </c>
      <c r="AB38" s="2574">
        <f t="shared" si="20"/>
        <v>1413.4137035369522</v>
      </c>
      <c r="AC38" s="2574">
        <f t="shared" si="21"/>
        <v>1743.1877456796071</v>
      </c>
      <c r="AE38" s="2574">
        <f t="shared" si="22"/>
        <v>528892.71441861347</v>
      </c>
      <c r="AF38" s="2574">
        <f t="shared" si="23"/>
        <v>13587.253833414181</v>
      </c>
      <c r="AG38" s="2574">
        <f t="shared" si="24"/>
        <v>21699.198730081105</v>
      </c>
      <c r="AH38" s="2574">
        <f t="shared" si="25"/>
        <v>17241.315342973245</v>
      </c>
      <c r="AI38" s="2574">
        <f t="shared" si="26"/>
        <v>23256.819293003278</v>
      </c>
      <c r="AK38" s="2574">
        <f t="shared" si="27"/>
        <v>583024.46819284803</v>
      </c>
      <c r="AL38" s="2574">
        <f t="shared" si="28"/>
        <v>606345.44692056195</v>
      </c>
      <c r="AM38" s="2574">
        <f t="shared" si="29"/>
        <v>601679.19723935821</v>
      </c>
      <c r="AN38" s="2574">
        <f t="shared" si="30"/>
        <v>631345.45395924489</v>
      </c>
      <c r="AR38" s="2594" t="s">
        <v>2309</v>
      </c>
      <c r="AZ38" s="182">
        <v>535000</v>
      </c>
      <c r="BA38" s="888">
        <v>1397483.0400000005</v>
      </c>
      <c r="BB38" s="888">
        <v>154724.55000000002</v>
      </c>
      <c r="BC38" s="888">
        <v>2526.5500000000002</v>
      </c>
      <c r="BD38" s="888">
        <v>1554734.1400000006</v>
      </c>
      <c r="BE38" s="2603">
        <f t="shared" si="3"/>
        <v>1.6250688365278961E-3</v>
      </c>
      <c r="BF38" s="1144">
        <f t="shared" si="4"/>
        <v>0.99837493116347209</v>
      </c>
      <c r="BH38" s="182">
        <v>909000</v>
      </c>
      <c r="BI38" s="888">
        <v>16805.75</v>
      </c>
      <c r="BJ38" s="888"/>
      <c r="BK38" s="888"/>
      <c r="BL38" s="888">
        <v>16805.75</v>
      </c>
      <c r="BM38" s="2603">
        <f t="shared" si="5"/>
        <v>0</v>
      </c>
      <c r="BN38" s="1144">
        <f t="shared" si="6"/>
        <v>1</v>
      </c>
      <c r="BR38" s="182">
        <v>926100</v>
      </c>
      <c r="BS38" s="1210">
        <v>327.35000000000002</v>
      </c>
      <c r="BT38" s="1210"/>
      <c r="BU38" s="1210"/>
      <c r="BV38" s="2618">
        <v>327.35000000000002</v>
      </c>
      <c r="BW38" s="1210"/>
      <c r="BX38" s="2618"/>
      <c r="BY38" s="1210">
        <v>327.35000000000002</v>
      </c>
      <c r="BZ38" s="2576">
        <f>'G-3.05,5.02 PF NE Labor'!$B$71</f>
        <v>4</v>
      </c>
      <c r="CA38" s="2612">
        <v>0.71745999999999999</v>
      </c>
      <c r="CB38" s="1210">
        <f t="shared" si="32"/>
        <v>234.86053100000001</v>
      </c>
      <c r="CC38" s="1210">
        <f t="shared" si="33"/>
        <v>0</v>
      </c>
      <c r="CD38" s="1210">
        <f t="shared" si="34"/>
        <v>234.86053100000001</v>
      </c>
    </row>
    <row r="39" spans="1:82">
      <c r="A39" s="2573">
        <v>889000</v>
      </c>
      <c r="B39" s="2569"/>
      <c r="C39" s="2569"/>
      <c r="D39" s="2569"/>
      <c r="E39" s="2569"/>
      <c r="F39" s="2623"/>
      <c r="G39" s="2569">
        <v>24102.520000000008</v>
      </c>
      <c r="H39" s="2569"/>
      <c r="I39" s="2569">
        <v>27521.649999999998</v>
      </c>
      <c r="J39" s="2569"/>
      <c r="K39" s="2569">
        <v>104201.6099999999</v>
      </c>
      <c r="L39" s="2623">
        <v>155825.77999999991</v>
      </c>
      <c r="M39" s="2569">
        <v>155825.77999999991</v>
      </c>
      <c r="N39" s="2576">
        <f t="shared" si="31"/>
        <v>3</v>
      </c>
      <c r="O39" s="2575">
        <f t="shared" si="12"/>
        <v>0.71040000000000003</v>
      </c>
      <c r="P39" s="2569">
        <f t="shared" si="13"/>
        <v>17122.430208000005</v>
      </c>
      <c r="Q39" s="2569">
        <f t="shared" si="14"/>
        <v>104201.6099999999</v>
      </c>
      <c r="R39" s="2569">
        <f t="shared" si="15"/>
        <v>121324.0402079999</v>
      </c>
      <c r="S39" s="2569">
        <f>-IFERROR(VLOOKUP(A39,'G-3.05,5.02 PF NE Labor'!$BR$33:$CD$40,13,FALSE),0)</f>
        <v>0</v>
      </c>
      <c r="T39" s="2569">
        <f t="shared" si="16"/>
        <v>121324.0402079999</v>
      </c>
      <c r="V39" s="2568">
        <f>VLOOKUP(A39,'G-3.05,5.02 PF NE Labor'!$BH$13:$BN$46,6,FALSE)</f>
        <v>0.99767341089022532</v>
      </c>
      <c r="W39" s="2568">
        <f>VLOOKUP(A39,'G-3.05,5.02 PF NE Labor'!$BH$13:$BN$46,7,FALSE)</f>
        <v>2.3265891097746794E-3</v>
      </c>
      <c r="Y39" s="2574">
        <f t="shared" si="17"/>
        <v>282.27119070179788</v>
      </c>
      <c r="Z39" s="2574">
        <f t="shared" si="18"/>
        <v>11.279556780443844</v>
      </c>
      <c r="AA39" s="2574">
        <f t="shared" si="19"/>
        <v>11.742029899289669</v>
      </c>
      <c r="AB39" s="2574">
        <f t="shared" si="20"/>
        <v>10.233413897828932</v>
      </c>
      <c r="AC39" s="2574">
        <f t="shared" si="21"/>
        <v>12.621047651174413</v>
      </c>
      <c r="AE39" s="2574">
        <f t="shared" si="22"/>
        <v>121041.76901729811</v>
      </c>
      <c r="AF39" s="2574">
        <f t="shared" si="23"/>
        <v>3109.5630460543885</v>
      </c>
      <c r="AG39" s="2574">
        <f t="shared" si="24"/>
        <v>4966.0532825340997</v>
      </c>
      <c r="AH39" s="2574">
        <f t="shared" si="25"/>
        <v>3945.8272961702946</v>
      </c>
      <c r="AI39" s="2574">
        <f t="shared" si="26"/>
        <v>5322.5285056822759</v>
      </c>
      <c r="AK39" s="2574">
        <f t="shared" si="27"/>
        <v>124444.88281083474</v>
      </c>
      <c r="AL39" s="2574">
        <f t="shared" si="28"/>
        <v>129422.67812326812</v>
      </c>
      <c r="AM39" s="2574">
        <f t="shared" si="29"/>
        <v>128400.94352090286</v>
      </c>
      <c r="AN39" s="2574">
        <f t="shared" si="30"/>
        <v>134757.82767660156</v>
      </c>
      <c r="AR39" s="2594"/>
      <c r="AZ39" s="182">
        <v>562000</v>
      </c>
      <c r="BA39" s="888">
        <v>5473.03</v>
      </c>
      <c r="BB39" s="888"/>
      <c r="BC39" s="888">
        <v>121463.46000000004</v>
      </c>
      <c r="BD39" s="888">
        <v>126936.49000000003</v>
      </c>
      <c r="BE39" s="2603">
        <f t="shared" si="3"/>
        <v>0.95688371405259431</v>
      </c>
      <c r="BF39" s="1144">
        <f t="shared" si="4"/>
        <v>4.3116285947405686E-2</v>
      </c>
      <c r="BH39" s="182">
        <v>910000</v>
      </c>
      <c r="BI39" s="888">
        <v>25946.879999999997</v>
      </c>
      <c r="BJ39" s="888"/>
      <c r="BK39" s="888"/>
      <c r="BL39" s="888">
        <v>25946.879999999997</v>
      </c>
      <c r="BM39" s="2603">
        <f t="shared" si="5"/>
        <v>0</v>
      </c>
      <c r="BN39" s="1144">
        <f t="shared" si="6"/>
        <v>1</v>
      </c>
      <c r="BR39" s="182">
        <v>928000</v>
      </c>
      <c r="BS39" s="1210"/>
      <c r="BT39" s="1210">
        <v>10011.83</v>
      </c>
      <c r="BU39" s="1210">
        <v>10586.98</v>
      </c>
      <c r="BV39" s="2618">
        <v>20598.809999999998</v>
      </c>
      <c r="BW39" s="1210"/>
      <c r="BX39" s="2618"/>
      <c r="BY39" s="1210">
        <v>20598.809999999998</v>
      </c>
      <c r="BZ39" s="2576">
        <f>'G-3.05,5.02 PF NE Labor'!$B$71</f>
        <v>4</v>
      </c>
      <c r="CA39" s="2612">
        <v>0.71745999999999999</v>
      </c>
      <c r="CB39" s="1210">
        <f t="shared" si="32"/>
        <v>0</v>
      </c>
      <c r="CC39" s="1210">
        <f t="shared" si="33"/>
        <v>10586.98</v>
      </c>
      <c r="CD39" s="1210">
        <f t="shared" si="34"/>
        <v>10586.98</v>
      </c>
    </row>
    <row r="40" spans="1:82">
      <c r="A40" s="2573">
        <v>890000</v>
      </c>
      <c r="B40" s="2569"/>
      <c r="C40" s="2569"/>
      <c r="D40" s="2569"/>
      <c r="E40" s="2569"/>
      <c r="F40" s="2623"/>
      <c r="G40" s="2569">
        <v>801.40000000000009</v>
      </c>
      <c r="H40" s="2569"/>
      <c r="I40" s="2569">
        <v>2893.7200000000003</v>
      </c>
      <c r="J40" s="2569"/>
      <c r="K40" s="2569">
        <v>4537.619999999999</v>
      </c>
      <c r="L40" s="2623">
        <v>8232.74</v>
      </c>
      <c r="M40" s="2569">
        <v>8232.74</v>
      </c>
      <c r="N40" s="2576">
        <f t="shared" si="31"/>
        <v>3</v>
      </c>
      <c r="O40" s="2575">
        <f t="shared" si="12"/>
        <v>0.71040000000000003</v>
      </c>
      <c r="P40" s="2569">
        <f t="shared" si="13"/>
        <v>569.31456000000014</v>
      </c>
      <c r="Q40" s="2569">
        <f t="shared" si="14"/>
        <v>4537.619999999999</v>
      </c>
      <c r="R40" s="2569">
        <f t="shared" si="15"/>
        <v>5106.9345599999988</v>
      </c>
      <c r="S40" s="2569">
        <f>-IFERROR(VLOOKUP(A40,'G-3.05,5.02 PF NE Labor'!$BR$33:$CD$40,13,FALSE),0)</f>
        <v>0</v>
      </c>
      <c r="T40" s="2569">
        <f t="shared" si="16"/>
        <v>5106.9345599999988</v>
      </c>
      <c r="V40" s="2568">
        <f>VLOOKUP(A40,'G-3.05,5.02 PF NE Labor'!$BH$13:$BN$46,6,FALSE)</f>
        <v>1</v>
      </c>
      <c r="W40" s="2568">
        <f>VLOOKUP(A40,'G-3.05,5.02 PF NE Labor'!$BH$13:$BN$46,7,FALSE)</f>
        <v>0</v>
      </c>
      <c r="Y40" s="2574">
        <f t="shared" si="17"/>
        <v>0</v>
      </c>
      <c r="Z40" s="2574">
        <f t="shared" si="18"/>
        <v>0</v>
      </c>
      <c r="AA40" s="2574">
        <f t="shared" si="19"/>
        <v>0</v>
      </c>
      <c r="AB40" s="2574">
        <f t="shared" si="20"/>
        <v>0</v>
      </c>
      <c r="AC40" s="2574">
        <f t="shared" si="21"/>
        <v>0</v>
      </c>
      <c r="AE40" s="2574">
        <f t="shared" si="22"/>
        <v>5106.9345599999988</v>
      </c>
      <c r="AF40" s="2574">
        <f t="shared" si="23"/>
        <v>131.19714884639998</v>
      </c>
      <c r="AG40" s="2574">
        <f t="shared" si="24"/>
        <v>209.52526835385595</v>
      </c>
      <c r="AH40" s="2574">
        <f t="shared" si="25"/>
        <v>166.48039722323978</v>
      </c>
      <c r="AI40" s="2574">
        <f t="shared" si="26"/>
        <v>224.56549497693973</v>
      </c>
      <c r="AK40" s="2574">
        <f t="shared" si="27"/>
        <v>5238.1317088463984</v>
      </c>
      <c r="AL40" s="2574">
        <f t="shared" si="28"/>
        <v>5447.656977200254</v>
      </c>
      <c r="AM40" s="2574">
        <f t="shared" si="29"/>
        <v>5404.6121060696378</v>
      </c>
      <c r="AN40" s="2574">
        <f t="shared" si="30"/>
        <v>5672.2224721771936</v>
      </c>
      <c r="AR40" s="2594" t="str">
        <f>+AR13</f>
        <v>2023 Adjustment</v>
      </c>
      <c r="AZ40" s="182">
        <v>536000</v>
      </c>
      <c r="BA40" s="888">
        <v>16973.79</v>
      </c>
      <c r="BB40" s="888">
        <v>630</v>
      </c>
      <c r="BC40" s="888"/>
      <c r="BD40" s="888">
        <v>17603.79</v>
      </c>
      <c r="BE40" s="2603">
        <f t="shared" si="3"/>
        <v>0</v>
      </c>
      <c r="BF40" s="1144">
        <f t="shared" si="4"/>
        <v>1</v>
      </c>
      <c r="BH40" s="182">
        <v>885000</v>
      </c>
      <c r="BI40" s="888">
        <v>504.03</v>
      </c>
      <c r="BJ40" s="888">
        <v>5447.68</v>
      </c>
      <c r="BK40" s="888">
        <v>11934.359999999999</v>
      </c>
      <c r="BL40" s="888">
        <v>17886.07</v>
      </c>
      <c r="BM40" s="2603">
        <f t="shared" si="5"/>
        <v>0.66724327926704963</v>
      </c>
      <c r="BN40" s="1144">
        <f t="shared" si="6"/>
        <v>0.33275672073295037</v>
      </c>
      <c r="BR40" s="182">
        <v>930200</v>
      </c>
      <c r="BS40" s="1210">
        <v>8416.66</v>
      </c>
      <c r="BT40" s="1210"/>
      <c r="BU40" s="1210"/>
      <c r="BV40" s="2618">
        <v>8416.66</v>
      </c>
      <c r="BW40" s="1210"/>
      <c r="BX40" s="2618"/>
      <c r="BY40" s="1210">
        <v>8416.66</v>
      </c>
      <c r="BZ40" s="2576">
        <f>'G-3.05,5.02 PF NE Labor'!$B$71</f>
        <v>4</v>
      </c>
      <c r="CA40" s="2612">
        <v>0.71745999999999999</v>
      </c>
      <c r="CB40" s="1210">
        <f t="shared" si="32"/>
        <v>6038.6168835999997</v>
      </c>
      <c r="CC40" s="1210">
        <f t="shared" si="33"/>
        <v>0</v>
      </c>
      <c r="CD40" s="1210">
        <f t="shared" si="34"/>
        <v>6038.6168835999997</v>
      </c>
    </row>
    <row r="41" spans="1:82">
      <c r="A41" s="2573">
        <v>891000</v>
      </c>
      <c r="B41" s="2569"/>
      <c r="C41" s="2569"/>
      <c r="D41" s="2569"/>
      <c r="E41" s="2569"/>
      <c r="F41" s="2623"/>
      <c r="G41" s="2569">
        <v>4419.9000000000015</v>
      </c>
      <c r="H41" s="2569"/>
      <c r="I41" s="2569">
        <v>9405.9599999999973</v>
      </c>
      <c r="J41" s="2569"/>
      <c r="K41" s="2569">
        <v>34639.47</v>
      </c>
      <c r="L41" s="2623">
        <v>48465.33</v>
      </c>
      <c r="M41" s="2569">
        <v>48465.33</v>
      </c>
      <c r="N41" s="2576">
        <f t="shared" si="31"/>
        <v>3</v>
      </c>
      <c r="O41" s="2575">
        <f t="shared" si="12"/>
        <v>0.71040000000000003</v>
      </c>
      <c r="P41" s="2569">
        <f t="shared" si="13"/>
        <v>3139.8969600000014</v>
      </c>
      <c r="Q41" s="2569">
        <f t="shared" si="14"/>
        <v>34639.47</v>
      </c>
      <c r="R41" s="2569">
        <f t="shared" si="15"/>
        <v>37779.366959999999</v>
      </c>
      <c r="S41" s="2569">
        <f>-IFERROR(VLOOKUP(A41,'G-3.05,5.02 PF NE Labor'!$BR$33:$CD$40,13,FALSE),0)</f>
        <v>0</v>
      </c>
      <c r="T41" s="2569">
        <f t="shared" si="16"/>
        <v>37779.366959999999</v>
      </c>
      <c r="V41" s="2568">
        <f>VLOOKUP(A41,'G-3.05,5.02 PF NE Labor'!$BH$13:$BN$46,6,FALSE)</f>
        <v>0.94659704309412773</v>
      </c>
      <c r="W41" s="2568">
        <f>VLOOKUP(A41,'G-3.05,5.02 PF NE Labor'!$BH$13:$BN$46,7,FALSE)</f>
        <v>5.3402956905872268E-2</v>
      </c>
      <c r="Y41" s="2574">
        <f t="shared" si="17"/>
        <v>2017.5299056960146</v>
      </c>
      <c r="Z41" s="2574">
        <f t="shared" si="18"/>
        <v>80.620495031612748</v>
      </c>
      <c r="AA41" s="2574">
        <f t="shared" si="19"/>
        <v>83.926016029105085</v>
      </c>
      <c r="AB41" s="2574">
        <f t="shared" si="20"/>
        <v>73.143201489685666</v>
      </c>
      <c r="AC41" s="2574">
        <f t="shared" si="21"/>
        <v>90.208784729856703</v>
      </c>
      <c r="AE41" s="2574">
        <f t="shared" si="22"/>
        <v>35761.837054303985</v>
      </c>
      <c r="AF41" s="2574">
        <f t="shared" si="23"/>
        <v>918.72159392506944</v>
      </c>
      <c r="AG41" s="2574">
        <f t="shared" si="24"/>
        <v>1467.2223459291622</v>
      </c>
      <c r="AH41" s="2574">
        <f t="shared" si="25"/>
        <v>1165.796187181475</v>
      </c>
      <c r="AI41" s="2574">
        <f t="shared" si="26"/>
        <v>1572.5430872535878</v>
      </c>
      <c r="AK41" s="2574">
        <f t="shared" si="27"/>
        <v>38778.709048956676</v>
      </c>
      <c r="AL41" s="2574">
        <f t="shared" si="28"/>
        <v>40329.857410914949</v>
      </c>
      <c r="AM41" s="2574">
        <f t="shared" si="29"/>
        <v>40017.648437627839</v>
      </c>
      <c r="AN41" s="2574">
        <f t="shared" si="30"/>
        <v>41992.609282898389</v>
      </c>
      <c r="AR41" s="2582" t="s">
        <v>2308</v>
      </c>
      <c r="AU41" s="2591">
        <v>0.06</v>
      </c>
      <c r="AZ41" s="182">
        <v>905000</v>
      </c>
      <c r="BA41" s="888">
        <v>26409.039999999997</v>
      </c>
      <c r="BB41" s="888">
        <v>223219.09000000023</v>
      </c>
      <c r="BC41" s="888">
        <v>4679.96</v>
      </c>
      <c r="BD41" s="888">
        <v>254308.09000000023</v>
      </c>
      <c r="BE41" s="2603">
        <f t="shared" si="3"/>
        <v>1.840271774287635E-2</v>
      </c>
      <c r="BF41" s="1144">
        <f t="shared" si="4"/>
        <v>0.98159728225712362</v>
      </c>
      <c r="BH41" s="182">
        <v>931000</v>
      </c>
      <c r="BI41" s="888">
        <v>199.66000000000003</v>
      </c>
      <c r="BJ41" s="888"/>
      <c r="BK41" s="888"/>
      <c r="BL41" s="888">
        <v>199.66000000000003</v>
      </c>
      <c r="BM41" s="2603">
        <f t="shared" si="5"/>
        <v>0</v>
      </c>
      <c r="BN41" s="1144">
        <f t="shared" si="6"/>
        <v>1</v>
      </c>
      <c r="BR41" s="1489" t="s">
        <v>978</v>
      </c>
      <c r="BS41" s="2619">
        <v>642154.44999999995</v>
      </c>
      <c r="BT41" s="2619">
        <v>10011.83</v>
      </c>
      <c r="BU41" s="2619">
        <v>10586.98</v>
      </c>
      <c r="BV41" s="2619">
        <v>662753.25999999989</v>
      </c>
      <c r="BW41" s="2619">
        <v>163149.12000000002</v>
      </c>
      <c r="BX41" s="2619">
        <v>163149.12000000002</v>
      </c>
      <c r="BY41" s="2619">
        <v>825902.38</v>
      </c>
      <c r="CB41" s="1210">
        <f>SUM(CB33:CB40)</f>
        <v>571286.9772985999</v>
      </c>
      <c r="CC41" s="1210">
        <f>SUM(CC33:CC40)</f>
        <v>10586.98</v>
      </c>
      <c r="CD41" s="2611">
        <f>SUM(CD33:CD40)</f>
        <v>581873.95729859988</v>
      </c>
    </row>
    <row r="42" spans="1:82">
      <c r="A42" s="2573">
        <v>892000</v>
      </c>
      <c r="B42" s="2569"/>
      <c r="C42" s="2569"/>
      <c r="D42" s="2569"/>
      <c r="E42" s="2569"/>
      <c r="F42" s="2623"/>
      <c r="G42" s="2569"/>
      <c r="H42" s="2569"/>
      <c r="I42" s="2569">
        <v>229155.14000000004</v>
      </c>
      <c r="J42" s="2569"/>
      <c r="K42" s="2569">
        <v>565851.65000000072</v>
      </c>
      <c r="L42" s="2623">
        <v>795006.79000000074</v>
      </c>
      <c r="M42" s="2569">
        <v>795006.79000000074</v>
      </c>
      <c r="N42" s="2576">
        <f t="shared" si="31"/>
        <v>3</v>
      </c>
      <c r="O42" s="2575">
        <f t="shared" si="12"/>
        <v>0.71040000000000003</v>
      </c>
      <c r="P42" s="2569">
        <f t="shared" si="13"/>
        <v>0</v>
      </c>
      <c r="Q42" s="2569">
        <f t="shared" si="14"/>
        <v>565851.65000000072</v>
      </c>
      <c r="R42" s="2569">
        <f t="shared" si="15"/>
        <v>565851.65000000072</v>
      </c>
      <c r="S42" s="2569">
        <f>-IFERROR(VLOOKUP(A42,'G-3.05,5.02 PF NE Labor'!$BR$33:$CD$40,13,FALSE),0)</f>
        <v>0</v>
      </c>
      <c r="T42" s="2569">
        <f t="shared" si="16"/>
        <v>565851.65000000072</v>
      </c>
      <c r="V42" s="2568">
        <f>VLOOKUP(A42,'G-3.05,5.02 PF NE Labor'!$BH$13:$BN$46,6,FALSE)</f>
        <v>0.95051847541755874</v>
      </c>
      <c r="W42" s="2568">
        <f>VLOOKUP(A42,'G-3.05,5.02 PF NE Labor'!$BH$13:$BN$46,7,FALSE)</f>
        <v>4.9481524582441261E-2</v>
      </c>
      <c r="Y42" s="2574">
        <f t="shared" si="17"/>
        <v>27999.202329489985</v>
      </c>
      <c r="Z42" s="2574">
        <f t="shared" si="18"/>
        <v>1118.8481250864199</v>
      </c>
      <c r="AA42" s="2574">
        <f t="shared" si="19"/>
        <v>1164.7220181830562</v>
      </c>
      <c r="AB42" s="2574">
        <f t="shared" si="20"/>
        <v>1015.0785332868971</v>
      </c>
      <c r="AC42" s="2574">
        <f t="shared" si="21"/>
        <v>1251.9140402418543</v>
      </c>
      <c r="AE42" s="2574">
        <f t="shared" si="22"/>
        <v>537852.44767051074</v>
      </c>
      <c r="AF42" s="2574">
        <f t="shared" si="23"/>
        <v>13817.429380655421</v>
      </c>
      <c r="AG42" s="2574">
        <f t="shared" si="24"/>
        <v>22066.795082046647</v>
      </c>
      <c r="AH42" s="2574">
        <f t="shared" si="25"/>
        <v>17533.392700390985</v>
      </c>
      <c r="AI42" s="2574">
        <f t="shared" si="26"/>
        <v>23650.802593344153</v>
      </c>
      <c r="AK42" s="2574">
        <f t="shared" si="27"/>
        <v>580787.92750574253</v>
      </c>
      <c r="AL42" s="2574">
        <f t="shared" si="28"/>
        <v>604019.44460597227</v>
      </c>
      <c r="AM42" s="2574">
        <f t="shared" si="29"/>
        <v>599336.39873942046</v>
      </c>
      <c r="AN42" s="2574">
        <f t="shared" si="30"/>
        <v>628922.16123955825</v>
      </c>
      <c r="AR42" s="2582" t="s">
        <v>2307</v>
      </c>
      <c r="AZ42" s="182">
        <v>539000</v>
      </c>
      <c r="BA42" s="888">
        <v>133000.78999999998</v>
      </c>
      <c r="BB42" s="888">
        <v>33940.079999999987</v>
      </c>
      <c r="BC42" s="888">
        <v>178904.84999999989</v>
      </c>
      <c r="BD42" s="888">
        <v>345845.71999999986</v>
      </c>
      <c r="BE42" s="2603">
        <f t="shared" si="3"/>
        <v>0.5172967009682814</v>
      </c>
      <c r="BF42" s="1144">
        <f t="shared" si="4"/>
        <v>0.4827032990317186</v>
      </c>
      <c r="BH42" s="182">
        <v>901000</v>
      </c>
      <c r="BI42" s="888">
        <v>68136.09</v>
      </c>
      <c r="BJ42" s="888"/>
      <c r="BK42" s="888"/>
      <c r="BL42" s="888">
        <v>68136.09</v>
      </c>
      <c r="BM42" s="2603">
        <f t="shared" si="5"/>
        <v>0</v>
      </c>
      <c r="BN42" s="1144">
        <f t="shared" si="6"/>
        <v>1</v>
      </c>
    </row>
    <row r="43" spans="1:82">
      <c r="A43" s="2573">
        <v>893000</v>
      </c>
      <c r="B43" s="2569"/>
      <c r="C43" s="2569"/>
      <c r="D43" s="2569"/>
      <c r="E43" s="2569"/>
      <c r="F43" s="2623"/>
      <c r="G43" s="2569"/>
      <c r="H43" s="2569">
        <v>432675.29000000021</v>
      </c>
      <c r="I43" s="2569">
        <v>231913.2000000001</v>
      </c>
      <c r="J43" s="2569"/>
      <c r="K43" s="2569">
        <v>681721.07000000018</v>
      </c>
      <c r="L43" s="2623">
        <v>1346309.5600000005</v>
      </c>
      <c r="M43" s="2569">
        <v>1346309.5600000005</v>
      </c>
      <c r="N43" s="2576">
        <f t="shared" si="31"/>
        <v>3</v>
      </c>
      <c r="O43" s="2575">
        <f t="shared" si="12"/>
        <v>0.71040000000000003</v>
      </c>
      <c r="P43" s="2569">
        <f t="shared" si="13"/>
        <v>307372.52601600019</v>
      </c>
      <c r="Q43" s="2569">
        <f t="shared" si="14"/>
        <v>681721.07000000018</v>
      </c>
      <c r="R43" s="2569">
        <f t="shared" si="15"/>
        <v>989093.59601600037</v>
      </c>
      <c r="S43" s="2569">
        <f>-IFERROR(VLOOKUP(A43,'G-3.05,5.02 PF NE Labor'!$BR$33:$CD$40,13,FALSE),0)</f>
        <v>0</v>
      </c>
      <c r="T43" s="2569">
        <f t="shared" si="16"/>
        <v>989093.59601600037</v>
      </c>
      <c r="V43" s="2568">
        <f>VLOOKUP(A43,'G-3.05,5.02 PF NE Labor'!$BH$13:$BN$46,6,FALSE)</f>
        <v>1</v>
      </c>
      <c r="W43" s="2568">
        <f>VLOOKUP(A43,'G-3.05,5.02 PF NE Labor'!$BH$13:$BN$46,7,FALSE)</f>
        <v>0</v>
      </c>
      <c r="Y43" s="2574">
        <f t="shared" si="17"/>
        <v>0</v>
      </c>
      <c r="Z43" s="2574">
        <f t="shared" si="18"/>
        <v>0</v>
      </c>
      <c r="AA43" s="2574">
        <f t="shared" si="19"/>
        <v>0</v>
      </c>
      <c r="AB43" s="2574">
        <f t="shared" si="20"/>
        <v>0</v>
      </c>
      <c r="AC43" s="2574">
        <f t="shared" si="21"/>
        <v>0</v>
      </c>
      <c r="AE43" s="2574">
        <f t="shared" si="22"/>
        <v>989093.59601600037</v>
      </c>
      <c r="AF43" s="2574">
        <f t="shared" si="23"/>
        <v>25409.81448165105</v>
      </c>
      <c r="AG43" s="2574">
        <f t="shared" si="24"/>
        <v>40580.136419906055</v>
      </c>
      <c r="AH43" s="2574">
        <f t="shared" si="25"/>
        <v>32243.353193800558</v>
      </c>
      <c r="AI43" s="2574">
        <f t="shared" si="26"/>
        <v>43493.076004454328</v>
      </c>
      <c r="AK43" s="2574">
        <f t="shared" si="27"/>
        <v>1014503.4104976514</v>
      </c>
      <c r="AL43" s="2574">
        <f t="shared" si="28"/>
        <v>1055083.5469175575</v>
      </c>
      <c r="AM43" s="2574">
        <f t="shared" si="29"/>
        <v>1046746.763691452</v>
      </c>
      <c r="AN43" s="2574">
        <f t="shared" si="30"/>
        <v>1098576.6229220119</v>
      </c>
      <c r="AT43" s="2589" t="str">
        <f>"243/365="</f>
        <v>243/365=</v>
      </c>
      <c r="AU43" s="2597">
        <f>ROUND(243/365,3)</f>
        <v>0.66600000000000004</v>
      </c>
      <c r="AZ43" s="182">
        <v>930200</v>
      </c>
      <c r="BA43" s="888">
        <v>155043.90999999992</v>
      </c>
      <c r="BB43" s="888">
        <v>34548.36</v>
      </c>
      <c r="BC43" s="888">
        <v>192678.90999999989</v>
      </c>
      <c r="BD43" s="888">
        <v>382271.17999999982</v>
      </c>
      <c r="BE43" s="2603">
        <f t="shared" si="3"/>
        <v>0.50403723869531569</v>
      </c>
      <c r="BF43" s="1144">
        <f t="shared" si="4"/>
        <v>0.49596276130468431</v>
      </c>
      <c r="BH43" s="182">
        <v>890000</v>
      </c>
      <c r="BI43" s="888"/>
      <c r="BJ43" s="888"/>
      <c r="BK43" s="888">
        <v>7343.0199999999995</v>
      </c>
      <c r="BL43" s="888">
        <v>7343.0199999999995</v>
      </c>
      <c r="BM43" s="2603">
        <f t="shared" si="5"/>
        <v>1</v>
      </c>
      <c r="BN43" s="1144">
        <f t="shared" si="6"/>
        <v>0</v>
      </c>
      <c r="BY43" s="2610"/>
    </row>
    <row r="44" spans="1:82" ht="13.5" thickBot="1">
      <c r="A44" s="2573">
        <v>894000</v>
      </c>
      <c r="B44" s="2569"/>
      <c r="C44" s="2569"/>
      <c r="D44" s="2569"/>
      <c r="E44" s="2569"/>
      <c r="F44" s="2623"/>
      <c r="G44" s="2569"/>
      <c r="H44" s="2569">
        <v>103754.13000000002</v>
      </c>
      <c r="I44" s="2569"/>
      <c r="J44" s="2569"/>
      <c r="K44" s="2569"/>
      <c r="L44" s="2623">
        <v>103754.13000000002</v>
      </c>
      <c r="M44" s="2569">
        <v>103754.13000000002</v>
      </c>
      <c r="N44" s="2576">
        <f t="shared" si="31"/>
        <v>3</v>
      </c>
      <c r="O44" s="2575">
        <f t="shared" si="12"/>
        <v>0.71040000000000003</v>
      </c>
      <c r="P44" s="2569">
        <f t="shared" si="13"/>
        <v>73706.933952000021</v>
      </c>
      <c r="Q44" s="2569">
        <f t="shared" si="14"/>
        <v>0</v>
      </c>
      <c r="R44" s="2569">
        <f t="shared" si="15"/>
        <v>73706.933952000021</v>
      </c>
      <c r="S44" s="2569">
        <f>-IFERROR(VLOOKUP(A44,'G-3.05,5.02 PF NE Labor'!$BR$33:$CD$40,13,FALSE),0)</f>
        <v>0</v>
      </c>
      <c r="T44" s="2569">
        <f t="shared" si="16"/>
        <v>73706.933952000021</v>
      </c>
      <c r="V44" s="2568">
        <f>VLOOKUP(A44,'G-3.05,5.02 PF NE Labor'!$BH$13:$BN$46,6,FALSE)</f>
        <v>1</v>
      </c>
      <c r="W44" s="2568">
        <f>VLOOKUP(A44,'G-3.05,5.02 PF NE Labor'!$BH$13:$BN$46,7,FALSE)</f>
        <v>0</v>
      </c>
      <c r="Y44" s="2574">
        <f t="shared" si="17"/>
        <v>0</v>
      </c>
      <c r="Z44" s="2574">
        <f t="shared" si="18"/>
        <v>0</v>
      </c>
      <c r="AA44" s="2574">
        <f t="shared" si="19"/>
        <v>0</v>
      </c>
      <c r="AB44" s="2574">
        <f t="shared" si="20"/>
        <v>0</v>
      </c>
      <c r="AC44" s="2574">
        <f t="shared" si="21"/>
        <v>0</v>
      </c>
      <c r="AE44" s="2574">
        <f t="shared" si="22"/>
        <v>73706.933952000021</v>
      </c>
      <c r="AF44" s="2574">
        <f t="shared" si="23"/>
        <v>1893.5311332268807</v>
      </c>
      <c r="AG44" s="2574">
        <f t="shared" si="24"/>
        <v>3024.0186034090761</v>
      </c>
      <c r="AH44" s="2574">
        <f t="shared" si="25"/>
        <v>2402.7642215247151</v>
      </c>
      <c r="AI44" s="2574">
        <f t="shared" si="26"/>
        <v>3241.0899164064276</v>
      </c>
      <c r="AK44" s="2574">
        <f t="shared" si="27"/>
        <v>75600.465085226897</v>
      </c>
      <c r="AL44" s="2574">
        <f t="shared" si="28"/>
        <v>78624.48368863597</v>
      </c>
      <c r="AM44" s="2574">
        <f t="shared" si="29"/>
        <v>78003.229306751615</v>
      </c>
      <c r="AN44" s="2574">
        <f t="shared" si="30"/>
        <v>81865.573605042402</v>
      </c>
      <c r="AR44" s="2587" t="s">
        <v>2306</v>
      </c>
      <c r="AS44" s="2585"/>
      <c r="AT44" s="2585"/>
      <c r="AU44" s="2586">
        <f>ROUND(AU41*AU43,5)</f>
        <v>3.9960000000000002E-2</v>
      </c>
      <c r="AV44" s="2585" t="s">
        <v>2305</v>
      </c>
      <c r="AZ44" s="182">
        <v>561000</v>
      </c>
      <c r="BA44" s="888">
        <v>177.66</v>
      </c>
      <c r="BB44" s="888"/>
      <c r="BC44" s="888">
        <v>19141.069999999985</v>
      </c>
      <c r="BD44" s="888">
        <v>19318.729999999985</v>
      </c>
      <c r="BE44" s="2603">
        <f t="shared" si="3"/>
        <v>0.99080374331024867</v>
      </c>
      <c r="BF44" s="1144">
        <f t="shared" si="4"/>
        <v>9.1962566897513254E-3</v>
      </c>
      <c r="BH44" s="182">
        <v>876000</v>
      </c>
      <c r="BI44" s="888"/>
      <c r="BJ44" s="888"/>
      <c r="BK44" s="888">
        <v>13528.400000000001</v>
      </c>
      <c r="BL44" s="888">
        <v>13528.400000000001</v>
      </c>
      <c r="BM44" s="2603">
        <f t="shared" si="5"/>
        <v>1</v>
      </c>
      <c r="BN44" s="1144">
        <f t="shared" si="6"/>
        <v>0</v>
      </c>
      <c r="BX44" s="477" t="s">
        <v>677</v>
      </c>
      <c r="BY44" s="2610">
        <f>CA22+BY41</f>
        <v>3441904.97</v>
      </c>
    </row>
    <row r="45" spans="1:82" ht="13.5" thickTop="1">
      <c r="A45" s="2573">
        <v>901000</v>
      </c>
      <c r="B45" s="2569">
        <v>81277.819999999992</v>
      </c>
      <c r="C45" s="2569">
        <v>55.93</v>
      </c>
      <c r="D45" s="2569"/>
      <c r="E45" s="2569"/>
      <c r="F45" s="2623">
        <v>81333.749999999985</v>
      </c>
      <c r="G45" s="2569"/>
      <c r="H45" s="2569"/>
      <c r="I45" s="2569"/>
      <c r="J45" s="2569"/>
      <c r="K45" s="2569"/>
      <c r="L45" s="2623"/>
      <c r="M45" s="2569">
        <v>81333.749999999985</v>
      </c>
      <c r="N45" s="2576">
        <f t="shared" si="31"/>
        <v>3</v>
      </c>
      <c r="O45" s="2575">
        <f t="shared" si="12"/>
        <v>0.71040000000000003</v>
      </c>
      <c r="P45" s="2569">
        <f t="shared" si="13"/>
        <v>57779.495999999992</v>
      </c>
      <c r="Q45" s="2569">
        <f t="shared" si="14"/>
        <v>0</v>
      </c>
      <c r="R45" s="2569">
        <f t="shared" si="15"/>
        <v>57779.495999999992</v>
      </c>
      <c r="S45" s="2569">
        <f>-IFERROR(VLOOKUP(A45,'G-3.05,5.02 PF NE Labor'!$BR$33:$CD$40,13,FALSE),0)</f>
        <v>0</v>
      </c>
      <c r="T45" s="2569">
        <f t="shared" si="16"/>
        <v>57779.495999999992</v>
      </c>
      <c r="V45" s="2568">
        <f>VLOOKUP(A45,'G-3.05,5.02 PF NE Labor'!$BH$13:$BN$46,6,FALSE)</f>
        <v>0</v>
      </c>
      <c r="W45" s="2568">
        <f>VLOOKUP(A45,'G-3.05,5.02 PF NE Labor'!$BH$13:$BN$46,7,FALSE)</f>
        <v>1</v>
      </c>
      <c r="Y45" s="2574">
        <f t="shared" si="17"/>
        <v>57779.495999999992</v>
      </c>
      <c r="Z45" s="2574">
        <f t="shared" si="18"/>
        <v>2308.8686601599998</v>
      </c>
      <c r="AA45" s="2574">
        <f t="shared" si="19"/>
        <v>2403.5345864063997</v>
      </c>
      <c r="AB45" s="2574">
        <f t="shared" si="20"/>
        <v>2094.7284627449053</v>
      </c>
      <c r="AC45" s="2574">
        <f t="shared" si="21"/>
        <v>2583.4651083724521</v>
      </c>
      <c r="AE45" s="2574">
        <f t="shared" si="22"/>
        <v>0</v>
      </c>
      <c r="AF45" s="2574">
        <f t="shared" si="23"/>
        <v>0</v>
      </c>
      <c r="AG45" s="2574">
        <f t="shared" si="24"/>
        <v>0</v>
      </c>
      <c r="AH45" s="2574">
        <f t="shared" si="25"/>
        <v>0</v>
      </c>
      <c r="AI45" s="2574">
        <f t="shared" si="26"/>
        <v>0</v>
      </c>
      <c r="AK45" s="2574">
        <f t="shared" si="27"/>
        <v>60088.36466015999</v>
      </c>
      <c r="AL45" s="2574">
        <f t="shared" si="28"/>
        <v>62491.899246566391</v>
      </c>
      <c r="AM45" s="2574">
        <f t="shared" si="29"/>
        <v>62183.093122904895</v>
      </c>
      <c r="AN45" s="2574">
        <f t="shared" si="30"/>
        <v>65075.364354938843</v>
      </c>
      <c r="AU45" s="2590"/>
      <c r="AZ45" s="182">
        <v>560000</v>
      </c>
      <c r="BA45" s="888">
        <v>1293481.7600000002</v>
      </c>
      <c r="BB45" s="888">
        <v>172463.81000000003</v>
      </c>
      <c r="BC45" s="888">
        <v>1770.67</v>
      </c>
      <c r="BD45" s="888">
        <v>1467716.2400000002</v>
      </c>
      <c r="BE45" s="2603">
        <f t="shared" ref="BE45:BE76" si="35">BC45/BD45</f>
        <v>1.2064116698742803E-3</v>
      </c>
      <c r="BF45" s="1144">
        <f t="shared" ref="BF45:BF76" si="36">1-BE45</f>
        <v>0.99879358833012577</v>
      </c>
      <c r="BH45" s="182">
        <v>925100</v>
      </c>
      <c r="BI45" s="888">
        <v>21.8</v>
      </c>
      <c r="BJ45" s="888"/>
      <c r="BK45" s="888"/>
      <c r="BL45" s="888">
        <v>21.8</v>
      </c>
      <c r="BM45" s="2603">
        <f t="shared" si="5"/>
        <v>0</v>
      </c>
      <c r="BN45" s="1144">
        <f t="shared" si="6"/>
        <v>1</v>
      </c>
      <c r="BX45" s="477" t="s">
        <v>676</v>
      </c>
      <c r="BY45" s="2610">
        <v>372183</v>
      </c>
    </row>
    <row r="46" spans="1:82">
      <c r="A46" s="2573">
        <v>902000</v>
      </c>
      <c r="B46" s="2569"/>
      <c r="C46" s="2569">
        <v>90323.290000000008</v>
      </c>
      <c r="D46" s="2569">
        <v>93199.64999999998</v>
      </c>
      <c r="E46" s="2569">
        <v>167546.21000000008</v>
      </c>
      <c r="F46" s="2623">
        <v>351069.15000000008</v>
      </c>
      <c r="G46" s="2569"/>
      <c r="H46" s="2569"/>
      <c r="I46" s="2569"/>
      <c r="J46" s="2569"/>
      <c r="K46" s="2569">
        <v>8228.01</v>
      </c>
      <c r="L46" s="2623">
        <v>8228.01</v>
      </c>
      <c r="M46" s="2569">
        <v>359297.16000000009</v>
      </c>
      <c r="N46" s="2576">
        <f t="shared" ref="N46:N52" si="37">$B$69</f>
        <v>2</v>
      </c>
      <c r="O46" s="2575">
        <f t="shared" si="12"/>
        <v>0.65400999999999998</v>
      </c>
      <c r="P46" s="2569">
        <f t="shared" si="13"/>
        <v>59072.334892900006</v>
      </c>
      <c r="Q46" s="2569">
        <f t="shared" si="14"/>
        <v>175774.22000000009</v>
      </c>
      <c r="R46" s="2569">
        <f t="shared" si="15"/>
        <v>234846.55489290011</v>
      </c>
      <c r="S46" s="2569">
        <f>-IFERROR(VLOOKUP(A46,'G-3.05,5.02 PF NE Labor'!$BR$33:$CD$40,13,FALSE),0)</f>
        <v>0</v>
      </c>
      <c r="T46" s="2569">
        <f t="shared" si="16"/>
        <v>234846.55489290011</v>
      </c>
      <c r="V46" s="2568">
        <f>VLOOKUP(A46,'G-3.05,5.02 PF NE Labor'!$BH$13:$BN$46,6,FALSE)</f>
        <v>0.42808381509321114</v>
      </c>
      <c r="W46" s="2568">
        <f>VLOOKUP(A46,'G-3.05,5.02 PF NE Labor'!$BH$13:$BN$46,7,FALSE)</f>
        <v>0.57191618490678886</v>
      </c>
      <c r="Y46" s="2574">
        <f t="shared" si="17"/>
        <v>134312.5457128502</v>
      </c>
      <c r="Z46" s="2574">
        <f t="shared" si="18"/>
        <v>5367.1293266854946</v>
      </c>
      <c r="AA46" s="2574">
        <f t="shared" si="19"/>
        <v>5587.1870015814284</v>
      </c>
      <c r="AB46" s="2574">
        <f t="shared" si="20"/>
        <v>4869.3452156182466</v>
      </c>
      <c r="AC46" s="2574">
        <f t="shared" si="21"/>
        <v>6005.4482902694144</v>
      </c>
      <c r="AE46" s="2574">
        <f t="shared" si="22"/>
        <v>100534.00918004991</v>
      </c>
      <c r="AF46" s="2574">
        <f t="shared" si="23"/>
        <v>2582.7186958354823</v>
      </c>
      <c r="AG46" s="2574">
        <f t="shared" si="24"/>
        <v>4124.6691150354154</v>
      </c>
      <c r="AH46" s="2574">
        <f t="shared" si="25"/>
        <v>3277.29709204254</v>
      </c>
      <c r="AI46" s="2574">
        <f t="shared" si="26"/>
        <v>4420.7477633185345</v>
      </c>
      <c r="AK46" s="2574">
        <f t="shared" si="27"/>
        <v>242796.40291542112</v>
      </c>
      <c r="AL46" s="2574">
        <f t="shared" si="28"/>
        <v>252508.25903203795</v>
      </c>
      <c r="AM46" s="2574">
        <f t="shared" si="29"/>
        <v>250943.04522308189</v>
      </c>
      <c r="AN46" s="2574">
        <f t="shared" si="30"/>
        <v>262934.45508562587</v>
      </c>
      <c r="AR46" s="2594" t="str">
        <f>+AR19</f>
        <v>2024 Adjustment</v>
      </c>
      <c r="AU46" s="2583"/>
      <c r="AZ46" s="182">
        <v>580000</v>
      </c>
      <c r="BA46" s="888">
        <v>2422992.4799999972</v>
      </c>
      <c r="BB46" s="888">
        <v>298392.69999999984</v>
      </c>
      <c r="BC46" s="888">
        <v>46835.4</v>
      </c>
      <c r="BD46" s="888">
        <v>2768220.5799999968</v>
      </c>
      <c r="BE46" s="2603">
        <f t="shared" si="35"/>
        <v>1.6918955208403245E-2</v>
      </c>
      <c r="BF46" s="1144">
        <f t="shared" si="36"/>
        <v>0.98308104479159675</v>
      </c>
      <c r="BH46" s="1489" t="s">
        <v>978</v>
      </c>
      <c r="BI46" s="1490">
        <v>7775511.6099999985</v>
      </c>
      <c r="BJ46" s="1490">
        <v>4516833.0899999905</v>
      </c>
      <c r="BK46" s="1490">
        <v>8177040.9300000137</v>
      </c>
      <c r="BL46" s="1490">
        <v>20469385.630000006</v>
      </c>
      <c r="BM46" s="2603">
        <f t="shared" si="5"/>
        <v>0.39947661731555406</v>
      </c>
      <c r="BN46" s="1144">
        <f t="shared" si="6"/>
        <v>0.60052338268444594</v>
      </c>
      <c r="BX46" s="890" t="s">
        <v>2338</v>
      </c>
      <c r="BY46" s="2609">
        <f>SUM(BY44:BY45)</f>
        <v>3814087.97</v>
      </c>
    </row>
    <row r="47" spans="1:82">
      <c r="A47" s="2573">
        <v>903000</v>
      </c>
      <c r="B47" s="2569">
        <v>2715714.4900000039</v>
      </c>
      <c r="C47" s="2569"/>
      <c r="D47" s="2569">
        <v>163431.0400000001</v>
      </c>
      <c r="E47" s="2569">
        <v>155845.16999999975</v>
      </c>
      <c r="F47" s="2623">
        <v>3034990.7000000039</v>
      </c>
      <c r="G47" s="2569"/>
      <c r="H47" s="2569"/>
      <c r="I47" s="2569"/>
      <c r="J47" s="2569"/>
      <c r="K47" s="2569">
        <v>16904.660000000007</v>
      </c>
      <c r="L47" s="2623">
        <v>16904.660000000007</v>
      </c>
      <c r="M47" s="2569">
        <v>3051895.3600000041</v>
      </c>
      <c r="N47" s="2576">
        <f t="shared" si="37"/>
        <v>2</v>
      </c>
      <c r="O47" s="2575">
        <f t="shared" si="12"/>
        <v>0.65400999999999998</v>
      </c>
      <c r="P47" s="2569">
        <f t="shared" si="13"/>
        <v>1776104.4336049026</v>
      </c>
      <c r="Q47" s="2569">
        <f t="shared" si="14"/>
        <v>172749.82999999975</v>
      </c>
      <c r="R47" s="2569">
        <f t="shared" si="15"/>
        <v>1948854.2636049024</v>
      </c>
      <c r="S47" s="2569">
        <f>-IFERROR(VLOOKUP(A47,'G-3.05,5.02 PF NE Labor'!$BR$33:$CD$40,13,FALSE),0)</f>
        <v>0</v>
      </c>
      <c r="T47" s="2569">
        <f t="shared" si="16"/>
        <v>1948854.2636049024</v>
      </c>
      <c r="V47" s="2568">
        <f>VLOOKUP(A47,'G-3.05,5.02 PF NE Labor'!$BH$13:$BN$46,6,FALSE)</f>
        <v>0.10676016284301035</v>
      </c>
      <c r="W47" s="2568">
        <f>VLOOKUP(A47,'G-3.05,5.02 PF NE Labor'!$BH$13:$BN$46,7,FALSE)</f>
        <v>0.89323983715698962</v>
      </c>
      <c r="Y47" s="2574">
        <f t="shared" si="17"/>
        <v>1740794.265065148</v>
      </c>
      <c r="Z47" s="2574">
        <f t="shared" si="18"/>
        <v>69562.138832003315</v>
      </c>
      <c r="AA47" s="2574">
        <f t="shared" si="19"/>
        <v>72414.256155886062</v>
      </c>
      <c r="AB47" s="2574">
        <f t="shared" si="20"/>
        <v>63110.472524977813</v>
      </c>
      <c r="AC47" s="2574">
        <f t="shared" si="21"/>
        <v>77835.24530312061</v>
      </c>
      <c r="AE47" s="2574">
        <f t="shared" si="22"/>
        <v>208059.99853975439</v>
      </c>
      <c r="AF47" s="2574">
        <f t="shared" si="23"/>
        <v>5345.0613624862908</v>
      </c>
      <c r="AG47" s="2574">
        <f t="shared" si="24"/>
        <v>8536.2023960896277</v>
      </c>
      <c r="AH47" s="2574">
        <f t="shared" si="25"/>
        <v>6782.5249758369746</v>
      </c>
      <c r="AI47" s="2574">
        <f t="shared" si="26"/>
        <v>9148.9514909666923</v>
      </c>
      <c r="AK47" s="2574">
        <f t="shared" si="27"/>
        <v>2023761.4637993921</v>
      </c>
      <c r="AL47" s="2574">
        <f t="shared" si="28"/>
        <v>2104711.9223513678</v>
      </c>
      <c r="AM47" s="2574">
        <f t="shared" si="29"/>
        <v>2093654.4613002068</v>
      </c>
      <c r="AN47" s="2574">
        <f t="shared" si="30"/>
        <v>2191696.1191454548</v>
      </c>
      <c r="AR47" s="2582" t="s">
        <v>2304</v>
      </c>
      <c r="AU47" s="2591">
        <v>0.04</v>
      </c>
      <c r="AZ47" s="182">
        <v>582000</v>
      </c>
      <c r="BA47" s="888">
        <v>15132.96</v>
      </c>
      <c r="BB47" s="888">
        <v>2148.0500000000002</v>
      </c>
      <c r="BC47" s="888">
        <v>504998.95000000065</v>
      </c>
      <c r="BD47" s="888">
        <v>522279.96000000066</v>
      </c>
      <c r="BE47" s="2603">
        <f t="shared" si="35"/>
        <v>0.96691236248084267</v>
      </c>
      <c r="BF47" s="1144">
        <f t="shared" si="36"/>
        <v>3.3087637519157331E-2</v>
      </c>
      <c r="BM47" s="2603"/>
      <c r="BN47" s="1144"/>
    </row>
    <row r="48" spans="1:82">
      <c r="A48" s="2573">
        <v>905000</v>
      </c>
      <c r="B48" s="2569">
        <v>199317.13000000041</v>
      </c>
      <c r="C48" s="2569"/>
      <c r="D48" s="2569"/>
      <c r="E48" s="2569"/>
      <c r="F48" s="2623">
        <v>199317.13000000041</v>
      </c>
      <c r="G48" s="2569"/>
      <c r="H48" s="2569"/>
      <c r="I48" s="2569"/>
      <c r="J48" s="2569"/>
      <c r="K48" s="2569"/>
      <c r="L48" s="2623"/>
      <c r="M48" s="2569">
        <v>199317.13000000041</v>
      </c>
      <c r="N48" s="2576">
        <f t="shared" si="37"/>
        <v>2</v>
      </c>
      <c r="O48" s="2575">
        <f t="shared" si="12"/>
        <v>0.65400999999999998</v>
      </c>
      <c r="P48" s="2569">
        <f t="shared" si="13"/>
        <v>130355.39619130027</v>
      </c>
      <c r="Q48" s="2569">
        <f t="shared" si="14"/>
        <v>0</v>
      </c>
      <c r="R48" s="2569">
        <f t="shared" si="15"/>
        <v>130355.39619130027</v>
      </c>
      <c r="S48" s="2569">
        <f>-IFERROR(VLOOKUP(A48,'G-3.05,5.02 PF NE Labor'!$BR$33:$CD$40,13,FALSE),0)</f>
        <v>0</v>
      </c>
      <c r="T48" s="2569">
        <f t="shared" si="16"/>
        <v>130355.39619130027</v>
      </c>
      <c r="V48" s="2568">
        <f>VLOOKUP(A48,'G-3.05,5.02 PF NE Labor'!$BH$13:$BN$46,6,FALSE)</f>
        <v>1.840263128433552E-2</v>
      </c>
      <c r="W48" s="2568">
        <f>VLOOKUP(A48,'G-3.05,5.02 PF NE Labor'!$BH$13:$BN$46,7,FALSE)</f>
        <v>0.9815973687156645</v>
      </c>
      <c r="Y48" s="2574">
        <f t="shared" si="17"/>
        <v>127956.51389926831</v>
      </c>
      <c r="Z48" s="2574">
        <f t="shared" si="18"/>
        <v>5113.142295414762</v>
      </c>
      <c r="AA48" s="2574">
        <f t="shared" si="19"/>
        <v>5322.7862477873232</v>
      </c>
      <c r="AB48" s="2574">
        <f t="shared" si="20"/>
        <v>4638.9146706716083</v>
      </c>
      <c r="AC48" s="2574">
        <f t="shared" si="21"/>
        <v>5721.2542845256803</v>
      </c>
      <c r="AE48" s="2574">
        <f t="shared" si="22"/>
        <v>2398.8822920319735</v>
      </c>
      <c r="AF48" s="2574">
        <f t="shared" si="23"/>
        <v>61.627286082301403</v>
      </c>
      <c r="AG48" s="2574">
        <f t="shared" si="24"/>
        <v>98.420383124571003</v>
      </c>
      <c r="AH48" s="2574">
        <f t="shared" si="25"/>
        <v>78.200899615459136</v>
      </c>
      <c r="AI48" s="2574">
        <f t="shared" si="26"/>
        <v>105.4852344341722</v>
      </c>
      <c r="AK48" s="2574">
        <f t="shared" si="27"/>
        <v>135530.16577279734</v>
      </c>
      <c r="AL48" s="2574">
        <f t="shared" si="28"/>
        <v>140951.37240370925</v>
      </c>
      <c r="AM48" s="2574">
        <f t="shared" si="29"/>
        <v>140247.28134308438</v>
      </c>
      <c r="AN48" s="2574">
        <f t="shared" si="30"/>
        <v>146778.11192266908</v>
      </c>
      <c r="AR48" s="2582" t="s">
        <v>2303</v>
      </c>
      <c r="AZ48" s="182">
        <v>568000</v>
      </c>
      <c r="BA48" s="888">
        <v>263726.09000000008</v>
      </c>
      <c r="BB48" s="888">
        <v>30554.410000000003</v>
      </c>
      <c r="BC48" s="888">
        <v>33600.310000000012</v>
      </c>
      <c r="BD48" s="888">
        <v>327880.81000000011</v>
      </c>
      <c r="BE48" s="2603">
        <f t="shared" si="35"/>
        <v>0.10247720810498182</v>
      </c>
      <c r="BF48" s="1144">
        <f t="shared" si="36"/>
        <v>0.89752279189501816</v>
      </c>
      <c r="BM48" s="2603"/>
      <c r="BN48" s="1144"/>
    </row>
    <row r="49" spans="1:66">
      <c r="A49" s="2573">
        <v>908000</v>
      </c>
      <c r="B49" s="2569"/>
      <c r="C49" s="2569">
        <v>83487.890000000029</v>
      </c>
      <c r="D49" s="2569">
        <v>41869.570000000022</v>
      </c>
      <c r="E49" s="2569">
        <v>73221.040000000023</v>
      </c>
      <c r="F49" s="2623">
        <v>198578.50000000006</v>
      </c>
      <c r="G49" s="2569"/>
      <c r="H49" s="2569"/>
      <c r="I49" s="2569"/>
      <c r="J49" s="2569"/>
      <c r="K49" s="2569">
        <v>5775.09</v>
      </c>
      <c r="L49" s="2623">
        <v>5775.09</v>
      </c>
      <c r="M49" s="2569">
        <v>204353.59000000005</v>
      </c>
      <c r="N49" s="2576">
        <f t="shared" si="37"/>
        <v>2</v>
      </c>
      <c r="O49" s="2575">
        <f t="shared" si="12"/>
        <v>0.65400999999999998</v>
      </c>
      <c r="P49" s="2569">
        <f t="shared" si="13"/>
        <v>54601.914938900016</v>
      </c>
      <c r="Q49" s="2569">
        <f t="shared" si="14"/>
        <v>78996.130000000019</v>
      </c>
      <c r="R49" s="2569">
        <f t="shared" si="15"/>
        <v>133598.04493890004</v>
      </c>
      <c r="S49" s="2569">
        <f>-IFERROR(VLOOKUP(A49,'G-3.05,5.02 PF NE Labor'!$BR$33:$CD$40,13,FALSE),0)</f>
        <v>0</v>
      </c>
      <c r="T49" s="2569">
        <f t="shared" si="16"/>
        <v>133598.04493890004</v>
      </c>
      <c r="V49" s="2568">
        <f>VLOOKUP(A49,'G-3.05,5.02 PF NE Labor'!$BH$13:$BN$46,6,FALSE)</f>
        <v>0</v>
      </c>
      <c r="W49" s="2568">
        <f>VLOOKUP(A49,'G-3.05,5.02 PF NE Labor'!$BH$13:$BN$46,7,FALSE)</f>
        <v>1</v>
      </c>
      <c r="Y49" s="2574">
        <f t="shared" si="17"/>
        <v>133598.04493890004</v>
      </c>
      <c r="Z49" s="2574">
        <f t="shared" si="18"/>
        <v>5338.5778757584458</v>
      </c>
      <c r="AA49" s="2574">
        <f t="shared" si="19"/>
        <v>5557.4649125863389</v>
      </c>
      <c r="AB49" s="2574">
        <f t="shared" si="20"/>
        <v>4843.4418206172468</v>
      </c>
      <c r="AC49" s="2574">
        <f t="shared" si="21"/>
        <v>5973.5011819144829</v>
      </c>
      <c r="AE49" s="2574">
        <f t="shared" si="22"/>
        <v>0</v>
      </c>
      <c r="AF49" s="2574">
        <f t="shared" si="23"/>
        <v>0</v>
      </c>
      <c r="AG49" s="2574">
        <f t="shared" si="24"/>
        <v>0</v>
      </c>
      <c r="AH49" s="2574">
        <f t="shared" si="25"/>
        <v>0</v>
      </c>
      <c r="AI49" s="2574">
        <f t="shared" si="26"/>
        <v>0</v>
      </c>
      <c r="AK49" s="2574">
        <f t="shared" si="27"/>
        <v>138936.62281465848</v>
      </c>
      <c r="AL49" s="2574">
        <f t="shared" si="28"/>
        <v>144494.08772724483</v>
      </c>
      <c r="AM49" s="2574">
        <f t="shared" si="29"/>
        <v>143780.06463527572</v>
      </c>
      <c r="AN49" s="2574">
        <f t="shared" si="30"/>
        <v>150467.5889091593</v>
      </c>
      <c r="AT49" s="2589" t="str">
        <f>"365/365="</f>
        <v>365/365=</v>
      </c>
      <c r="AU49" s="2596">
        <f>ROUND(365/365,3)</f>
        <v>1</v>
      </c>
      <c r="AZ49" s="182">
        <v>543000</v>
      </c>
      <c r="BA49" s="888">
        <v>726.48</v>
      </c>
      <c r="BB49" s="888">
        <v>18024.910000000003</v>
      </c>
      <c r="BC49" s="888">
        <v>162305.99000000002</v>
      </c>
      <c r="BD49" s="888">
        <v>181057.38000000003</v>
      </c>
      <c r="BE49" s="2603">
        <f t="shared" si="35"/>
        <v>0.89643399236197929</v>
      </c>
      <c r="BF49" s="1144">
        <f t="shared" si="36"/>
        <v>0.10356600763802071</v>
      </c>
      <c r="BM49" s="2603"/>
      <c r="BN49" s="1144"/>
    </row>
    <row r="50" spans="1:66" ht="13.5" thickBot="1">
      <c r="A50" s="2573">
        <v>909000</v>
      </c>
      <c r="B50" s="2569"/>
      <c r="C50" s="2569">
        <v>9869.0499999999993</v>
      </c>
      <c r="D50" s="2569"/>
      <c r="E50" s="2569"/>
      <c r="F50" s="2623">
        <v>9869.0499999999993</v>
      </c>
      <c r="G50" s="2569"/>
      <c r="H50" s="2569">
        <v>10182.000000000002</v>
      </c>
      <c r="I50" s="2569"/>
      <c r="J50" s="2569"/>
      <c r="K50" s="2569"/>
      <c r="L50" s="2623">
        <v>10182.000000000002</v>
      </c>
      <c r="M50" s="2569">
        <v>20051.050000000003</v>
      </c>
      <c r="N50" s="2576">
        <f t="shared" si="37"/>
        <v>2</v>
      </c>
      <c r="O50" s="2575">
        <f t="shared" si="12"/>
        <v>0.65400999999999998</v>
      </c>
      <c r="P50" s="2569">
        <f t="shared" si="13"/>
        <v>13113.587210500002</v>
      </c>
      <c r="Q50" s="2569">
        <f t="shared" si="14"/>
        <v>0</v>
      </c>
      <c r="R50" s="2569">
        <f t="shared" si="15"/>
        <v>13113.587210500002</v>
      </c>
      <c r="S50" s="2569">
        <f>-IFERROR(VLOOKUP(A50,'G-3.05,5.02 PF NE Labor'!$BR$33:$CD$40,13,FALSE),0)</f>
        <v>0</v>
      </c>
      <c r="T50" s="2569">
        <f t="shared" si="16"/>
        <v>13113.587210500002</v>
      </c>
      <c r="V50" s="2568">
        <f>VLOOKUP(A50,'G-3.05,5.02 PF NE Labor'!$BH$13:$BN$46,6,FALSE)</f>
        <v>0</v>
      </c>
      <c r="W50" s="2568">
        <f>VLOOKUP(A50,'G-3.05,5.02 PF NE Labor'!$BH$13:$BN$46,7,FALSE)</f>
        <v>1</v>
      </c>
      <c r="Y50" s="2574">
        <f t="shared" si="17"/>
        <v>13113.587210500002</v>
      </c>
      <c r="Z50" s="2574">
        <f t="shared" si="18"/>
        <v>524.01894493158011</v>
      </c>
      <c r="AA50" s="2574">
        <f t="shared" si="19"/>
        <v>545.50424621726324</v>
      </c>
      <c r="AB50" s="2574">
        <f t="shared" si="20"/>
        <v>475.41786066326932</v>
      </c>
      <c r="AC50" s="2574">
        <f t="shared" si="21"/>
        <v>586.34113049248458</v>
      </c>
      <c r="AE50" s="2574">
        <f t="shared" si="22"/>
        <v>0</v>
      </c>
      <c r="AF50" s="2574">
        <f t="shared" si="23"/>
        <v>0</v>
      </c>
      <c r="AG50" s="2574">
        <f t="shared" si="24"/>
        <v>0</v>
      </c>
      <c r="AH50" s="2574">
        <f t="shared" si="25"/>
        <v>0</v>
      </c>
      <c r="AI50" s="2574">
        <f t="shared" si="26"/>
        <v>0</v>
      </c>
      <c r="AK50" s="2574">
        <f t="shared" si="27"/>
        <v>13637.606155431582</v>
      </c>
      <c r="AL50" s="2574">
        <f t="shared" si="28"/>
        <v>14183.110401648846</v>
      </c>
      <c r="AM50" s="2574">
        <f t="shared" si="29"/>
        <v>14113.024016094851</v>
      </c>
      <c r="AN50" s="2574">
        <f t="shared" si="30"/>
        <v>14769.451532141331</v>
      </c>
      <c r="AR50" s="2587" t="s">
        <v>2302</v>
      </c>
      <c r="AS50" s="2585"/>
      <c r="AT50" s="2585"/>
      <c r="AU50" s="2595">
        <f>ROUND(AU49*AU47,6)</f>
        <v>0.04</v>
      </c>
      <c r="AV50" s="2585" t="s">
        <v>2301</v>
      </c>
      <c r="AZ50" s="182">
        <v>923000</v>
      </c>
      <c r="BA50" s="888">
        <v>11073.449999999997</v>
      </c>
      <c r="BB50" s="888">
        <v>2410.6</v>
      </c>
      <c r="BC50" s="888">
        <v>164.17</v>
      </c>
      <c r="BD50" s="888">
        <v>13648.219999999998</v>
      </c>
      <c r="BE50" s="2603">
        <f t="shared" si="35"/>
        <v>1.2028674801549214E-2</v>
      </c>
      <c r="BF50" s="1144">
        <f t="shared" si="36"/>
        <v>0.98797132519845077</v>
      </c>
      <c r="BJ50" s="477" t="s">
        <v>194</v>
      </c>
      <c r="BK50" s="477" t="s">
        <v>1759</v>
      </c>
      <c r="BL50" s="2604">
        <f>BY41</f>
        <v>825902.38</v>
      </c>
      <c r="BM50" s="2603"/>
      <c r="BN50" s="1144"/>
    </row>
    <row r="51" spans="1:66" ht="13.5" thickTop="1">
      <c r="A51" s="2573">
        <v>910000</v>
      </c>
      <c r="B51" s="2569">
        <v>30980.19999999999</v>
      </c>
      <c r="C51" s="2569"/>
      <c r="D51" s="2569"/>
      <c r="E51" s="2569"/>
      <c r="F51" s="2623">
        <v>30980.19999999999</v>
      </c>
      <c r="G51" s="2569"/>
      <c r="H51" s="2569"/>
      <c r="I51" s="2569"/>
      <c r="J51" s="2569"/>
      <c r="K51" s="2569"/>
      <c r="L51" s="2623"/>
      <c r="M51" s="2569">
        <v>30980.19999999999</v>
      </c>
      <c r="N51" s="2576">
        <f t="shared" si="37"/>
        <v>2</v>
      </c>
      <c r="O51" s="2575">
        <f t="shared" si="12"/>
        <v>0.65400999999999998</v>
      </c>
      <c r="P51" s="2569">
        <f t="shared" si="13"/>
        <v>20261.360601999993</v>
      </c>
      <c r="Q51" s="2569">
        <f t="shared" si="14"/>
        <v>0</v>
      </c>
      <c r="R51" s="2569">
        <f t="shared" si="15"/>
        <v>20261.360601999993</v>
      </c>
      <c r="S51" s="2569">
        <f>-IFERROR(VLOOKUP(A51,'G-3.05,5.02 PF NE Labor'!$BR$33:$CD$40,13,FALSE),0)</f>
        <v>0</v>
      </c>
      <c r="T51" s="2569">
        <f t="shared" si="16"/>
        <v>20261.360601999993</v>
      </c>
      <c r="V51" s="2568">
        <f>VLOOKUP(A51,'G-3.05,5.02 PF NE Labor'!$BH$13:$BN$46,6,FALSE)</f>
        <v>0</v>
      </c>
      <c r="W51" s="2568">
        <f>VLOOKUP(A51,'G-3.05,5.02 PF NE Labor'!$BH$13:$BN$46,7,FALSE)</f>
        <v>1</v>
      </c>
      <c r="Y51" s="2574">
        <f t="shared" si="17"/>
        <v>20261.360601999993</v>
      </c>
      <c r="Z51" s="2574">
        <f t="shared" si="18"/>
        <v>809.64396965591982</v>
      </c>
      <c r="AA51" s="2574">
        <f t="shared" si="19"/>
        <v>842.84018286623655</v>
      </c>
      <c r="AB51" s="2574">
        <f t="shared" si="20"/>
        <v>734.55207617158248</v>
      </c>
      <c r="AC51" s="2574">
        <f t="shared" si="21"/>
        <v>905.93587322774931</v>
      </c>
      <c r="AE51" s="2574">
        <f t="shared" si="22"/>
        <v>0</v>
      </c>
      <c r="AF51" s="2574">
        <f t="shared" si="23"/>
        <v>0</v>
      </c>
      <c r="AG51" s="2574">
        <f t="shared" si="24"/>
        <v>0</v>
      </c>
      <c r="AH51" s="2574">
        <f t="shared" si="25"/>
        <v>0</v>
      </c>
      <c r="AI51" s="2574">
        <f t="shared" si="26"/>
        <v>0</v>
      </c>
      <c r="AK51" s="2574">
        <f t="shared" si="27"/>
        <v>21071.004571655914</v>
      </c>
      <c r="AL51" s="2574">
        <f t="shared" si="28"/>
        <v>21913.84475452215</v>
      </c>
      <c r="AM51" s="2574">
        <f t="shared" si="29"/>
        <v>21805.556647827496</v>
      </c>
      <c r="AN51" s="2574">
        <f t="shared" si="30"/>
        <v>22819.7806277499</v>
      </c>
      <c r="AZ51" s="182">
        <v>902000</v>
      </c>
      <c r="BA51" s="888">
        <v>216035.81000000008</v>
      </c>
      <c r="BB51" s="888">
        <v>47555.950000000012</v>
      </c>
      <c r="BC51" s="888">
        <v>185975.86000000002</v>
      </c>
      <c r="BD51" s="888">
        <v>449567.62000000011</v>
      </c>
      <c r="BE51" s="2603">
        <f t="shared" si="35"/>
        <v>0.41367716829784129</v>
      </c>
      <c r="BF51" s="1144">
        <f t="shared" si="36"/>
        <v>0.58632283170215871</v>
      </c>
      <c r="BK51" s="477" t="s">
        <v>2335</v>
      </c>
      <c r="BL51" s="2605">
        <f>M16</f>
        <v>3666652.1800000011</v>
      </c>
      <c r="BM51" s="2603"/>
      <c r="BN51" s="1144"/>
    </row>
    <row r="52" spans="1:66">
      <c r="A52" s="2573">
        <v>920000</v>
      </c>
      <c r="B52" s="2569">
        <v>7548848.6299999794</v>
      </c>
      <c r="C52" s="2569">
        <v>91061.959999999977</v>
      </c>
      <c r="D52" s="2569">
        <v>29627.610000000004</v>
      </c>
      <c r="E52" s="2569">
        <v>94628.080000000016</v>
      </c>
      <c r="F52" s="2623">
        <v>7764166.2799999798</v>
      </c>
      <c r="G52" s="2569">
        <v>411260.00999999989</v>
      </c>
      <c r="H52" s="2569"/>
      <c r="I52" s="2569"/>
      <c r="J52" s="2569"/>
      <c r="K52" s="2569">
        <v>24933.580000000005</v>
      </c>
      <c r="L52" s="2623">
        <v>436193.58999999991</v>
      </c>
      <c r="M52" s="2569">
        <v>8200359.8699999796</v>
      </c>
      <c r="N52" s="2576">
        <f t="shared" si="37"/>
        <v>2</v>
      </c>
      <c r="O52" s="2575">
        <f t="shared" si="12"/>
        <v>0.65400999999999998</v>
      </c>
      <c r="P52" s="2569">
        <f t="shared" si="13"/>
        <v>5265546.0841059862</v>
      </c>
      <c r="Q52" s="2569">
        <f t="shared" si="14"/>
        <v>119561.66000000002</v>
      </c>
      <c r="R52" s="2569">
        <f t="shared" si="15"/>
        <v>5385107.7441059863</v>
      </c>
      <c r="S52" s="2569">
        <f>-IFERROR(VLOOKUP(A52,'G-3.05,5.02 PF NE Labor'!$BR$33:$CD$40,13,FALSE),0)</f>
        <v>-454091.1241539999</v>
      </c>
      <c r="T52" s="2569">
        <f t="shared" si="16"/>
        <v>4931016.6199519867</v>
      </c>
      <c r="V52" s="2568">
        <f>VLOOKUP(A52,'G-3.05,5.02 PF NE Labor'!$BH$13:$BN$46,6,FALSE)</f>
        <v>9.7208643300520162E-2</v>
      </c>
      <c r="W52" s="2568">
        <f>VLOOKUP(A52,'G-3.05,5.02 PF NE Labor'!$BH$13:$BN$46,7,FALSE)</f>
        <v>0.90279135669947985</v>
      </c>
      <c r="Y52" s="2574">
        <f t="shared" si="17"/>
        <v>4451679.1842341376</v>
      </c>
      <c r="Z52" s="2574">
        <f t="shared" si="18"/>
        <v>177889.10020199616</v>
      </c>
      <c r="AA52" s="2574">
        <f t="shared" si="19"/>
        <v>185182.73137744537</v>
      </c>
      <c r="AB52" s="2574">
        <f t="shared" si="20"/>
        <v>161390.45405007116</v>
      </c>
      <c r="AC52" s="2574">
        <f t="shared" si="21"/>
        <v>199045.65879454603</v>
      </c>
      <c r="AE52" s="2574">
        <f t="shared" si="22"/>
        <v>479337.43571784929</v>
      </c>
      <c r="AF52" s="2574">
        <f t="shared" si="23"/>
        <v>12314.178723591549</v>
      </c>
      <c r="AG52" s="2574">
        <f t="shared" si="24"/>
        <v>19666.064577657635</v>
      </c>
      <c r="AH52" s="2574">
        <f t="shared" si="25"/>
        <v>15625.868270823648</v>
      </c>
      <c r="AI52" s="2574">
        <f t="shared" si="26"/>
        <v>21077.741891596885</v>
      </c>
      <c r="AK52" s="2574">
        <f t="shared" si="27"/>
        <v>5121219.8988775741</v>
      </c>
      <c r="AL52" s="2574">
        <f t="shared" si="28"/>
        <v>5326068.694832677</v>
      </c>
      <c r="AM52" s="2574">
        <f t="shared" si="29"/>
        <v>5298236.2211984694</v>
      </c>
      <c r="AN52" s="2574">
        <f t="shared" si="30"/>
        <v>5546192.09551882</v>
      </c>
      <c r="AR52" s="2594" t="str">
        <f>+AR25</f>
        <v>2025 Adjustment</v>
      </c>
      <c r="AS52" s="2593"/>
      <c r="AT52" s="2592"/>
      <c r="AU52" s="2583"/>
      <c r="AZ52" s="182">
        <v>561710</v>
      </c>
      <c r="BA52" s="888">
        <v>4566.5000000000009</v>
      </c>
      <c r="BB52" s="888"/>
      <c r="BC52" s="888"/>
      <c r="BD52" s="888">
        <v>4566.5000000000009</v>
      </c>
      <c r="BE52" s="2603">
        <f t="shared" si="35"/>
        <v>0</v>
      </c>
      <c r="BF52" s="1144">
        <f t="shared" si="36"/>
        <v>1</v>
      </c>
      <c r="BL52" s="2604">
        <f>SUM(BL50:BL51)+BL46</f>
        <v>24961940.190000009</v>
      </c>
      <c r="BM52" s="2603"/>
      <c r="BN52" s="1144"/>
    </row>
    <row r="53" spans="1:66">
      <c r="A53" s="2573">
        <v>921000</v>
      </c>
      <c r="B53" s="2569">
        <v>52288.76000000113</v>
      </c>
      <c r="C53" s="2569">
        <v>3843.3999999999996</v>
      </c>
      <c r="D53" s="2569"/>
      <c r="E53" s="2569"/>
      <c r="F53" s="2623">
        <v>56132.160000001131</v>
      </c>
      <c r="G53" s="2569"/>
      <c r="H53" s="2569"/>
      <c r="I53" s="2569"/>
      <c r="J53" s="2569"/>
      <c r="K53" s="2569"/>
      <c r="L53" s="2623"/>
      <c r="M53" s="2569">
        <v>56132.160000001131</v>
      </c>
      <c r="N53" s="2576">
        <f t="shared" ref="N53:N60" si="38">$B$71</f>
        <v>4</v>
      </c>
      <c r="O53" s="2575">
        <f t="shared" si="12"/>
        <v>0.71745999999999999</v>
      </c>
      <c r="P53" s="2569">
        <f t="shared" si="13"/>
        <v>40272.579513600809</v>
      </c>
      <c r="Q53" s="2569">
        <f t="shared" si="14"/>
        <v>0</v>
      </c>
      <c r="R53" s="2569">
        <f t="shared" si="15"/>
        <v>40272.579513600809</v>
      </c>
      <c r="S53" s="2569">
        <f>-IFERROR(VLOOKUP(A53,'G-3.05,5.02 PF NE Labor'!$BR$33:$CD$40,13,FALSE),0)</f>
        <v>-355.53012840000019</v>
      </c>
      <c r="T53" s="2569">
        <f t="shared" si="16"/>
        <v>39917.049385200808</v>
      </c>
      <c r="V53" s="2568">
        <f>VLOOKUP(A53,'G-3.05,5.02 PF NE Labor'!$BH$13:$BN$46,6,FALSE)</f>
        <v>0.31826419025669556</v>
      </c>
      <c r="W53" s="2568">
        <f>VLOOKUP(A53,'G-3.05,5.02 PF NE Labor'!$BH$13:$BN$46,7,FALSE)</f>
        <v>0.68173580974330439</v>
      </c>
      <c r="Y53" s="2574">
        <f t="shared" si="17"/>
        <v>27212.881985183343</v>
      </c>
      <c r="Z53" s="2574">
        <f t="shared" si="18"/>
        <v>1087.4267641279264</v>
      </c>
      <c r="AA53" s="2574">
        <f t="shared" si="19"/>
        <v>1132.0123499724507</v>
      </c>
      <c r="AB53" s="2574">
        <f t="shared" si="20"/>
        <v>986.57140324799036</v>
      </c>
      <c r="AC53" s="2574">
        <f t="shared" si="21"/>
        <v>1216.7557001012685</v>
      </c>
      <c r="AE53" s="2574">
        <f t="shared" si="22"/>
        <v>12704.167400017463</v>
      </c>
      <c r="AF53" s="2574">
        <f t="shared" si="23"/>
        <v>326.37006050644862</v>
      </c>
      <c r="AG53" s="2574">
        <f t="shared" si="24"/>
        <v>521.22149842095644</v>
      </c>
      <c r="AH53" s="2574">
        <f t="shared" si="25"/>
        <v>414.14175378535515</v>
      </c>
      <c r="AI53" s="2574">
        <f t="shared" si="26"/>
        <v>558.63602850920893</v>
      </c>
      <c r="AK53" s="2574">
        <f t="shared" si="27"/>
        <v>41330.846209835181</v>
      </c>
      <c r="AL53" s="2574">
        <f t="shared" si="28"/>
        <v>42984.080058228588</v>
      </c>
      <c r="AM53" s="2574">
        <f t="shared" si="29"/>
        <v>42731.559366868525</v>
      </c>
      <c r="AN53" s="2574">
        <f t="shared" si="30"/>
        <v>44759.471786839065</v>
      </c>
      <c r="AR53" s="2582" t="s">
        <v>2300</v>
      </c>
      <c r="AS53" s="2592"/>
      <c r="AT53" s="2592"/>
      <c r="AU53" s="2591">
        <v>0.04</v>
      </c>
      <c r="AZ53" s="182">
        <v>926100</v>
      </c>
      <c r="BA53" s="888">
        <v>188450.25000000009</v>
      </c>
      <c r="BB53" s="888">
        <v>22627.250000000011</v>
      </c>
      <c r="BC53" s="888">
        <v>138250.40999999995</v>
      </c>
      <c r="BD53" s="888">
        <v>349327.91000000003</v>
      </c>
      <c r="BE53" s="2603">
        <f t="shared" si="35"/>
        <v>0.39576113457410239</v>
      </c>
      <c r="BF53" s="1144">
        <f t="shared" si="36"/>
        <v>0.60423886542589766</v>
      </c>
      <c r="BL53" s="2604"/>
      <c r="BM53" s="2603"/>
      <c r="BN53" s="1144"/>
    </row>
    <row r="54" spans="1:66">
      <c r="A54" s="2573">
        <v>923000</v>
      </c>
      <c r="B54" s="2569">
        <v>1606.3099999999997</v>
      </c>
      <c r="C54" s="2569"/>
      <c r="D54" s="2569"/>
      <c r="E54" s="2569"/>
      <c r="F54" s="2623">
        <v>1606.3099999999997</v>
      </c>
      <c r="G54" s="2569"/>
      <c r="H54" s="2569"/>
      <c r="I54" s="2569"/>
      <c r="J54" s="2569"/>
      <c r="K54" s="2569"/>
      <c r="L54" s="2623"/>
      <c r="M54" s="2569">
        <v>1606.3099999999997</v>
      </c>
      <c r="N54" s="2576">
        <f t="shared" si="38"/>
        <v>4</v>
      </c>
      <c r="O54" s="2575">
        <f t="shared" si="12"/>
        <v>0.71745999999999999</v>
      </c>
      <c r="P54" s="2569">
        <f t="shared" si="13"/>
        <v>1152.4631725999998</v>
      </c>
      <c r="Q54" s="2569">
        <f t="shared" si="14"/>
        <v>0</v>
      </c>
      <c r="R54" s="2569">
        <f t="shared" si="15"/>
        <v>1152.4631725999998</v>
      </c>
      <c r="S54" s="2569">
        <f>-IFERROR(VLOOKUP(A54,'G-3.05,5.02 PF NE Labor'!$BR$33:$CD$40,13,FALSE),0)</f>
        <v>0</v>
      </c>
      <c r="T54" s="2569">
        <f t="shared" si="16"/>
        <v>1152.4631725999998</v>
      </c>
      <c r="V54" s="2568">
        <f>VLOOKUP(A54,'G-3.05,5.02 PF NE Labor'!$BH$13:$BN$46,6,FALSE)</f>
        <v>3.5820451843043992E-2</v>
      </c>
      <c r="W54" s="2568">
        <f>VLOOKUP(A54,'G-3.05,5.02 PF NE Labor'!$BH$13:$BN$46,7,FALSE)</f>
        <v>0.96417954815695606</v>
      </c>
      <c r="Y54" s="2574">
        <f t="shared" si="17"/>
        <v>1111.1814210249997</v>
      </c>
      <c r="Z54" s="2574">
        <f t="shared" si="18"/>
        <v>44.402809584158994</v>
      </c>
      <c r="AA54" s="2574">
        <f t="shared" si="19"/>
        <v>46.223369224366351</v>
      </c>
      <c r="AB54" s="2574">
        <f t="shared" si="20"/>
        <v>40.284590746419759</v>
      </c>
      <c r="AC54" s="2574">
        <f t="shared" si="21"/>
        <v>49.683687623197791</v>
      </c>
      <c r="AE54" s="2574">
        <f t="shared" si="22"/>
        <v>41.281751574999987</v>
      </c>
      <c r="AF54" s="2574">
        <f t="shared" si="23"/>
        <v>1.0605281979617498</v>
      </c>
      <c r="AG54" s="2574">
        <f t="shared" si="24"/>
        <v>1.6936911909184695</v>
      </c>
      <c r="AH54" s="2574">
        <f t="shared" si="25"/>
        <v>1.3457392726561792</v>
      </c>
      <c r="AI54" s="2574">
        <f t="shared" si="26"/>
        <v>1.8152684094614557</v>
      </c>
      <c r="AK54" s="2574">
        <f t="shared" si="27"/>
        <v>1197.9265103821206</v>
      </c>
      <c r="AL54" s="2574">
        <f t="shared" si="28"/>
        <v>1245.8435707974054</v>
      </c>
      <c r="AM54" s="2574">
        <f t="shared" si="29"/>
        <v>1239.5568404011965</v>
      </c>
      <c r="AN54" s="2574">
        <f t="shared" si="30"/>
        <v>1297.3425268300646</v>
      </c>
      <c r="AR54" s="2582" t="s">
        <v>2299</v>
      </c>
      <c r="AU54" s="2590"/>
      <c r="AZ54" s="182">
        <v>545000</v>
      </c>
      <c r="BA54" s="888">
        <v>55606.320000000022</v>
      </c>
      <c r="BB54" s="888">
        <v>1364.84</v>
      </c>
      <c r="BC54" s="888">
        <v>306191.71000000002</v>
      </c>
      <c r="BD54" s="888">
        <v>363162.87000000005</v>
      </c>
      <c r="BE54" s="2603">
        <f t="shared" si="35"/>
        <v>0.84312504194054849</v>
      </c>
      <c r="BF54" s="1144">
        <f t="shared" si="36"/>
        <v>0.15687495805945151</v>
      </c>
      <c r="BK54" s="890" t="s">
        <v>2336</v>
      </c>
      <c r="BL54" s="2606">
        <f>M17</f>
        <v>24961940.190000087</v>
      </c>
      <c r="BM54" s="2603"/>
      <c r="BN54" s="1144"/>
    </row>
    <row r="55" spans="1:66">
      <c r="A55" s="2573">
        <v>925100</v>
      </c>
      <c r="B55" s="2569">
        <v>25.830000000000002</v>
      </c>
      <c r="C55" s="2569"/>
      <c r="D55" s="2569"/>
      <c r="E55" s="2569"/>
      <c r="F55" s="2623">
        <v>25.830000000000002</v>
      </c>
      <c r="G55" s="2569"/>
      <c r="H55" s="2569"/>
      <c r="I55" s="2569"/>
      <c r="J55" s="2569"/>
      <c r="K55" s="2569"/>
      <c r="L55" s="2623"/>
      <c r="M55" s="2569">
        <v>25.830000000000002</v>
      </c>
      <c r="N55" s="2576">
        <f t="shared" si="38"/>
        <v>4</v>
      </c>
      <c r="O55" s="2575">
        <f t="shared" si="12"/>
        <v>0.71745999999999999</v>
      </c>
      <c r="P55" s="2569">
        <f t="shared" si="13"/>
        <v>18.5319918</v>
      </c>
      <c r="Q55" s="2569">
        <f t="shared" si="14"/>
        <v>0</v>
      </c>
      <c r="R55" s="2569">
        <f t="shared" si="15"/>
        <v>18.5319918</v>
      </c>
      <c r="S55" s="2569">
        <f>-IFERROR(VLOOKUP(A55,'G-3.05,5.02 PF NE Labor'!$BR$33:$CD$40,13,FALSE),0)</f>
        <v>0</v>
      </c>
      <c r="T55" s="2569">
        <f t="shared" si="16"/>
        <v>18.5319918</v>
      </c>
      <c r="V55" s="2568">
        <f>VLOOKUP(A55,'G-3.05,5.02 PF NE Labor'!$BH$13:$BN$46,6,FALSE)</f>
        <v>0</v>
      </c>
      <c r="W55" s="2568">
        <f>VLOOKUP(A55,'G-3.05,5.02 PF NE Labor'!$BH$13:$BN$46,7,FALSE)</f>
        <v>1</v>
      </c>
      <c r="Y55" s="2574">
        <f t="shared" si="17"/>
        <v>18.5319918</v>
      </c>
      <c r="Z55" s="2574">
        <f t="shared" si="18"/>
        <v>0.74053839232800001</v>
      </c>
      <c r="AA55" s="2574">
        <f t="shared" si="19"/>
        <v>0.77090120769311998</v>
      </c>
      <c r="AB55" s="2574">
        <f t="shared" si="20"/>
        <v>0.67185582052870796</v>
      </c>
      <c r="AC55" s="2574">
        <f t="shared" si="21"/>
        <v>0.8286114888219932</v>
      </c>
      <c r="AE55" s="2574">
        <f t="shared" si="22"/>
        <v>0</v>
      </c>
      <c r="AF55" s="2574">
        <f t="shared" si="23"/>
        <v>0</v>
      </c>
      <c r="AG55" s="2574">
        <f t="shared" si="24"/>
        <v>0</v>
      </c>
      <c r="AH55" s="2574">
        <f t="shared" si="25"/>
        <v>0</v>
      </c>
      <c r="AI55" s="2574">
        <f t="shared" si="26"/>
        <v>0</v>
      </c>
      <c r="AK55" s="2574">
        <f t="shared" si="27"/>
        <v>19.272530192327999</v>
      </c>
      <c r="AL55" s="2574">
        <f t="shared" si="28"/>
        <v>20.04343140002112</v>
      </c>
      <c r="AM55" s="2574">
        <f t="shared" si="29"/>
        <v>19.944386012856707</v>
      </c>
      <c r="AN55" s="2574">
        <f t="shared" si="30"/>
        <v>20.872042888843115</v>
      </c>
      <c r="AT55" s="2589" t="str">
        <f>"306/365="</f>
        <v>306/365=</v>
      </c>
      <c r="AU55" s="2588">
        <f>ROUND(306/365,3)</f>
        <v>0.83799999999999997</v>
      </c>
      <c r="AV55" s="2582" t="s">
        <v>2298</v>
      </c>
      <c r="AZ55" s="182">
        <v>561510</v>
      </c>
      <c r="BA55" s="888">
        <v>435898.98999999993</v>
      </c>
      <c r="BB55" s="888"/>
      <c r="BC55" s="888"/>
      <c r="BD55" s="888">
        <v>435898.98999999993</v>
      </c>
      <c r="BE55" s="2603">
        <f t="shared" si="35"/>
        <v>0</v>
      </c>
      <c r="BF55" s="1144">
        <f t="shared" si="36"/>
        <v>1</v>
      </c>
      <c r="BM55" s="2603"/>
      <c r="BN55" s="1144"/>
    </row>
    <row r="56" spans="1:66" ht="13.5" thickBot="1">
      <c r="A56" s="2573">
        <v>926100</v>
      </c>
      <c r="B56" s="2569">
        <v>90648.010000000097</v>
      </c>
      <c r="C56" s="2569">
        <v>361.0800000000001</v>
      </c>
      <c r="D56" s="2569"/>
      <c r="E56" s="2569">
        <v>613.26</v>
      </c>
      <c r="F56" s="2623">
        <v>91622.350000000093</v>
      </c>
      <c r="G56" s="2569">
        <v>2586.2800000000002</v>
      </c>
      <c r="H56" s="2569"/>
      <c r="I56" s="2569"/>
      <c r="J56" s="2569"/>
      <c r="K56" s="2569"/>
      <c r="L56" s="2623">
        <v>2586.2800000000002</v>
      </c>
      <c r="M56" s="2569">
        <v>94208.630000000092</v>
      </c>
      <c r="N56" s="2576">
        <f t="shared" si="38"/>
        <v>4</v>
      </c>
      <c r="O56" s="2575">
        <f t="shared" si="12"/>
        <v>0.71745999999999999</v>
      </c>
      <c r="P56" s="2569">
        <f t="shared" si="13"/>
        <v>67150.934160200064</v>
      </c>
      <c r="Q56" s="2569">
        <f t="shared" si="14"/>
        <v>613.26</v>
      </c>
      <c r="R56" s="2569">
        <f t="shared" si="15"/>
        <v>67764.194160200059</v>
      </c>
      <c r="S56" s="2569">
        <f>-IFERROR(VLOOKUP(A56,'G-3.05,5.02 PF NE Labor'!$BR$33:$CD$40,13,FALSE),0)</f>
        <v>-234.86053100000001</v>
      </c>
      <c r="T56" s="2569">
        <f t="shared" si="16"/>
        <v>67529.33362920006</v>
      </c>
      <c r="V56" s="2568">
        <f>VLOOKUP(A56,'G-3.05,5.02 PF NE Labor'!$BH$13:$BN$46,6,FALSE)</f>
        <v>0.31483859423844068</v>
      </c>
      <c r="W56" s="2568">
        <f>VLOOKUP(A56,'G-3.05,5.02 PF NE Labor'!$BH$13:$BN$46,7,FALSE)</f>
        <v>0.68516140576155937</v>
      </c>
      <c r="Y56" s="2574">
        <f t="shared" si="17"/>
        <v>46268.493159524056</v>
      </c>
      <c r="Z56" s="2574">
        <f t="shared" si="18"/>
        <v>1848.8889866545815</v>
      </c>
      <c r="AA56" s="2574">
        <f t="shared" si="19"/>
        <v>1924.6952858471454</v>
      </c>
      <c r="AB56" s="2574">
        <f t="shared" si="20"/>
        <v>1677.4104355215043</v>
      </c>
      <c r="AC56" s="2574">
        <f t="shared" si="21"/>
        <v>2068.7795147018915</v>
      </c>
      <c r="AE56" s="2574">
        <f t="shared" si="22"/>
        <v>21260.840469676004</v>
      </c>
      <c r="AF56" s="2574">
        <f t="shared" si="23"/>
        <v>546.19099166597653</v>
      </c>
      <c r="AG56" s="2574">
        <f t="shared" si="24"/>
        <v>872.28125845367924</v>
      </c>
      <c r="AH56" s="2574">
        <f t="shared" si="25"/>
        <v>693.07979671695534</v>
      </c>
      <c r="AI56" s="2574">
        <f t="shared" si="26"/>
        <v>934.89570066050464</v>
      </c>
      <c r="AK56" s="2574">
        <f t="shared" si="27"/>
        <v>69924.413607520619</v>
      </c>
      <c r="AL56" s="2574">
        <f t="shared" si="28"/>
        <v>72721.390151821441</v>
      </c>
      <c r="AM56" s="2574">
        <f t="shared" si="29"/>
        <v>72294.903839759078</v>
      </c>
      <c r="AN56" s="2574">
        <f t="shared" si="30"/>
        <v>75725.065367183837</v>
      </c>
      <c r="AR56" s="2587" t="s">
        <v>2297</v>
      </c>
      <c r="AS56" s="2585"/>
      <c r="AT56" s="2585"/>
      <c r="AU56" s="2586">
        <f>ROUND(AU55*AU53,6)</f>
        <v>3.3520000000000001E-2</v>
      </c>
      <c r="AV56" s="2585" t="s">
        <v>2296</v>
      </c>
      <c r="AZ56" s="182">
        <v>596000</v>
      </c>
      <c r="BA56" s="888"/>
      <c r="BB56" s="888"/>
      <c r="BC56" s="888">
        <v>59957.85999999995</v>
      </c>
      <c r="BD56" s="888">
        <v>59957.85999999995</v>
      </c>
      <c r="BE56" s="2603">
        <f t="shared" si="35"/>
        <v>1</v>
      </c>
      <c r="BF56" s="1144">
        <f t="shared" si="36"/>
        <v>0</v>
      </c>
      <c r="BL56" s="1082"/>
      <c r="BM56" s="2603"/>
      <c r="BN56" s="1144"/>
    </row>
    <row r="57" spans="1:66" ht="13.5" thickTop="1">
      <c r="A57" s="2573">
        <v>928000</v>
      </c>
      <c r="B57" s="2569">
        <v>227751.91</v>
      </c>
      <c r="C57" s="2569">
        <v>927.85</v>
      </c>
      <c r="D57" s="2569">
        <v>76554.859999999957</v>
      </c>
      <c r="E57" s="2569">
        <v>43433.640000000007</v>
      </c>
      <c r="F57" s="2623">
        <v>348668.26</v>
      </c>
      <c r="G57" s="2569">
        <v>1393.18</v>
      </c>
      <c r="H57" s="2569">
        <v>3268.08</v>
      </c>
      <c r="I57" s="2569">
        <v>6000.7999999999993</v>
      </c>
      <c r="J57" s="2569"/>
      <c r="K57" s="2569">
        <v>6218.699999999998</v>
      </c>
      <c r="L57" s="2623">
        <v>16880.759999999998</v>
      </c>
      <c r="M57" s="2569">
        <v>365549.02</v>
      </c>
      <c r="N57" s="2576">
        <f t="shared" si="38"/>
        <v>4</v>
      </c>
      <c r="O57" s="2575">
        <f t="shared" si="12"/>
        <v>0.71745999999999999</v>
      </c>
      <c r="P57" s="2569">
        <f t="shared" si="13"/>
        <v>167412.84820919996</v>
      </c>
      <c r="Q57" s="2569">
        <f t="shared" si="14"/>
        <v>49652.340000000004</v>
      </c>
      <c r="R57" s="2569">
        <f t="shared" si="15"/>
        <v>217065.18820919996</v>
      </c>
      <c r="S57" s="2569">
        <f>-IFERROR(VLOOKUP(A57,'G-3.05,5.02 PF NE Labor'!$BR$33:$CD$40,13,FALSE),0)</f>
        <v>-10586.98</v>
      </c>
      <c r="T57" s="2569">
        <f t="shared" si="16"/>
        <v>206478.20820919995</v>
      </c>
      <c r="V57" s="2568">
        <f>VLOOKUP(A57,'G-3.05,5.02 PF NE Labor'!$BH$13:$BN$46,6,FALSE)</f>
        <v>0</v>
      </c>
      <c r="W57" s="2568">
        <f>VLOOKUP(A57,'G-3.05,5.02 PF NE Labor'!$BH$13:$BN$46,7,FALSE)</f>
        <v>1</v>
      </c>
      <c r="Y57" s="2574">
        <f t="shared" si="17"/>
        <v>206478.20820919995</v>
      </c>
      <c r="Z57" s="2574">
        <f t="shared" si="18"/>
        <v>8250.8692000396295</v>
      </c>
      <c r="AA57" s="2574">
        <f t="shared" si="19"/>
        <v>8589.1630963695825</v>
      </c>
      <c r="AB57" s="2574">
        <f t="shared" si="20"/>
        <v>7485.6274217480195</v>
      </c>
      <c r="AC57" s="2574">
        <f t="shared" si="21"/>
        <v>9232.1547170942868</v>
      </c>
      <c r="AE57" s="2574">
        <f t="shared" si="22"/>
        <v>0</v>
      </c>
      <c r="AF57" s="2574">
        <f t="shared" si="23"/>
        <v>0</v>
      </c>
      <c r="AG57" s="2574">
        <f t="shared" si="24"/>
        <v>0</v>
      </c>
      <c r="AH57" s="2574">
        <f t="shared" si="25"/>
        <v>0</v>
      </c>
      <c r="AI57" s="2574">
        <f t="shared" si="26"/>
        <v>0</v>
      </c>
      <c r="AK57" s="2574">
        <f t="shared" si="27"/>
        <v>214729.07740923957</v>
      </c>
      <c r="AL57" s="2574">
        <f t="shared" si="28"/>
        <v>223318.24050560917</v>
      </c>
      <c r="AM57" s="2574">
        <f t="shared" si="29"/>
        <v>222214.70483098758</v>
      </c>
      <c r="AN57" s="2574">
        <f t="shared" si="30"/>
        <v>232550.39522270346</v>
      </c>
      <c r="AZ57" s="182">
        <v>563000</v>
      </c>
      <c r="BA57" s="888">
        <v>-786.31999999999994</v>
      </c>
      <c r="BB57" s="888">
        <v>490</v>
      </c>
      <c r="BC57" s="888">
        <v>55660.409999999989</v>
      </c>
      <c r="BD57" s="888">
        <v>55364.089999999989</v>
      </c>
      <c r="BE57" s="2603">
        <f t="shared" si="35"/>
        <v>1.0053522057348003</v>
      </c>
      <c r="BF57" s="1144">
        <f t="shared" si="36"/>
        <v>-5.3522057348003305E-3</v>
      </c>
      <c r="BM57" s="2603"/>
      <c r="BN57" s="1144"/>
    </row>
    <row r="58" spans="1:66">
      <c r="A58" s="2573">
        <v>930200</v>
      </c>
      <c r="B58" s="2569">
        <v>64922.69999999999</v>
      </c>
      <c r="C58" s="2569">
        <v>14362.33</v>
      </c>
      <c r="D58" s="2569"/>
      <c r="E58" s="2569">
        <v>1387.2699999999998</v>
      </c>
      <c r="F58" s="2623">
        <v>80672.299999999988</v>
      </c>
      <c r="G58" s="2569">
        <v>103889.00000000009</v>
      </c>
      <c r="H58" s="2569"/>
      <c r="I58" s="2569"/>
      <c r="J58" s="2569"/>
      <c r="K58" s="2569"/>
      <c r="L58" s="2623">
        <v>103889.00000000009</v>
      </c>
      <c r="M58" s="2569">
        <v>184561.30000000008</v>
      </c>
      <c r="N58" s="2576">
        <f t="shared" si="38"/>
        <v>4</v>
      </c>
      <c r="O58" s="2575">
        <f t="shared" si="12"/>
        <v>0.71745999999999999</v>
      </c>
      <c r="P58" s="2569">
        <f t="shared" si="13"/>
        <v>131420.03956380003</v>
      </c>
      <c r="Q58" s="2569">
        <f t="shared" si="14"/>
        <v>1387.2699999999998</v>
      </c>
      <c r="R58" s="2569">
        <f t="shared" si="15"/>
        <v>132807.30956380002</v>
      </c>
      <c r="S58" s="2569">
        <f>-IFERROR(VLOOKUP(A58,'G-3.05,5.02 PF NE Labor'!$BR$33:$CD$40,13,FALSE),0)</f>
        <v>-6038.6168835999997</v>
      </c>
      <c r="T58" s="2569">
        <f t="shared" si="16"/>
        <v>126768.69268020002</v>
      </c>
      <c r="V58" s="2568">
        <f>VLOOKUP(A58,'G-3.05,5.02 PF NE Labor'!$BH$13:$BN$46,6,FALSE)</f>
        <v>0.2622840541284861</v>
      </c>
      <c r="W58" s="2568">
        <f>VLOOKUP(A58,'G-3.05,5.02 PF NE Labor'!$BH$13:$BN$46,7,FALSE)</f>
        <v>0.7377159458715139</v>
      </c>
      <c r="Y58" s="2574">
        <f t="shared" si="17"/>
        <v>93519.286027469017</v>
      </c>
      <c r="Z58" s="2574">
        <f t="shared" si="18"/>
        <v>3737.0306696576622</v>
      </c>
      <c r="AA58" s="2574">
        <f t="shared" si="19"/>
        <v>3890.2526678850672</v>
      </c>
      <c r="AB58" s="2574">
        <f t="shared" si="20"/>
        <v>3390.4330051151937</v>
      </c>
      <c r="AC58" s="2574">
        <f t="shared" si="21"/>
        <v>4181.4800948050779</v>
      </c>
      <c r="AE58" s="2574">
        <f t="shared" si="22"/>
        <v>33249.406652731006</v>
      </c>
      <c r="AF58" s="2574">
        <f t="shared" si="23"/>
        <v>854.17725690865961</v>
      </c>
      <c r="AG58" s="2574">
        <f t="shared" si="24"/>
        <v>1364.1433563855867</v>
      </c>
      <c r="AH58" s="2574">
        <f t="shared" si="25"/>
        <v>1083.8937452497319</v>
      </c>
      <c r="AI58" s="2574">
        <f t="shared" si="26"/>
        <v>1462.0648404509996</v>
      </c>
      <c r="AK58" s="2574">
        <f t="shared" si="27"/>
        <v>131359.90060676634</v>
      </c>
      <c r="AL58" s="2574">
        <f t="shared" si="28"/>
        <v>136614.296631037</v>
      </c>
      <c r="AM58" s="2574">
        <f t="shared" si="29"/>
        <v>135834.22735713125</v>
      </c>
      <c r="AN58" s="2574">
        <f t="shared" si="30"/>
        <v>142257.84156629306</v>
      </c>
      <c r="AR58" s="2594" t="str">
        <f>+AR31</f>
        <v>2026 Adjustment</v>
      </c>
      <c r="AS58" s="2593"/>
      <c r="AT58" s="2592"/>
      <c r="AZ58" s="182">
        <v>571000</v>
      </c>
      <c r="BA58" s="888">
        <v>3416.9</v>
      </c>
      <c r="BB58" s="888"/>
      <c r="BC58" s="888">
        <v>17493.919999999995</v>
      </c>
      <c r="BD58" s="888">
        <v>20910.819999999996</v>
      </c>
      <c r="BE58" s="2603">
        <f t="shared" si="35"/>
        <v>0.83659655623261053</v>
      </c>
      <c r="BF58" s="1144">
        <f t="shared" si="36"/>
        <v>0.16340344376738947</v>
      </c>
      <c r="BM58" s="2603"/>
      <c r="BN58" s="1144"/>
    </row>
    <row r="59" spans="1:66">
      <c r="A59" s="2573">
        <v>931000</v>
      </c>
      <c r="B59" s="2569">
        <v>9.91</v>
      </c>
      <c r="C59" s="2569">
        <v>226.8</v>
      </c>
      <c r="D59" s="2569"/>
      <c r="E59" s="2569"/>
      <c r="F59" s="2623">
        <v>236.71</v>
      </c>
      <c r="G59" s="2569"/>
      <c r="H59" s="2569"/>
      <c r="I59" s="2569"/>
      <c r="J59" s="2569"/>
      <c r="K59" s="2569"/>
      <c r="L59" s="2623"/>
      <c r="M59" s="2569">
        <v>236.71</v>
      </c>
      <c r="N59" s="2576">
        <f t="shared" si="38"/>
        <v>4</v>
      </c>
      <c r="O59" s="2575">
        <f t="shared" si="12"/>
        <v>0.71745999999999999</v>
      </c>
      <c r="P59" s="2569">
        <f t="shared" si="13"/>
        <v>169.8299566</v>
      </c>
      <c r="Q59" s="2569">
        <f t="shared" si="14"/>
        <v>0</v>
      </c>
      <c r="R59" s="2569">
        <f t="shared" si="15"/>
        <v>169.8299566</v>
      </c>
      <c r="S59" s="2569">
        <f>-IFERROR(VLOOKUP(A59,'G-3.05,5.02 PF NE Labor'!$BR$33:$CD$40,13,FALSE),0)</f>
        <v>0</v>
      </c>
      <c r="T59" s="2569">
        <f t="shared" si="16"/>
        <v>169.8299566</v>
      </c>
      <c r="V59" s="2568">
        <f>VLOOKUP(A59,'G-3.05,5.02 PF NE Labor'!$BH$13:$BN$46,6,FALSE)</f>
        <v>0</v>
      </c>
      <c r="W59" s="2568">
        <f>VLOOKUP(A59,'G-3.05,5.02 PF NE Labor'!$BH$13:$BN$46,7,FALSE)</f>
        <v>1</v>
      </c>
      <c r="Y59" s="2574">
        <f t="shared" si="17"/>
        <v>169.8299566</v>
      </c>
      <c r="Z59" s="2574">
        <f t="shared" si="18"/>
        <v>6.7864050657360009</v>
      </c>
      <c r="AA59" s="2574">
        <f t="shared" si="19"/>
        <v>7.0646544666294409</v>
      </c>
      <c r="AB59" s="2574">
        <f t="shared" si="20"/>
        <v>6.1569876607568901</v>
      </c>
      <c r="AC59" s="2574">
        <f t="shared" si="21"/>
        <v>7.5935201517248938</v>
      </c>
      <c r="AE59" s="2574">
        <f t="shared" si="22"/>
        <v>0</v>
      </c>
      <c r="AF59" s="2574">
        <f t="shared" si="23"/>
        <v>0</v>
      </c>
      <c r="AG59" s="2574">
        <f t="shared" si="24"/>
        <v>0</v>
      </c>
      <c r="AH59" s="2574">
        <f t="shared" si="25"/>
        <v>0</v>
      </c>
      <c r="AI59" s="2574">
        <f t="shared" si="26"/>
        <v>0</v>
      </c>
      <c r="AK59" s="2574">
        <f t="shared" si="27"/>
        <v>176.61636166573601</v>
      </c>
      <c r="AL59" s="2574">
        <f t="shared" si="28"/>
        <v>183.68101613236544</v>
      </c>
      <c r="AM59" s="2574">
        <f t="shared" si="29"/>
        <v>182.77334932649291</v>
      </c>
      <c r="AN59" s="2574">
        <f t="shared" si="30"/>
        <v>191.27453628409035</v>
      </c>
      <c r="AR59" s="2582" t="s">
        <v>2295</v>
      </c>
      <c r="AS59" s="2592"/>
      <c r="AT59" s="2592"/>
      <c r="AU59" s="2591">
        <v>0.04</v>
      </c>
      <c r="AZ59" s="182">
        <v>586000</v>
      </c>
      <c r="BA59" s="888">
        <v>290701.24999999994</v>
      </c>
      <c r="BB59" s="888"/>
      <c r="BC59" s="888">
        <v>1082361.2600000014</v>
      </c>
      <c r="BD59" s="888">
        <v>1373062.5100000014</v>
      </c>
      <c r="BE59" s="2603">
        <f t="shared" si="35"/>
        <v>0.7882825815410256</v>
      </c>
      <c r="BF59" s="1144">
        <f t="shared" si="36"/>
        <v>0.2117174184589744</v>
      </c>
      <c r="BM59" s="2603"/>
      <c r="BN59" s="1144"/>
    </row>
    <row r="60" spans="1:66">
      <c r="A60" s="2573">
        <v>935000</v>
      </c>
      <c r="B60" s="2569">
        <v>280327.67000000016</v>
      </c>
      <c r="C60" s="2569">
        <v>4838.0399999999981</v>
      </c>
      <c r="D60" s="2569">
        <v>19224.439999999995</v>
      </c>
      <c r="E60" s="2569">
        <v>6877.3699999999972</v>
      </c>
      <c r="F60" s="2623">
        <v>311267.52000000014</v>
      </c>
      <c r="G60" s="2569"/>
      <c r="H60" s="2569"/>
      <c r="I60" s="2569"/>
      <c r="J60" s="2569"/>
      <c r="K60" s="2569">
        <v>26514.33</v>
      </c>
      <c r="L60" s="2623">
        <v>26514.33</v>
      </c>
      <c r="M60" s="2569">
        <v>337781.85000000015</v>
      </c>
      <c r="N60" s="2576">
        <f t="shared" si="38"/>
        <v>4</v>
      </c>
      <c r="O60" s="2575">
        <f t="shared" si="12"/>
        <v>0.71745999999999999</v>
      </c>
      <c r="P60" s="2569">
        <f t="shared" si="13"/>
        <v>204594.9902966001</v>
      </c>
      <c r="Q60" s="2569">
        <f t="shared" si="14"/>
        <v>33391.699999999997</v>
      </c>
      <c r="R60" s="2569">
        <f t="shared" si="15"/>
        <v>237986.69029660011</v>
      </c>
      <c r="S60" s="2569">
        <f>-IFERROR(VLOOKUP(A60,'G-3.05,5.02 PF NE Labor'!$BR$33:$CD$40,13,FALSE),0)</f>
        <v>0</v>
      </c>
      <c r="T60" s="2569">
        <f t="shared" si="16"/>
        <v>237986.69029660011</v>
      </c>
      <c r="V60" s="2568">
        <f>VLOOKUP(A60,'G-3.05,5.02 PF NE Labor'!$BH$13:$BN$46,6,FALSE)</f>
        <v>0.65499841261417469</v>
      </c>
      <c r="W60" s="2568">
        <f>VLOOKUP(A60,'G-3.05,5.02 PF NE Labor'!$BH$13:$BN$46,7,FALSE)</f>
        <v>0.34500158738582531</v>
      </c>
      <c r="Y60" s="2574">
        <f t="shared" si="17"/>
        <v>82105.78592902582</v>
      </c>
      <c r="Z60" s="2574">
        <f t="shared" si="18"/>
        <v>3280.9472057238718</v>
      </c>
      <c r="AA60" s="2574">
        <f t="shared" si="19"/>
        <v>3415.4693253899877</v>
      </c>
      <c r="AB60" s="2574">
        <f t="shared" si="20"/>
        <v>2976.6498264638822</v>
      </c>
      <c r="AC60" s="2574">
        <f t="shared" si="21"/>
        <v>3671.1540914641428</v>
      </c>
      <c r="AE60" s="2574">
        <f t="shared" si="22"/>
        <v>155880.90436757429</v>
      </c>
      <c r="AF60" s="2574">
        <f t="shared" si="23"/>
        <v>4004.5804332029834</v>
      </c>
      <c r="AG60" s="2574">
        <f t="shared" si="24"/>
        <v>6395.4193920310918</v>
      </c>
      <c r="AH60" s="2574">
        <f t="shared" si="25"/>
        <v>5081.5444321322238</v>
      </c>
      <c r="AI60" s="2574">
        <f t="shared" si="26"/>
        <v>6854.4979449976236</v>
      </c>
      <c r="AK60" s="2574">
        <f t="shared" si="27"/>
        <v>245272.21793552698</v>
      </c>
      <c r="AL60" s="2574">
        <f t="shared" si="28"/>
        <v>255083.10665294804</v>
      </c>
      <c r="AM60" s="2574">
        <f t="shared" si="29"/>
        <v>253330.41219412308</v>
      </c>
      <c r="AN60" s="2574">
        <f t="shared" si="30"/>
        <v>265608.75868940982</v>
      </c>
      <c r="AR60" s="2582" t="s">
        <v>2294</v>
      </c>
      <c r="AU60" s="2590"/>
      <c r="AZ60" s="182">
        <v>935000</v>
      </c>
      <c r="BA60" s="888">
        <v>299449.69000000006</v>
      </c>
      <c r="BB60" s="888">
        <v>289383.46000000002</v>
      </c>
      <c r="BC60" s="888">
        <v>886852.86999999988</v>
      </c>
      <c r="BD60" s="888">
        <v>1475686.02</v>
      </c>
      <c r="BE60" s="2603">
        <f t="shared" si="35"/>
        <v>0.6009766698203185</v>
      </c>
      <c r="BF60" s="1144">
        <f t="shared" si="36"/>
        <v>0.3990233301796815</v>
      </c>
      <c r="BM60" s="2603"/>
      <c r="BN60" s="1144"/>
    </row>
    <row r="61" spans="1:66">
      <c r="A61" s="2624" t="s">
        <v>978</v>
      </c>
      <c r="B61" s="2625">
        <v>11293719.369999986</v>
      </c>
      <c r="C61" s="2625">
        <v>299357.62</v>
      </c>
      <c r="D61" s="2625">
        <v>423907.17</v>
      </c>
      <c r="E61" s="2625">
        <v>543552.03999999992</v>
      </c>
      <c r="F61" s="2625">
        <v>12560536.199999986</v>
      </c>
      <c r="G61" s="2625">
        <v>3716542.9799999995</v>
      </c>
      <c r="H61" s="2625">
        <v>1151951.9500000002</v>
      </c>
      <c r="I61" s="2625">
        <v>1943368.6000000006</v>
      </c>
      <c r="J61" s="2625"/>
      <c r="K61" s="2625">
        <v>5589540.4600000083</v>
      </c>
      <c r="L61" s="2625">
        <v>12401403.990000011</v>
      </c>
      <c r="M61" s="2626">
        <v>24961940.189999998</v>
      </c>
      <c r="N61" s="2572"/>
      <c r="O61" s="2571"/>
      <c r="P61" s="2570">
        <f>SUM(P28:P60)</f>
        <v>10994586.249018291</v>
      </c>
      <c r="Q61" s="2570">
        <f>SUM(Q28:Q60)</f>
        <v>6133092.5000000075</v>
      </c>
      <c r="R61" s="2570">
        <f>SUM(R28:R60)</f>
        <v>17127678.749018297</v>
      </c>
      <c r="S61" s="2570">
        <f>SUM(S28:S60)</f>
        <v>-581873.95729859988</v>
      </c>
      <c r="T61" s="2569">
        <f t="shared" si="16"/>
        <v>16545804.791719697</v>
      </c>
      <c r="V61" s="2568"/>
      <c r="W61" s="2568"/>
      <c r="Y61" s="2567">
        <f>SUM(Y28:Y60)</f>
        <v>9830339.0094921514</v>
      </c>
      <c r="Z61" s="2567">
        <f>SUM(Z28:Z60)</f>
        <v>392820.34681930649</v>
      </c>
      <c r="AA61" s="2567">
        <f>SUM(AA28:AA60)</f>
        <v>408926.37425245839</v>
      </c>
      <c r="AB61" s="2567">
        <f>SUM(AB28:AB60)</f>
        <v>356387.51368850243</v>
      </c>
      <c r="AC61" s="2567">
        <f>SUM(AC28:AC60)</f>
        <v>439538.92977009667</v>
      </c>
      <c r="AE61" s="2567">
        <f>SUM(AE28:AE60)</f>
        <v>6715465.782227546</v>
      </c>
      <c r="AF61" s="2567">
        <f>SUM(AF28:AF60)</f>
        <v>172520.31594542568</v>
      </c>
      <c r="AG61" s="2567">
        <f>SUM(AG28:AG60)</f>
        <v>275519.44392691884</v>
      </c>
      <c r="AH61" s="2567">
        <f>SUM(AH28:AH60)</f>
        <v>218916.72936657257</v>
      </c>
      <c r="AI61" s="2567">
        <f>SUM(AI28:AI60)</f>
        <v>295296.89085865853</v>
      </c>
      <c r="AK61" s="2567">
        <f>SUM(AK28:AK60)</f>
        <v>17111145.45448444</v>
      </c>
      <c r="AL61" s="2566">
        <f>SUM(AL28:AL60)</f>
        <v>17795591.272663813</v>
      </c>
      <c r="AM61" s="2566">
        <f>SUM(AM28:AM60)</f>
        <v>17686449.697539505</v>
      </c>
      <c r="AN61" s="2566">
        <f>SUM(AN28:AN60)</f>
        <v>18530427.093292572</v>
      </c>
      <c r="AT61" s="2589" t="str">
        <f>"365/365="</f>
        <v>365/365=</v>
      </c>
      <c r="AU61" s="2588">
        <f>ROUND(365/365,3)</f>
        <v>1</v>
      </c>
      <c r="AV61" s="2582" t="s">
        <v>2293</v>
      </c>
      <c r="AZ61" s="182">
        <v>570000</v>
      </c>
      <c r="BA61" s="888">
        <v>3813.9500000000003</v>
      </c>
      <c r="BB61" s="888">
        <v>208.65999999999997</v>
      </c>
      <c r="BC61" s="888">
        <v>346801.63000000012</v>
      </c>
      <c r="BD61" s="888">
        <v>350824.24000000011</v>
      </c>
      <c r="BE61" s="2603">
        <f t="shared" si="35"/>
        <v>0.98853383107165005</v>
      </c>
      <c r="BF61" s="1144">
        <f t="shared" si="36"/>
        <v>1.1466168928349951E-2</v>
      </c>
      <c r="BM61" s="2603"/>
      <c r="BN61" s="1144"/>
    </row>
    <row r="62" spans="1:66" ht="13.5" thickBot="1">
      <c r="B62" s="477"/>
      <c r="S62" s="2565">
        <f>-'G-3.05,5.02 PF NE Labor'!CD41</f>
        <v>-581873.95729859988</v>
      </c>
      <c r="V62" s="2554"/>
      <c r="W62" s="2554"/>
      <c r="AR62" s="2587" t="s">
        <v>2292</v>
      </c>
      <c r="AS62" s="2585"/>
      <c r="AT62" s="2585"/>
      <c r="AU62" s="2586">
        <f>ROUND(AU61*AU59,6)</f>
        <v>0.04</v>
      </c>
      <c r="AV62" s="2585" t="s">
        <v>2291</v>
      </c>
      <c r="AZ62" s="182">
        <v>512000</v>
      </c>
      <c r="BA62" s="888">
        <v>968.0999999999998</v>
      </c>
      <c r="BB62" s="888">
        <v>9.67</v>
      </c>
      <c r="BC62" s="888">
        <v>575908.72000000009</v>
      </c>
      <c r="BD62" s="888">
        <v>576886.49000000011</v>
      </c>
      <c r="BE62" s="2603">
        <f t="shared" si="35"/>
        <v>0.99830509118006905</v>
      </c>
      <c r="BF62" s="1144">
        <f t="shared" si="36"/>
        <v>1.6949088199309514E-3</v>
      </c>
      <c r="BM62" s="2603"/>
      <c r="BN62" s="1144"/>
    </row>
    <row r="63" spans="1:66" ht="13.5" thickTop="1">
      <c r="B63" s="477"/>
      <c r="S63" s="2565"/>
      <c r="V63" s="2554"/>
      <c r="W63" s="2554"/>
      <c r="AR63" s="2584"/>
      <c r="AU63" s="2583"/>
      <c r="AZ63" s="182">
        <v>541000</v>
      </c>
      <c r="BA63" s="888">
        <v>389012.5300000002</v>
      </c>
      <c r="BB63" s="888">
        <v>7607.2999999999993</v>
      </c>
      <c r="BC63" s="888">
        <v>105854.40999999999</v>
      </c>
      <c r="BD63" s="888">
        <v>502474.24000000017</v>
      </c>
      <c r="BE63" s="2603">
        <f t="shared" si="35"/>
        <v>0.21066634182082639</v>
      </c>
      <c r="BF63" s="1144">
        <f t="shared" si="36"/>
        <v>0.78933365817917367</v>
      </c>
      <c r="BM63" s="2603"/>
      <c r="BN63" s="1144"/>
    </row>
    <row r="64" spans="1:66">
      <c r="B64" s="477"/>
      <c r="AE64" s="2553" t="s">
        <v>19</v>
      </c>
      <c r="AF64" s="2563">
        <f>Z61+AF61</f>
        <v>565340.66276473214</v>
      </c>
      <c r="AG64" s="2563">
        <f>AA61+AG61</f>
        <v>684445.81817937724</v>
      </c>
      <c r="AH64" s="2563">
        <f>AB61+AH61</f>
        <v>575304.24305507494</v>
      </c>
      <c r="AI64" s="2563">
        <f>AC61+AI61</f>
        <v>734835.82062875526</v>
      </c>
      <c r="AZ64" s="182">
        <v>549000</v>
      </c>
      <c r="BA64" s="888">
        <v>42956.000000000022</v>
      </c>
      <c r="BB64" s="888">
        <v>4377.1899999999996</v>
      </c>
      <c r="BC64" s="888">
        <v>18058.580000000002</v>
      </c>
      <c r="BD64" s="888">
        <v>65391.770000000026</v>
      </c>
      <c r="BE64" s="2603">
        <f t="shared" si="35"/>
        <v>0.276159828675688</v>
      </c>
      <c r="BF64" s="1144">
        <f t="shared" si="36"/>
        <v>0.723840171324312</v>
      </c>
      <c r="BM64" s="2603"/>
      <c r="BN64" s="1144"/>
    </row>
    <row r="65" spans="1:66">
      <c r="B65" s="477"/>
      <c r="L65" s="1210"/>
      <c r="M65" s="1210"/>
      <c r="AH65" s="2564">
        <v>2025</v>
      </c>
      <c r="AI65" s="2564">
        <v>2026</v>
      </c>
      <c r="AZ65" s="182">
        <v>597000</v>
      </c>
      <c r="BA65" s="888">
        <v>-32.140000000000015</v>
      </c>
      <c r="BB65" s="888"/>
      <c r="BC65" s="888">
        <v>34306.689999999988</v>
      </c>
      <c r="BD65" s="888">
        <v>34274.549999999988</v>
      </c>
      <c r="BE65" s="2603">
        <f t="shared" si="35"/>
        <v>1.0009377220123969</v>
      </c>
      <c r="BF65" s="1144">
        <f t="shared" si="36"/>
        <v>-9.3772201239694652E-4</v>
      </c>
      <c r="BM65" s="2603"/>
      <c r="BN65" s="1144"/>
    </row>
    <row r="66" spans="1:66">
      <c r="B66" s="477"/>
      <c r="AG66" s="2553" t="s">
        <v>198</v>
      </c>
      <c r="AH66" s="2563">
        <f>AF64+AG64+AH64</f>
        <v>1825090.7239991843</v>
      </c>
      <c r="AI66" s="2563">
        <f>AI64</f>
        <v>734835.82062875526</v>
      </c>
      <c r="AZ66" s="182">
        <v>546000</v>
      </c>
      <c r="BA66" s="888">
        <v>199815.17999999996</v>
      </c>
      <c r="BB66" s="888">
        <v>39933.540000000008</v>
      </c>
      <c r="BC66" s="888"/>
      <c r="BD66" s="888">
        <v>239748.71999999997</v>
      </c>
      <c r="BE66" s="2603">
        <f t="shared" si="35"/>
        <v>0</v>
      </c>
      <c r="BF66" s="1144">
        <f t="shared" si="36"/>
        <v>1</v>
      </c>
      <c r="BM66" s="2603"/>
      <c r="BN66" s="1144"/>
    </row>
    <row r="67" spans="1:66">
      <c r="A67" s="2561"/>
      <c r="B67" s="2562" t="s">
        <v>739</v>
      </c>
      <c r="C67" s="2562" t="s">
        <v>763</v>
      </c>
      <c r="D67" s="2562" t="s">
        <v>683</v>
      </c>
      <c r="E67" s="2562" t="s">
        <v>198</v>
      </c>
      <c r="AZ67" s="182">
        <v>502000</v>
      </c>
      <c r="BA67" s="888">
        <v>6149.08</v>
      </c>
      <c r="BB67" s="888"/>
      <c r="BC67" s="888">
        <v>504465.18000000046</v>
      </c>
      <c r="BD67" s="888">
        <v>510614.26000000047</v>
      </c>
      <c r="BE67" s="2603">
        <f t="shared" si="35"/>
        <v>0.98795748477529788</v>
      </c>
      <c r="BF67" s="1144">
        <f t="shared" si="36"/>
        <v>1.2042515224702122E-2</v>
      </c>
      <c r="BM67" s="2603"/>
      <c r="BN67" s="1144"/>
    </row>
    <row r="68" spans="1:66">
      <c r="A68" s="2561"/>
      <c r="B68" s="2560"/>
      <c r="C68" s="2560"/>
      <c r="D68" s="2560"/>
      <c r="E68" s="2560"/>
      <c r="AE68" s="2559" t="s">
        <v>2258</v>
      </c>
      <c r="AZ68" s="182">
        <v>545300</v>
      </c>
      <c r="BA68" s="888">
        <v>-15.44</v>
      </c>
      <c r="BB68" s="888">
        <v>17.16</v>
      </c>
      <c r="BC68" s="888"/>
      <c r="BD68" s="888">
        <v>1.7200000000000006</v>
      </c>
      <c r="BE68" s="2603">
        <f t="shared" si="35"/>
        <v>0</v>
      </c>
      <c r="BF68" s="1144">
        <f t="shared" si="36"/>
        <v>1</v>
      </c>
      <c r="BM68" s="2603"/>
      <c r="BN68" s="1144"/>
    </row>
    <row r="69" spans="1:66">
      <c r="A69" s="2558" t="s">
        <v>2257</v>
      </c>
      <c r="B69" s="2558">
        <v>2</v>
      </c>
      <c r="C69" s="2557">
        <v>0.65400999999999998</v>
      </c>
      <c r="D69" s="2557">
        <v>0.34599000000000002</v>
      </c>
      <c r="E69" s="2556">
        <f>C69+D69</f>
        <v>1</v>
      </c>
      <c r="F69" s="477" t="s">
        <v>2256</v>
      </c>
      <c r="AE69" s="1414"/>
      <c r="AZ69" s="182">
        <v>909000</v>
      </c>
      <c r="BA69" s="888">
        <v>19660.400000000001</v>
      </c>
      <c r="BB69" s="888"/>
      <c r="BC69" s="888"/>
      <c r="BD69" s="888">
        <v>19660.400000000001</v>
      </c>
      <c r="BE69" s="2603">
        <f t="shared" si="35"/>
        <v>0</v>
      </c>
      <c r="BF69" s="1144">
        <f t="shared" si="36"/>
        <v>1</v>
      </c>
      <c r="BM69" s="2603"/>
      <c r="BN69" s="1144"/>
    </row>
    <row r="70" spans="1:66">
      <c r="A70" s="2558" t="s">
        <v>2255</v>
      </c>
      <c r="B70" s="2558">
        <v>3</v>
      </c>
      <c r="C70" s="2557">
        <v>0.71040000000000003</v>
      </c>
      <c r="D70" s="2557">
        <v>0.28960000000000002</v>
      </c>
      <c r="E70" s="2556">
        <f>C70+D70</f>
        <v>1</v>
      </c>
      <c r="F70" s="477" t="s">
        <v>2251</v>
      </c>
      <c r="AE70" s="477" t="s">
        <v>671</v>
      </c>
      <c r="AG70" s="477" t="s">
        <v>2252</v>
      </c>
      <c r="AH70" s="2555">
        <f>SUM(Z28:AB28)+SUM(AF28:AH28)</f>
        <v>68540.667572314473</v>
      </c>
      <c r="AI70" s="2555">
        <f>+AC28+AI28</f>
        <v>26012.780527724572</v>
      </c>
      <c r="AJ70" s="2554">
        <f t="shared" ref="AJ70:AJ75" si="39">AH70/$AH$76</f>
        <v>3.7554663267438247E-2</v>
      </c>
      <c r="AK70" s="1082"/>
      <c r="AZ70" s="182">
        <v>513000</v>
      </c>
      <c r="BA70" s="888">
        <v>3171.53</v>
      </c>
      <c r="BB70" s="888"/>
      <c r="BC70" s="888">
        <v>94673.13999999997</v>
      </c>
      <c r="BD70" s="888">
        <v>97844.669999999969</v>
      </c>
      <c r="BE70" s="2603">
        <f t="shared" si="35"/>
        <v>0.96758607290514653</v>
      </c>
      <c r="BF70" s="1144">
        <f t="shared" si="36"/>
        <v>3.2413927094853467E-2</v>
      </c>
      <c r="BM70" s="2603"/>
      <c r="BN70" s="1144"/>
    </row>
    <row r="71" spans="1:66">
      <c r="A71" s="2558" t="s">
        <v>2254</v>
      </c>
      <c r="B71" s="2558">
        <v>4</v>
      </c>
      <c r="C71" s="2557">
        <v>0.71745999999999999</v>
      </c>
      <c r="D71" s="2557">
        <v>0.28254000000000001</v>
      </c>
      <c r="E71" s="2556">
        <f>C71+D71</f>
        <v>1</v>
      </c>
      <c r="F71" s="477" t="s">
        <v>2244</v>
      </c>
      <c r="AE71" s="477" t="s">
        <v>41</v>
      </c>
      <c r="AG71" s="477" t="s">
        <v>2250</v>
      </c>
      <c r="AH71" s="2555">
        <v>0</v>
      </c>
      <c r="AI71" s="2555">
        <v>0</v>
      </c>
      <c r="AJ71" s="2554">
        <f t="shared" si="39"/>
        <v>0</v>
      </c>
      <c r="AZ71" s="182">
        <v>537000</v>
      </c>
      <c r="BA71" s="888">
        <v>377149.6</v>
      </c>
      <c r="BB71" s="888">
        <v>37895.519999999997</v>
      </c>
      <c r="BC71" s="888">
        <v>75047.710000000006</v>
      </c>
      <c r="BD71" s="888">
        <v>490092.83</v>
      </c>
      <c r="BE71" s="2603">
        <f t="shared" si="35"/>
        <v>0.15312958159375645</v>
      </c>
      <c r="BF71" s="1144">
        <f t="shared" si="36"/>
        <v>0.84687041840624355</v>
      </c>
      <c r="BM71" s="2603"/>
      <c r="BN71" s="1144"/>
    </row>
    <row r="72" spans="1:66">
      <c r="A72" s="2558" t="s">
        <v>2253</v>
      </c>
      <c r="B72" s="2558">
        <v>10</v>
      </c>
      <c r="C72" s="2557">
        <v>0.67015999999999998</v>
      </c>
      <c r="D72" s="2557">
        <v>0.32984000000000002</v>
      </c>
      <c r="E72" s="2556">
        <f>C72+D72</f>
        <v>1</v>
      </c>
      <c r="F72" s="477" t="s">
        <v>2252</v>
      </c>
      <c r="AE72" s="477" t="s">
        <v>45</v>
      </c>
      <c r="AG72" s="477" t="s">
        <v>2251</v>
      </c>
      <c r="AH72" s="2555">
        <f>SUM(Z29:AB44)+SUM(AF29:AH44)</f>
        <v>815143.27745967661</v>
      </c>
      <c r="AI72" s="2555">
        <f>SUM(AC29:AC44,AI29:AI44)</f>
        <v>345172.92403378739</v>
      </c>
      <c r="AJ72" s="2554">
        <f t="shared" si="39"/>
        <v>0.44663164780845194</v>
      </c>
      <c r="AZ72" s="182">
        <v>506000</v>
      </c>
      <c r="BA72" s="888">
        <v>16624.36</v>
      </c>
      <c r="BB72" s="888">
        <v>86585.56</v>
      </c>
      <c r="BC72" s="888">
        <v>92137.349999999991</v>
      </c>
      <c r="BD72" s="888">
        <v>195347.27</v>
      </c>
      <c r="BE72" s="2603">
        <f t="shared" si="35"/>
        <v>0.47165926608546921</v>
      </c>
      <c r="BF72" s="1144">
        <f t="shared" si="36"/>
        <v>0.52834073391453074</v>
      </c>
      <c r="BM72" s="2603"/>
      <c r="BN72" s="1144"/>
    </row>
    <row r="73" spans="1:66">
      <c r="A73" s="2558" t="s">
        <v>779</v>
      </c>
      <c r="B73" s="2558">
        <v>1</v>
      </c>
      <c r="C73" s="2557">
        <v>0.6845</v>
      </c>
      <c r="D73" s="2557">
        <v>0.3155</v>
      </c>
      <c r="E73" s="2556">
        <f>C73+D73</f>
        <v>1</v>
      </c>
      <c r="F73" s="477" t="s">
        <v>2250</v>
      </c>
      <c r="AE73" s="477" t="s">
        <v>2249</v>
      </c>
      <c r="AG73" s="477" t="s">
        <v>2248</v>
      </c>
      <c r="AH73" s="2555">
        <f>SUM(Z45:AB48)+SUM(AF45:AH48)</f>
        <v>273679.22618608602</v>
      </c>
      <c r="AI73" s="2555">
        <f>SUM(AC45:AC48,AI45:AI48)</f>
        <v>105820.59747500755</v>
      </c>
      <c r="AJ73" s="2554">
        <f t="shared" si="39"/>
        <v>0.14995376535934235</v>
      </c>
      <c r="AZ73" s="182">
        <v>910000</v>
      </c>
      <c r="BA73" s="888">
        <v>39479.839999999997</v>
      </c>
      <c r="BB73" s="888"/>
      <c r="BC73" s="888"/>
      <c r="BD73" s="888">
        <v>39479.839999999997</v>
      </c>
      <c r="BE73" s="2603">
        <f t="shared" si="35"/>
        <v>0</v>
      </c>
      <c r="BF73" s="1144">
        <f t="shared" si="36"/>
        <v>1</v>
      </c>
      <c r="BM73" s="2603"/>
      <c r="BN73" s="1144"/>
    </row>
    <row r="74" spans="1:66">
      <c r="B74" s="477"/>
      <c r="AE74" s="477" t="s">
        <v>2247</v>
      </c>
      <c r="AG74" s="477" t="s">
        <v>2246</v>
      </c>
      <c r="AH74" s="2555">
        <f>SUM(Z49:AB51)+SUM(AF49:AH51)</f>
        <v>19671.461889467882</v>
      </c>
      <c r="AI74" s="2555">
        <f>SUM(AC49:AC51,AI49:AI51)</f>
        <v>7465.7781856347174</v>
      </c>
      <c r="AJ74" s="2554">
        <f t="shared" si="39"/>
        <v>1.0778347416266123E-2</v>
      </c>
      <c r="AZ74" s="182">
        <v>552000</v>
      </c>
      <c r="BA74" s="888">
        <v>0</v>
      </c>
      <c r="BB74" s="888">
        <v>510.01</v>
      </c>
      <c r="BC74" s="888">
        <v>27443.129999999997</v>
      </c>
      <c r="BD74" s="888">
        <v>27953.139999999996</v>
      </c>
      <c r="BE74" s="2603">
        <f t="shared" si="35"/>
        <v>0.98175482253514279</v>
      </c>
      <c r="BF74" s="1144">
        <f t="shared" si="36"/>
        <v>1.824517746485721E-2</v>
      </c>
      <c r="BM74" s="2603"/>
      <c r="BN74" s="1144"/>
    </row>
    <row r="75" spans="1:66">
      <c r="B75" s="477"/>
      <c r="AE75" s="477" t="s">
        <v>2245</v>
      </c>
      <c r="AG75" s="477" t="s">
        <v>2244</v>
      </c>
      <c r="AH75" s="2555">
        <f>SUM(Z52:AB60)+SUM(AF52:AH60)</f>
        <v>648056.09089163993</v>
      </c>
      <c r="AI75" s="2555">
        <f>+SUM(AC52:AC60,AI52:AI60)</f>
        <v>250363.74040660114</v>
      </c>
      <c r="AJ75" s="2554">
        <f t="shared" si="39"/>
        <v>0.35508157614850128</v>
      </c>
      <c r="AZ75" s="182">
        <v>561310</v>
      </c>
      <c r="BA75" s="888">
        <v>220489.90000000002</v>
      </c>
      <c r="BB75" s="888">
        <v>607620.43999999971</v>
      </c>
      <c r="BC75" s="888">
        <v>13106.160000000007</v>
      </c>
      <c r="BD75" s="888">
        <v>841216.49999999977</v>
      </c>
      <c r="BE75" s="2603">
        <f t="shared" si="35"/>
        <v>1.5580008238069524E-2</v>
      </c>
      <c r="BF75" s="1144">
        <f t="shared" si="36"/>
        <v>0.98441999176193051</v>
      </c>
      <c r="BM75" s="2603"/>
      <c r="BN75" s="1144"/>
    </row>
    <row r="76" spans="1:66">
      <c r="B76" s="477"/>
      <c r="AG76" s="2553"/>
      <c r="AH76" s="2552">
        <f>SUM(AH70:AH75)</f>
        <v>1825090.723999185</v>
      </c>
      <c r="AI76" s="2552">
        <f>SUM(AI70:AI75)</f>
        <v>734835.82062875538</v>
      </c>
      <c r="AZ76" s="182">
        <v>554000</v>
      </c>
      <c r="BA76" s="888">
        <v>22.889999999999986</v>
      </c>
      <c r="BB76" s="888">
        <v>5742</v>
      </c>
      <c r="BC76" s="888">
        <v>161874.35</v>
      </c>
      <c r="BD76" s="888">
        <v>167639.24000000002</v>
      </c>
      <c r="BE76" s="2603">
        <f t="shared" si="35"/>
        <v>0.96561133300294122</v>
      </c>
      <c r="BF76" s="1144">
        <f t="shared" si="36"/>
        <v>3.4388666997058781E-2</v>
      </c>
      <c r="BM76" s="2603"/>
      <c r="BN76" s="1144"/>
    </row>
    <row r="77" spans="1:66">
      <c r="B77" s="477"/>
      <c r="AZ77" s="182">
        <v>556000</v>
      </c>
      <c r="BA77" s="888">
        <v>2102.08</v>
      </c>
      <c r="BB77" s="888">
        <v>209668.67999999996</v>
      </c>
      <c r="BC77" s="888"/>
      <c r="BD77" s="888">
        <v>211770.75999999995</v>
      </c>
      <c r="BE77" s="2603">
        <f t="shared" ref="BE77:BE91" si="40">BC77/BD77</f>
        <v>0</v>
      </c>
      <c r="BF77" s="1144">
        <f t="shared" ref="BF77:BF91" si="41">1-BE77</f>
        <v>1</v>
      </c>
      <c r="BM77" s="2603"/>
      <c r="BN77" s="1144"/>
    </row>
    <row r="78" spans="1:66">
      <c r="B78" s="477"/>
      <c r="AZ78" s="182">
        <v>500000</v>
      </c>
      <c r="BA78" s="888">
        <v>129205.94000000003</v>
      </c>
      <c r="BB78" s="888">
        <v>637.22</v>
      </c>
      <c r="BC78" s="888"/>
      <c r="BD78" s="888">
        <v>129843.16000000003</v>
      </c>
      <c r="BE78" s="2603">
        <f t="shared" si="40"/>
        <v>0</v>
      </c>
      <c r="BF78" s="1144">
        <f t="shared" si="41"/>
        <v>1</v>
      </c>
      <c r="BM78" s="2603"/>
      <c r="BN78" s="1144"/>
    </row>
    <row r="79" spans="1:66">
      <c r="B79" s="477"/>
      <c r="AE79" s="2551"/>
      <c r="AF79" s="2551"/>
      <c r="AG79" s="2551"/>
      <c r="AH79" s="2551"/>
      <c r="AI79" s="2551"/>
      <c r="AZ79" s="182">
        <v>553000</v>
      </c>
      <c r="BA79" s="888">
        <v>360.8</v>
      </c>
      <c r="BB79" s="888"/>
      <c r="BC79" s="888">
        <v>428606.9499999999</v>
      </c>
      <c r="BD79" s="888">
        <v>428967.74999999988</v>
      </c>
      <c r="BE79" s="2603">
        <f t="shared" si="40"/>
        <v>0.99915891113026567</v>
      </c>
      <c r="BF79" s="1144">
        <f t="shared" si="41"/>
        <v>8.4108886973432995E-4</v>
      </c>
      <c r="BM79" s="2603"/>
      <c r="BN79" s="1144"/>
    </row>
    <row r="80" spans="1:66">
      <c r="B80" s="477"/>
      <c r="AE80" s="2551"/>
      <c r="AF80" s="2551"/>
      <c r="AG80" s="2551"/>
      <c r="AH80" s="2551"/>
      <c r="AI80" s="2551"/>
      <c r="AZ80" s="182">
        <v>561110</v>
      </c>
      <c r="BA80" s="888">
        <v>21360.839999999993</v>
      </c>
      <c r="BB80" s="888">
        <v>418.65</v>
      </c>
      <c r="BC80" s="888"/>
      <c r="BD80" s="888">
        <v>21779.489999999994</v>
      </c>
      <c r="BE80" s="2603">
        <f t="shared" si="40"/>
        <v>0</v>
      </c>
      <c r="BF80" s="1144">
        <f t="shared" si="41"/>
        <v>1</v>
      </c>
      <c r="BM80" s="2603"/>
      <c r="BN80" s="1144"/>
    </row>
    <row r="81" spans="2:66">
      <c r="B81" s="477"/>
      <c r="AE81" s="2551"/>
      <c r="AF81" s="2551"/>
      <c r="AG81" s="2551"/>
      <c r="AH81" s="2551"/>
      <c r="AI81" s="2551"/>
      <c r="AZ81" s="182">
        <v>573000</v>
      </c>
      <c r="BA81" s="888">
        <v>893.29000000000008</v>
      </c>
      <c r="BB81" s="888"/>
      <c r="BC81" s="888">
        <v>10231.690000000004</v>
      </c>
      <c r="BD81" s="888">
        <v>11124.980000000005</v>
      </c>
      <c r="BE81" s="2603">
        <f t="shared" si="40"/>
        <v>0.91970412531078705</v>
      </c>
      <c r="BF81" s="1144">
        <f t="shared" si="41"/>
        <v>8.0295874689212954E-2</v>
      </c>
      <c r="BM81" s="2603"/>
      <c r="BN81" s="1144"/>
    </row>
    <row r="82" spans="2:66">
      <c r="AE82" s="2550"/>
      <c r="AF82" s="2550"/>
      <c r="AG82" s="2550"/>
      <c r="AZ82" s="182">
        <v>931000</v>
      </c>
      <c r="BA82" s="888">
        <v>675.81</v>
      </c>
      <c r="BB82" s="888"/>
      <c r="BC82" s="888"/>
      <c r="BD82" s="888">
        <v>675.81</v>
      </c>
      <c r="BE82" s="2603">
        <f t="shared" si="40"/>
        <v>0</v>
      </c>
      <c r="BF82" s="1144">
        <f t="shared" si="41"/>
        <v>1</v>
      </c>
      <c r="BM82" s="2603"/>
      <c r="BN82" s="1144"/>
    </row>
    <row r="83" spans="2:66">
      <c r="AE83" s="2550"/>
      <c r="AF83" s="2550"/>
      <c r="AG83" s="2550"/>
      <c r="AH83" s="1082"/>
      <c r="AI83" s="1082"/>
      <c r="AZ83" s="182">
        <v>510000</v>
      </c>
      <c r="BA83" s="888">
        <v>101834.89</v>
      </c>
      <c r="BB83" s="888"/>
      <c r="BC83" s="888"/>
      <c r="BD83" s="888">
        <v>101834.89</v>
      </c>
      <c r="BE83" s="2603">
        <f t="shared" si="40"/>
        <v>0</v>
      </c>
      <c r="BF83" s="1144">
        <f t="shared" si="41"/>
        <v>1</v>
      </c>
      <c r="BM83" s="2603"/>
      <c r="BN83" s="1144"/>
    </row>
    <row r="84" spans="2:66">
      <c r="AZ84" s="182">
        <v>551000</v>
      </c>
      <c r="BA84" s="888">
        <v>167157.31999999998</v>
      </c>
      <c r="BB84" s="888">
        <v>56290.630000000005</v>
      </c>
      <c r="BC84" s="888">
        <v>60362.350000000006</v>
      </c>
      <c r="BD84" s="888">
        <v>283810.3</v>
      </c>
      <c r="BE84" s="2603">
        <f t="shared" si="40"/>
        <v>0.21268555087676524</v>
      </c>
      <c r="BF84" s="1144">
        <f t="shared" si="41"/>
        <v>0.78731444912323478</v>
      </c>
      <c r="BM84" s="2603"/>
      <c r="BN84" s="1144"/>
    </row>
    <row r="85" spans="2:66">
      <c r="AZ85" s="182">
        <v>514000</v>
      </c>
      <c r="BA85" s="888"/>
      <c r="BB85" s="888"/>
      <c r="BC85" s="888">
        <v>96897.400000000023</v>
      </c>
      <c r="BD85" s="888">
        <v>96897.400000000023</v>
      </c>
      <c r="BE85" s="2603">
        <f t="shared" si="40"/>
        <v>1</v>
      </c>
      <c r="BF85" s="1144">
        <f t="shared" si="41"/>
        <v>0</v>
      </c>
      <c r="BM85" s="2603"/>
      <c r="BN85" s="1144"/>
    </row>
    <row r="86" spans="2:66">
      <c r="AZ86" s="182">
        <v>561210</v>
      </c>
      <c r="BA86" s="888">
        <v>66524.930000000008</v>
      </c>
      <c r="BB86" s="888">
        <v>641552.60000000009</v>
      </c>
      <c r="BC86" s="888"/>
      <c r="BD86" s="888">
        <v>708077.53000000014</v>
      </c>
      <c r="BE86" s="2603">
        <f t="shared" si="40"/>
        <v>0</v>
      </c>
      <c r="BF86" s="1144">
        <f t="shared" si="41"/>
        <v>1</v>
      </c>
      <c r="BM86" s="2603"/>
      <c r="BN86" s="1144"/>
    </row>
    <row r="87" spans="2:66">
      <c r="AZ87" s="182">
        <v>901000</v>
      </c>
      <c r="BA87" s="888">
        <v>103669.52999999998</v>
      </c>
      <c r="BB87" s="888"/>
      <c r="BC87" s="888"/>
      <c r="BD87" s="888">
        <v>103669.52999999998</v>
      </c>
      <c r="BE87" s="2603">
        <f t="shared" si="40"/>
        <v>0</v>
      </c>
      <c r="BF87" s="1144">
        <f t="shared" si="41"/>
        <v>1</v>
      </c>
      <c r="BM87" s="2603"/>
      <c r="BN87" s="1144"/>
    </row>
    <row r="88" spans="2:66">
      <c r="AZ88" s="182">
        <v>511000</v>
      </c>
      <c r="BA88" s="888">
        <v>379.99</v>
      </c>
      <c r="BB88" s="888"/>
      <c r="BC88" s="888">
        <v>11372.949999999999</v>
      </c>
      <c r="BD88" s="888">
        <v>11752.939999999999</v>
      </c>
      <c r="BE88" s="2603">
        <f t="shared" si="40"/>
        <v>0.96766851528213371</v>
      </c>
      <c r="BF88" s="1144">
        <f t="shared" si="41"/>
        <v>3.2331484717866288E-2</v>
      </c>
      <c r="BM88" s="2603"/>
      <c r="BN88" s="1144"/>
    </row>
    <row r="89" spans="2:66">
      <c r="AZ89" s="182">
        <v>572000</v>
      </c>
      <c r="BA89" s="888"/>
      <c r="BB89" s="888"/>
      <c r="BC89" s="888">
        <v>697.2</v>
      </c>
      <c r="BD89" s="888">
        <v>697.2</v>
      </c>
      <c r="BE89" s="2603">
        <f t="shared" si="40"/>
        <v>1</v>
      </c>
      <c r="BF89" s="1144">
        <f t="shared" si="41"/>
        <v>0</v>
      </c>
      <c r="BM89" s="2603"/>
      <c r="BN89" s="1144"/>
    </row>
    <row r="90" spans="2:66">
      <c r="AZ90" s="182">
        <v>925100</v>
      </c>
      <c r="BA90" s="888">
        <v>73.819999999999993</v>
      </c>
      <c r="BB90" s="888"/>
      <c r="BC90" s="888"/>
      <c r="BD90" s="888">
        <v>73.819999999999993</v>
      </c>
      <c r="BE90" s="2603">
        <f t="shared" si="40"/>
        <v>0</v>
      </c>
      <c r="BF90" s="1144">
        <f t="shared" si="41"/>
        <v>1</v>
      </c>
      <c r="BM90" s="2603"/>
      <c r="BN90" s="1144"/>
    </row>
    <row r="91" spans="2:66">
      <c r="AZ91" s="182">
        <v>585000</v>
      </c>
      <c r="BA91" s="888">
        <v>772.82</v>
      </c>
      <c r="BB91" s="888">
        <v>58.44</v>
      </c>
      <c r="BC91" s="888"/>
      <c r="BD91" s="888">
        <v>831.26</v>
      </c>
      <c r="BE91" s="2603">
        <f t="shared" si="40"/>
        <v>0</v>
      </c>
      <c r="BF91" s="1144">
        <f t="shared" si="41"/>
        <v>1</v>
      </c>
      <c r="BM91" s="2603"/>
      <c r="BN91" s="1144"/>
    </row>
    <row r="92" spans="2:66">
      <c r="AZ92" s="1489" t="s">
        <v>978</v>
      </c>
      <c r="BA92" s="1490">
        <v>33318139.789999984</v>
      </c>
      <c r="BB92" s="1490">
        <v>14026145.169999994</v>
      </c>
      <c r="BC92" s="1490">
        <v>28977979.06000001</v>
      </c>
      <c r="BD92" s="1490">
        <v>76322264.019999981</v>
      </c>
      <c r="BE92" s="2603"/>
      <c r="BF92" s="1144"/>
      <c r="BM92" s="2603"/>
      <c r="BN92" s="1144"/>
    </row>
    <row r="93" spans="2:66">
      <c r="BA93" s="477"/>
      <c r="BE93" s="2603"/>
      <c r="BF93" s="1144"/>
      <c r="BM93" s="2603"/>
      <c r="BN93" s="1144"/>
    </row>
    <row r="94" spans="2:66">
      <c r="BA94" s="477"/>
      <c r="BE94" s="2603"/>
      <c r="BF94" s="1144"/>
      <c r="BM94" s="2603"/>
      <c r="BN94" s="1144"/>
    </row>
    <row r="95" spans="2:66">
      <c r="BA95" s="477"/>
      <c r="BE95" s="2603"/>
      <c r="BF95" s="1144"/>
      <c r="BM95" s="2603"/>
      <c r="BN95" s="1144"/>
    </row>
    <row r="96" spans="2:66">
      <c r="BA96" s="477"/>
    </row>
    <row r="97" spans="53:56">
      <c r="BA97" s="477"/>
      <c r="BB97" s="477" t="s">
        <v>194</v>
      </c>
      <c r="BC97" s="477" t="s">
        <v>1759</v>
      </c>
      <c r="BD97" s="2604">
        <f>CA22</f>
        <v>2616002.5900000003</v>
      </c>
    </row>
    <row r="98" spans="53:56">
      <c r="BA98" s="477"/>
      <c r="BC98" s="477" t="s">
        <v>2335</v>
      </c>
      <c r="BD98" s="2607">
        <v>13519389.250000007</v>
      </c>
    </row>
    <row r="99" spans="53:56">
      <c r="BA99" s="477"/>
      <c r="BD99" s="2604">
        <f>SUM(BD97:BD98)+BD92</f>
        <v>92457655.859999985</v>
      </c>
    </row>
    <row r="100" spans="53:56">
      <c r="BA100" s="477"/>
      <c r="BD100" s="2604"/>
    </row>
    <row r="101" spans="53:56">
      <c r="BA101" s="477"/>
      <c r="BC101" s="477" t="s">
        <v>2337</v>
      </c>
      <c r="BD101" s="2606">
        <v>92457655.860000059</v>
      </c>
    </row>
    <row r="102" spans="53:56">
      <c r="BA102" s="477"/>
    </row>
    <row r="103" spans="53:56">
      <c r="BA103" s="477"/>
    </row>
    <row r="104" spans="53:56">
      <c r="BA104" s="477"/>
    </row>
    <row r="105" spans="53:56">
      <c r="BA105" s="477"/>
    </row>
    <row r="106" spans="53:56">
      <c r="BA106" s="477"/>
    </row>
    <row r="107" spans="53:56">
      <c r="BA107" s="477"/>
    </row>
    <row r="108" spans="53:56">
      <c r="BA108" s="477"/>
    </row>
    <row r="109" spans="53:56">
      <c r="BA109" s="477"/>
    </row>
    <row r="110" spans="53:56">
      <c r="BA110" s="477"/>
    </row>
    <row r="111" spans="53:56">
      <c r="BA111" s="477"/>
    </row>
    <row r="112" spans="53:56">
      <c r="BA112" s="477"/>
    </row>
    <row r="113" spans="53:53">
      <c r="BA113" s="477"/>
    </row>
    <row r="114" spans="53:53">
      <c r="BA114" s="477"/>
    </row>
    <row r="115" spans="53:53">
      <c r="BA115" s="477"/>
    </row>
    <row r="116" spans="53:53">
      <c r="BA116" s="477"/>
    </row>
    <row r="117" spans="53:53">
      <c r="BA117" s="477"/>
    </row>
    <row r="118" spans="53:53">
      <c r="BA118" s="477"/>
    </row>
    <row r="119" spans="53:53">
      <c r="BA119" s="477"/>
    </row>
    <row r="120" spans="53:53">
      <c r="BA120" s="477"/>
    </row>
    <row r="121" spans="53:53">
      <c r="BA121" s="477"/>
    </row>
    <row r="122" spans="53:53">
      <c r="BA122" s="477"/>
    </row>
    <row r="123" spans="53:53">
      <c r="BA123" s="477"/>
    </row>
    <row r="124" spans="53:53">
      <c r="BA124" s="477"/>
    </row>
    <row r="125" spans="53:53">
      <c r="BA125" s="477"/>
    </row>
    <row r="126" spans="53:53">
      <c r="BA126" s="477"/>
    </row>
    <row r="127" spans="53:53">
      <c r="BA127" s="477"/>
    </row>
    <row r="128" spans="53:53">
      <c r="BA128" s="477"/>
    </row>
    <row r="129" spans="53:53">
      <c r="BA129" s="477"/>
    </row>
    <row r="130" spans="53:53">
      <c r="BA130" s="477"/>
    </row>
    <row r="131" spans="53:53">
      <c r="BA131" s="477"/>
    </row>
    <row r="132" spans="53:53">
      <c r="BA132" s="477"/>
    </row>
    <row r="133" spans="53:53">
      <c r="BA133" s="477"/>
    </row>
    <row r="134" spans="53:53">
      <c r="BA134" s="477"/>
    </row>
    <row r="135" spans="53:53">
      <c r="BA135" s="477"/>
    </row>
    <row r="136" spans="53:53">
      <c r="BA136" s="477"/>
    </row>
    <row r="137" spans="53:53">
      <c r="BA137" s="477"/>
    </row>
    <row r="138" spans="53:53">
      <c r="BA138" s="477"/>
    </row>
    <row r="139" spans="53:53">
      <c r="BA139" s="477"/>
    </row>
    <row r="140" spans="53:53">
      <c r="BA140" s="477"/>
    </row>
    <row r="141" spans="53:53">
      <c r="BA141" s="477"/>
    </row>
    <row r="142" spans="53:53">
      <c r="BA142" s="477"/>
    </row>
    <row r="143" spans="53:53">
      <c r="BA143" s="477"/>
    </row>
    <row r="144" spans="53:53">
      <c r="BA144" s="477"/>
    </row>
    <row r="145" spans="53:53">
      <c r="BA145" s="477"/>
    </row>
    <row r="146" spans="53:53">
      <c r="BA146" s="477"/>
    </row>
    <row r="147" spans="53:53">
      <c r="BA147" s="477"/>
    </row>
    <row r="148" spans="53:53">
      <c r="BA148" s="477"/>
    </row>
    <row r="149" spans="53:53">
      <c r="BA149" s="477"/>
    </row>
    <row r="150" spans="53:53">
      <c r="BA150" s="477"/>
    </row>
    <row r="151" spans="53:53">
      <c r="BA151" s="477"/>
    </row>
    <row r="152" spans="53:53">
      <c r="BA152" s="477"/>
    </row>
    <row r="153" spans="53:53">
      <c r="BA153" s="477"/>
    </row>
    <row r="154" spans="53:53">
      <c r="BA154" s="477"/>
    </row>
    <row r="155" spans="53:53">
      <c r="BA155" s="477"/>
    </row>
    <row r="156" spans="53:53">
      <c r="BA156" s="477"/>
    </row>
    <row r="157" spans="53:53">
      <c r="BA157" s="477"/>
    </row>
    <row r="158" spans="53:53">
      <c r="BA158" s="477"/>
    </row>
    <row r="159" spans="53:53">
      <c r="BA159" s="477"/>
    </row>
    <row r="160" spans="53:53">
      <c r="BA160" s="477"/>
    </row>
    <row r="161" spans="53:53">
      <c r="BA161" s="477"/>
    </row>
    <row r="162" spans="53:53">
      <c r="BA162" s="477"/>
    </row>
    <row r="163" spans="53:53">
      <c r="BA163" s="477"/>
    </row>
    <row r="164" spans="53:53">
      <c r="BA164" s="477"/>
    </row>
    <row r="165" spans="53:53">
      <c r="BA165" s="477"/>
    </row>
    <row r="166" spans="53:53">
      <c r="BA166" s="477"/>
    </row>
    <row r="167" spans="53:53">
      <c r="BA167" s="477"/>
    </row>
    <row r="168" spans="53:53">
      <c r="BA168" s="477"/>
    </row>
    <row r="169" spans="53:53">
      <c r="BA169" s="477"/>
    </row>
    <row r="170" spans="53:53">
      <c r="BA170" s="477"/>
    </row>
    <row r="171" spans="53:53">
      <c r="BA171" s="477"/>
    </row>
    <row r="172" spans="53:53">
      <c r="BA172" s="477"/>
    </row>
    <row r="173" spans="53:53">
      <c r="BA173" s="477"/>
    </row>
    <row r="174" spans="53:53">
      <c r="BA174" s="477"/>
    </row>
    <row r="175" spans="53:53">
      <c r="BA175" s="477"/>
    </row>
    <row r="176" spans="53:53">
      <c r="BA176" s="477"/>
    </row>
    <row r="177" spans="53:53">
      <c r="BA177" s="477"/>
    </row>
    <row r="178" spans="53:53">
      <c r="BA178" s="477"/>
    </row>
    <row r="179" spans="53:53">
      <c r="BA179" s="477"/>
    </row>
    <row r="180" spans="53:53">
      <c r="BA180" s="477"/>
    </row>
    <row r="181" spans="53:53">
      <c r="BA181" s="477"/>
    </row>
    <row r="182" spans="53:53">
      <c r="BA182" s="477"/>
    </row>
    <row r="183" spans="53:53">
      <c r="BA183" s="477"/>
    </row>
    <row r="184" spans="53:53">
      <c r="BA184" s="477"/>
    </row>
    <row r="185" spans="53:53">
      <c r="BA185" s="477"/>
    </row>
    <row r="186" spans="53:53">
      <c r="BA186" s="477"/>
    </row>
    <row r="187" spans="53:53">
      <c r="BA187" s="477"/>
    </row>
    <row r="188" spans="53:53">
      <c r="BA188" s="477"/>
    </row>
    <row r="189" spans="53:53">
      <c r="BA189" s="477"/>
    </row>
    <row r="190" spans="53:53">
      <c r="BA190" s="477"/>
    </row>
    <row r="191" spans="53:53">
      <c r="BA191" s="477"/>
    </row>
    <row r="192" spans="53:53">
      <c r="BA192" s="477"/>
    </row>
    <row r="193" spans="53:53">
      <c r="BA193" s="477"/>
    </row>
    <row r="194" spans="53:53">
      <c r="BA194" s="477"/>
    </row>
    <row r="195" spans="53:53">
      <c r="BA195" s="477"/>
    </row>
    <row r="196" spans="53:53">
      <c r="BA196" s="477"/>
    </row>
    <row r="197" spans="53:53">
      <c r="BA197" s="477"/>
    </row>
    <row r="198" spans="53:53">
      <c r="BA198" s="477"/>
    </row>
    <row r="199" spans="53:53">
      <c r="BA199" s="477"/>
    </row>
    <row r="200" spans="53:53">
      <c r="BA200" s="477"/>
    </row>
    <row r="201" spans="53:53">
      <c r="BA201" s="477"/>
    </row>
    <row r="202" spans="53:53">
      <c r="BA202" s="477"/>
    </row>
    <row r="203" spans="53:53">
      <c r="BA203" s="477"/>
    </row>
    <row r="204" spans="53:53">
      <c r="BA204" s="477"/>
    </row>
    <row r="205" spans="53:53">
      <c r="BA205" s="477"/>
    </row>
    <row r="206" spans="53:53">
      <c r="BA206" s="477"/>
    </row>
    <row r="207" spans="53:53">
      <c r="BA207" s="477"/>
    </row>
    <row r="208" spans="53:53">
      <c r="BA208" s="477"/>
    </row>
    <row r="209" spans="53:53">
      <c r="BA209" s="477"/>
    </row>
    <row r="210" spans="53:53">
      <c r="BA210" s="477"/>
    </row>
    <row r="211" spans="53:53">
      <c r="BA211" s="477"/>
    </row>
    <row r="212" spans="53:53">
      <c r="BA212" s="477"/>
    </row>
    <row r="213" spans="53:53">
      <c r="BA213" s="477"/>
    </row>
    <row r="214" spans="53:53">
      <c r="BA214" s="477"/>
    </row>
    <row r="215" spans="53:53">
      <c r="BA215" s="477"/>
    </row>
    <row r="216" spans="53:53">
      <c r="BA216" s="477"/>
    </row>
    <row r="217" spans="53:53">
      <c r="BA217" s="477"/>
    </row>
    <row r="218" spans="53:53">
      <c r="BA218" s="477"/>
    </row>
    <row r="219" spans="53:53">
      <c r="BA219" s="477"/>
    </row>
    <row r="220" spans="53:53">
      <c r="BA220" s="477"/>
    </row>
    <row r="221" spans="53:53">
      <c r="BA221" s="477"/>
    </row>
    <row r="222" spans="53:53">
      <c r="BA222" s="477"/>
    </row>
    <row r="223" spans="53:53">
      <c r="BA223" s="477"/>
    </row>
    <row r="224" spans="53:53">
      <c r="BA224" s="477"/>
    </row>
    <row r="225" spans="53:53">
      <c r="BA225" s="477"/>
    </row>
    <row r="226" spans="53:53">
      <c r="BA226" s="477"/>
    </row>
    <row r="227" spans="53:53">
      <c r="BA227" s="477"/>
    </row>
    <row r="228" spans="53:53">
      <c r="BA228" s="477"/>
    </row>
    <row r="229" spans="53:53">
      <c r="BA229" s="477"/>
    </row>
    <row r="230" spans="53:53">
      <c r="BA230" s="477"/>
    </row>
    <row r="231" spans="53:53">
      <c r="BA231" s="477"/>
    </row>
    <row r="232" spans="53:53">
      <c r="BA232" s="477"/>
    </row>
    <row r="233" spans="53:53">
      <c r="BA233" s="477"/>
    </row>
    <row r="234" spans="53:53">
      <c r="BA234" s="477"/>
    </row>
    <row r="235" spans="53:53">
      <c r="BA235" s="477"/>
    </row>
    <row r="236" spans="53:53">
      <c r="BA236" s="477"/>
    </row>
    <row r="237" spans="53:53">
      <c r="BA237" s="477"/>
    </row>
    <row r="238" spans="53:53">
      <c r="BA238" s="477"/>
    </row>
    <row r="239" spans="53:53">
      <c r="BA239" s="477"/>
    </row>
    <row r="240" spans="53:53">
      <c r="BA240" s="477"/>
    </row>
    <row r="241" spans="53:53">
      <c r="BA241" s="477"/>
    </row>
    <row r="242" spans="53:53">
      <c r="BA242" s="477"/>
    </row>
    <row r="243" spans="53:53">
      <c r="BA243" s="477"/>
    </row>
    <row r="244" spans="53:53">
      <c r="BA244" s="477"/>
    </row>
    <row r="245" spans="53:53">
      <c r="BA245" s="477"/>
    </row>
    <row r="246" spans="53:53">
      <c r="BA246" s="477"/>
    </row>
    <row r="247" spans="53:53">
      <c r="BA247" s="477"/>
    </row>
    <row r="248" spans="53:53">
      <c r="BA248" s="477"/>
    </row>
    <row r="249" spans="53:53">
      <c r="BA249" s="477"/>
    </row>
    <row r="250" spans="53:53">
      <c r="BA250" s="477"/>
    </row>
    <row r="251" spans="53:53">
      <c r="BA251" s="477"/>
    </row>
    <row r="252" spans="53:53">
      <c r="BA252" s="477"/>
    </row>
    <row r="253" spans="53:53">
      <c r="BA253" s="477"/>
    </row>
    <row r="254" spans="53:53">
      <c r="BA254" s="477"/>
    </row>
    <row r="255" spans="53:53">
      <c r="BA255" s="477"/>
    </row>
    <row r="256" spans="53:53">
      <c r="BA256" s="477"/>
    </row>
    <row r="257" spans="53:53">
      <c r="BA257" s="477"/>
    </row>
    <row r="258" spans="53:53">
      <c r="BA258" s="477"/>
    </row>
    <row r="259" spans="53:53">
      <c r="BA259" s="477"/>
    </row>
    <row r="260" spans="53:53">
      <c r="BA260" s="477"/>
    </row>
    <row r="261" spans="53:53">
      <c r="BA261" s="477"/>
    </row>
    <row r="262" spans="53:53">
      <c r="BA262" s="477"/>
    </row>
    <row r="263" spans="53:53">
      <c r="BA263" s="477"/>
    </row>
    <row r="264" spans="53:53">
      <c r="BA264" s="477"/>
    </row>
    <row r="265" spans="53:53">
      <c r="BA265" s="477"/>
    </row>
    <row r="266" spans="53:53">
      <c r="BA266" s="477"/>
    </row>
    <row r="267" spans="53:53">
      <c r="BA267" s="477"/>
    </row>
    <row r="268" spans="53:53">
      <c r="BA268" s="477"/>
    </row>
    <row r="269" spans="53:53">
      <c r="BA269" s="477"/>
    </row>
    <row r="270" spans="53:53">
      <c r="BA270" s="477"/>
    </row>
    <row r="271" spans="53:53">
      <c r="BA271" s="477"/>
    </row>
    <row r="272" spans="53:53">
      <c r="BA272" s="477"/>
    </row>
    <row r="273" spans="53:53">
      <c r="BA273" s="477"/>
    </row>
    <row r="274" spans="53:53">
      <c r="BA274" s="477"/>
    </row>
    <row r="275" spans="53:53">
      <c r="BA275" s="477"/>
    </row>
    <row r="276" spans="53:53">
      <c r="BA276" s="477"/>
    </row>
    <row r="277" spans="53:53">
      <c r="BA277" s="477"/>
    </row>
    <row r="278" spans="53:53">
      <c r="BA278" s="477"/>
    </row>
    <row r="279" spans="53:53">
      <c r="BA279" s="477"/>
    </row>
    <row r="280" spans="53:53">
      <c r="BA280" s="477"/>
    </row>
    <row r="281" spans="53:53">
      <c r="BA281" s="477"/>
    </row>
    <row r="282" spans="53:53">
      <c r="BA282" s="477"/>
    </row>
    <row r="283" spans="53:53">
      <c r="BA283" s="477"/>
    </row>
    <row r="284" spans="53:53">
      <c r="BA284" s="477"/>
    </row>
    <row r="285" spans="53:53">
      <c r="BA285" s="477"/>
    </row>
    <row r="286" spans="53:53">
      <c r="BA286" s="477"/>
    </row>
    <row r="287" spans="53:53">
      <c r="BA287" s="477"/>
    </row>
    <row r="288" spans="53:53">
      <c r="BA288" s="477"/>
    </row>
    <row r="289" spans="53:53">
      <c r="BA289" s="477"/>
    </row>
    <row r="290" spans="53:53">
      <c r="BA290" s="477"/>
    </row>
    <row r="291" spans="53:53">
      <c r="BA291" s="477"/>
    </row>
    <row r="292" spans="53:53">
      <c r="BA292" s="477"/>
    </row>
    <row r="293" spans="53:53">
      <c r="BA293" s="477"/>
    </row>
    <row r="294" spans="53:53">
      <c r="BA294" s="477"/>
    </row>
    <row r="295" spans="53:53">
      <c r="BA295" s="477"/>
    </row>
    <row r="296" spans="53:53">
      <c r="BA296" s="477"/>
    </row>
    <row r="297" spans="53:53">
      <c r="BA297" s="477"/>
    </row>
    <row r="298" spans="53:53">
      <c r="BA298" s="477"/>
    </row>
    <row r="299" spans="53:53">
      <c r="BA299" s="477"/>
    </row>
    <row r="300" spans="53:53">
      <c r="BA300" s="477"/>
    </row>
    <row r="301" spans="53:53">
      <c r="BA301" s="477"/>
    </row>
    <row r="302" spans="53:53">
      <c r="BA302" s="477"/>
    </row>
    <row r="303" spans="53:53">
      <c r="BA303" s="477"/>
    </row>
    <row r="304" spans="53:53">
      <c r="BA304" s="477"/>
    </row>
    <row r="305" spans="53:53">
      <c r="BA305" s="477"/>
    </row>
    <row r="306" spans="53:53">
      <c r="BA306" s="477"/>
    </row>
    <row r="307" spans="53:53">
      <c r="BA307" s="477"/>
    </row>
    <row r="308" spans="53:53">
      <c r="BA308" s="477"/>
    </row>
    <row r="309" spans="53:53">
      <c r="BA309" s="477"/>
    </row>
    <row r="310" spans="53:53">
      <c r="BA310" s="477"/>
    </row>
    <row r="311" spans="53:53">
      <c r="BA311" s="477"/>
    </row>
    <row r="312" spans="53:53">
      <c r="BA312" s="477"/>
    </row>
    <row r="313" spans="53:53">
      <c r="BA313" s="477"/>
    </row>
    <row r="314" spans="53:53">
      <c r="BA314" s="477"/>
    </row>
    <row r="315" spans="53:53">
      <c r="BA315" s="477"/>
    </row>
    <row r="316" spans="53:53">
      <c r="BA316" s="477"/>
    </row>
    <row r="317" spans="53:53">
      <c r="BA317" s="477"/>
    </row>
    <row r="318" spans="53:53">
      <c r="BA318" s="477"/>
    </row>
    <row r="319" spans="53:53">
      <c r="BA319" s="477"/>
    </row>
    <row r="320" spans="53:53">
      <c r="BA320" s="477"/>
    </row>
    <row r="321" spans="53:53">
      <c r="BA321" s="477"/>
    </row>
    <row r="322" spans="53:53">
      <c r="BA322" s="477"/>
    </row>
    <row r="323" spans="53:53">
      <c r="BA323" s="477"/>
    </row>
    <row r="324" spans="53:53">
      <c r="BA324" s="477"/>
    </row>
    <row r="325" spans="53:53">
      <c r="BA325" s="477"/>
    </row>
    <row r="326" spans="53:53">
      <c r="BA326" s="477"/>
    </row>
    <row r="327" spans="53:53">
      <c r="BA327" s="477"/>
    </row>
    <row r="328" spans="53:53">
      <c r="BA328" s="477"/>
    </row>
    <row r="329" spans="53:53">
      <c r="BA329" s="477"/>
    </row>
    <row r="330" spans="53:53">
      <c r="BA330" s="477"/>
    </row>
    <row r="331" spans="53:53">
      <c r="BA331" s="477"/>
    </row>
    <row r="332" spans="53:53">
      <c r="BA332" s="477"/>
    </row>
    <row r="333" spans="53:53">
      <c r="BA333" s="477"/>
    </row>
    <row r="334" spans="53:53">
      <c r="BA334" s="477"/>
    </row>
    <row r="335" spans="53:53">
      <c r="BA335" s="477"/>
    </row>
    <row r="336" spans="53:53">
      <c r="BA336" s="477"/>
    </row>
    <row r="337" spans="53:53">
      <c r="BA337" s="477"/>
    </row>
    <row r="338" spans="53:53">
      <c r="BA338" s="477"/>
    </row>
    <row r="339" spans="53:53">
      <c r="BA339" s="477"/>
    </row>
    <row r="340" spans="53:53">
      <c r="BA340" s="477"/>
    </row>
    <row r="341" spans="53:53">
      <c r="BA341" s="477"/>
    </row>
    <row r="342" spans="53:53">
      <c r="BA342" s="477"/>
    </row>
    <row r="343" spans="53:53">
      <c r="BA343" s="477"/>
    </row>
    <row r="344" spans="53:53">
      <c r="BA344" s="477"/>
    </row>
    <row r="345" spans="53:53">
      <c r="BA345" s="477"/>
    </row>
    <row r="346" spans="53:53">
      <c r="BA346" s="477"/>
    </row>
    <row r="347" spans="53:53">
      <c r="BA347" s="477"/>
    </row>
    <row r="348" spans="53:53">
      <c r="BA348" s="477"/>
    </row>
    <row r="349" spans="53:53">
      <c r="BA349" s="477"/>
    </row>
    <row r="350" spans="53:53">
      <c r="BA350" s="477"/>
    </row>
    <row r="351" spans="53:53">
      <c r="BA351" s="477"/>
    </row>
    <row r="352" spans="53:53">
      <c r="BA352" s="477"/>
    </row>
    <row r="353" spans="53:53">
      <c r="BA353" s="477"/>
    </row>
    <row r="354" spans="53:53">
      <c r="BA354" s="477"/>
    </row>
    <row r="355" spans="53:53">
      <c r="BA355" s="477"/>
    </row>
    <row r="356" spans="53:53">
      <c r="BA356" s="477"/>
    </row>
    <row r="357" spans="53:53">
      <c r="BA357" s="477"/>
    </row>
    <row r="358" spans="53:53">
      <c r="BA358" s="477"/>
    </row>
    <row r="359" spans="53:53">
      <c r="BA359" s="477"/>
    </row>
    <row r="360" spans="53:53">
      <c r="BA360" s="477"/>
    </row>
    <row r="361" spans="53:53">
      <c r="BA361" s="477"/>
    </row>
    <row r="362" spans="53:53">
      <c r="BA362" s="477"/>
    </row>
    <row r="363" spans="53:53">
      <c r="BA363" s="477"/>
    </row>
  </sheetData>
  <mergeCells count="4">
    <mergeCell ref="V25:W25"/>
    <mergeCell ref="Y25:AC25"/>
    <mergeCell ref="AE25:AI25"/>
    <mergeCell ref="AK25:AN2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585AD-3AAA-48E0-913A-FB0FB2635B3F}">
  <dimension ref="A1:AA208"/>
  <sheetViews>
    <sheetView workbookViewId="0"/>
  </sheetViews>
  <sheetFormatPr defaultColWidth="8.85546875" defaultRowHeight="12.75"/>
  <cols>
    <col min="1" max="1" width="8" style="477" customWidth="1"/>
    <col min="2" max="2" width="3" style="477" customWidth="1"/>
    <col min="3" max="3" width="3.5703125" style="477" customWidth="1"/>
    <col min="4" max="7" width="18.85546875" style="477" customWidth="1"/>
    <col min="8" max="8" width="9" style="477" bestFit="1" customWidth="1"/>
    <col min="9" max="9" width="12.42578125" style="477" bestFit="1" customWidth="1"/>
    <col min="10" max="10" width="12.42578125" style="477" customWidth="1"/>
    <col min="11" max="11" width="6.5703125" style="477" bestFit="1" customWidth="1"/>
    <col min="12" max="13" width="12.42578125" style="477" customWidth="1"/>
    <col min="14" max="14" width="12.140625" style="477" customWidth="1"/>
    <col min="15" max="15" width="1.7109375" style="1008" customWidth="1"/>
    <col min="16" max="16" width="8.85546875" style="477"/>
    <col min="17" max="17" width="23.42578125" style="2630" bestFit="1" customWidth="1"/>
    <col min="18" max="18" width="15.140625" style="2686" bestFit="1" customWidth="1"/>
    <col min="19" max="19" width="11" style="2630" bestFit="1" customWidth="1"/>
    <col min="20" max="20" width="9.5703125" style="2630" bestFit="1" customWidth="1"/>
    <col min="21" max="21" width="11" style="2630" bestFit="1" customWidth="1"/>
    <col min="22" max="22" width="6.5703125" style="2630" customWidth="1"/>
    <col min="23" max="23" width="23.42578125" style="2630" bestFit="1" customWidth="1"/>
    <col min="24" max="24" width="15.5703125" style="2630" bestFit="1" customWidth="1"/>
    <col min="25" max="25" width="23.42578125" style="2631" bestFit="1" customWidth="1"/>
    <col min="26" max="26" width="15.5703125" style="2630" bestFit="1" customWidth="1"/>
    <col min="27" max="27" width="11" style="2630" bestFit="1" customWidth="1"/>
    <col min="28" max="16384" width="8.85546875" style="477"/>
  </cols>
  <sheetData>
    <row r="1" spans="1:27" ht="15">
      <c r="A1" s="2627" t="s">
        <v>1204</v>
      </c>
      <c r="B1" s="2627"/>
      <c r="C1" s="2628"/>
      <c r="D1" s="2629"/>
      <c r="E1" s="2629"/>
      <c r="F1" s="2629"/>
      <c r="G1" s="2629"/>
      <c r="H1" s="2629"/>
      <c r="I1" s="2629"/>
      <c r="J1" s="2629"/>
      <c r="K1" s="2629"/>
      <c r="L1" s="2629"/>
      <c r="Q1" s="477"/>
      <c r="R1" s="477"/>
      <c r="W1" s="477"/>
      <c r="X1" s="477"/>
    </row>
    <row r="2" spans="1:27" ht="15">
      <c r="A2" s="2627" t="s">
        <v>2354</v>
      </c>
      <c r="B2" s="2627"/>
      <c r="C2" s="2627"/>
      <c r="D2" s="2629"/>
      <c r="E2" s="2629"/>
      <c r="F2" s="2629"/>
      <c r="G2" s="2629"/>
      <c r="H2" s="2629"/>
      <c r="I2" s="2629"/>
      <c r="J2" s="2629"/>
      <c r="K2" s="2629"/>
      <c r="L2" s="2629"/>
      <c r="Q2" s="1569" t="s">
        <v>679</v>
      </c>
      <c r="R2" s="1569" t="s">
        <v>1701</v>
      </c>
      <c r="W2" s="1569" t="s">
        <v>679</v>
      </c>
      <c r="X2" s="1569" t="s">
        <v>1701</v>
      </c>
      <c r="Y2" s="2630"/>
    </row>
    <row r="3" spans="1:27" ht="15">
      <c r="A3" s="2628"/>
      <c r="B3" s="2628"/>
      <c r="C3" s="2628"/>
      <c r="D3" s="2629"/>
      <c r="E3" s="2629"/>
      <c r="F3" s="2629"/>
      <c r="G3" s="2629"/>
      <c r="H3" s="2629"/>
      <c r="I3" s="2629"/>
      <c r="J3" s="2629"/>
      <c r="K3" s="2629"/>
      <c r="L3" s="2629"/>
      <c r="Q3" s="1569" t="s">
        <v>2277</v>
      </c>
      <c r="R3" s="1569" t="s">
        <v>2276</v>
      </c>
      <c r="W3" s="1569" t="s">
        <v>2277</v>
      </c>
      <c r="X3" s="1569" t="s">
        <v>2276</v>
      </c>
      <c r="Y3" s="2630"/>
    </row>
    <row r="4" spans="1:27" ht="15">
      <c r="A4" s="2632"/>
      <c r="B4" s="2632"/>
      <c r="C4" s="2632"/>
      <c r="E4" s="2633" t="s">
        <v>2355</v>
      </c>
      <c r="F4" s="2633" t="s">
        <v>2271</v>
      </c>
      <c r="G4" s="2633" t="s">
        <v>24</v>
      </c>
      <c r="H4" s="2634"/>
      <c r="I4" s="2635" t="s">
        <v>1183</v>
      </c>
      <c r="J4" s="2636"/>
      <c r="K4" s="2634"/>
      <c r="L4" s="2635" t="s">
        <v>772</v>
      </c>
      <c r="M4" s="2636"/>
      <c r="Q4" s="1570" t="s">
        <v>2340</v>
      </c>
      <c r="R4" s="1570" t="s">
        <v>1759</v>
      </c>
      <c r="W4" s="1570" t="s">
        <v>2340</v>
      </c>
      <c r="X4" s="1570" t="s">
        <v>1759</v>
      </c>
      <c r="Y4" s="2630"/>
    </row>
    <row r="5" spans="1:27" ht="30">
      <c r="A5" s="2637" t="s">
        <v>432</v>
      </c>
      <c r="B5" s="2638"/>
      <c r="C5" s="2638"/>
      <c r="D5" s="2639"/>
      <c r="E5" s="2640" t="s">
        <v>2356</v>
      </c>
      <c r="F5" s="2641" t="s">
        <v>2357</v>
      </c>
      <c r="G5" s="2642" t="s">
        <v>2358</v>
      </c>
      <c r="H5" s="2643"/>
      <c r="I5" s="2644" t="s">
        <v>2359</v>
      </c>
      <c r="J5" s="2645" t="s">
        <v>444</v>
      </c>
      <c r="K5" s="2643"/>
      <c r="L5" s="2644" t="s">
        <v>2359</v>
      </c>
      <c r="M5" s="2645" t="s">
        <v>444</v>
      </c>
      <c r="N5" s="2639"/>
      <c r="R5" s="2630"/>
      <c r="Y5" s="2630"/>
    </row>
    <row r="6" spans="1:27" ht="15">
      <c r="A6" s="2646" t="s">
        <v>2360</v>
      </c>
      <c r="B6" s="2646"/>
      <c r="C6" s="2647"/>
      <c r="E6" s="2648">
        <f>VLOOKUP(A6,'G-3.06 PF Exec Labor'!$Q$8:$U$25,5,FALSE)</f>
        <v>867670.25</v>
      </c>
      <c r="F6" s="2648">
        <f>VLOOKUP(A6,'G-3.06 PF Exec Labor'!$Q$8:$T$25,4,FALSE)</f>
        <v>164042.01</v>
      </c>
      <c r="G6" s="2648">
        <f t="shared" ref="G6:G20" si="0">E6-F6</f>
        <v>703628.24</v>
      </c>
      <c r="H6" s="2629"/>
      <c r="I6" s="2649">
        <f>VLOOKUP(A6,'G-3.06 PF Exec Labor'!$Q$8:$S$25,3,FALSE)</f>
        <v>702624.08</v>
      </c>
      <c r="J6" s="2649">
        <f>VLOOKUP(A6,'G-3.06 PF Exec Labor'!$Q$8:$R$25,2,FALSE)</f>
        <v>1004.16</v>
      </c>
      <c r="K6" s="2629"/>
      <c r="L6" s="2650">
        <f t="shared" ref="L6:L20" si="1">I6/G6</f>
        <v>0.99857288274842404</v>
      </c>
      <c r="M6" s="2650">
        <f t="shared" ref="M6:M20" si="2">J6/G6</f>
        <v>1.4271172515759173E-3</v>
      </c>
      <c r="Q6" s="2651" t="s">
        <v>1251</v>
      </c>
      <c r="R6" s="2651" t="s">
        <v>1252</v>
      </c>
      <c r="S6" s="2651"/>
      <c r="T6" s="2651"/>
      <c r="U6" s="2651"/>
      <c r="V6" s="477"/>
      <c r="W6" s="2651" t="s">
        <v>1251</v>
      </c>
      <c r="X6" s="2651" t="s">
        <v>1252</v>
      </c>
      <c r="Y6" s="2651"/>
      <c r="Z6" s="2651"/>
      <c r="AA6" s="2651"/>
    </row>
    <row r="7" spans="1:27" ht="15">
      <c r="A7" s="2646" t="s">
        <v>2361</v>
      </c>
      <c r="B7" s="2646"/>
      <c r="C7" s="2647"/>
      <c r="E7" s="2648">
        <f>VLOOKUP(A7,'G-3.06 PF Exec Labor'!$Q$8:$U$25,5,FALSE)</f>
        <v>482015.07</v>
      </c>
      <c r="F7" s="2648">
        <f>VLOOKUP(A7,'G-3.06 PF Exec Labor'!$Q$8:$T$25,4,FALSE)</f>
        <v>121856.96000000001</v>
      </c>
      <c r="G7" s="2648">
        <f t="shared" si="0"/>
        <v>360158.11</v>
      </c>
      <c r="H7" s="2629"/>
      <c r="I7" s="2649">
        <f>VLOOKUP(A7,'G-3.06 PF Exec Labor'!$Q$8:$S$25,3,FALSE)</f>
        <v>339141.5</v>
      </c>
      <c r="J7" s="2649">
        <f>VLOOKUP(A7,'G-3.06 PF Exec Labor'!$Q$8:$R$25,2,FALSE)</f>
        <v>21016.61</v>
      </c>
      <c r="K7" s="2629"/>
      <c r="L7" s="2650">
        <f t="shared" si="1"/>
        <v>0.94164615646167182</v>
      </c>
      <c r="M7" s="2650">
        <f t="shared" si="2"/>
        <v>5.8353843538328211E-2</v>
      </c>
      <c r="Q7" s="2652" t="s">
        <v>1170</v>
      </c>
      <c r="R7" s="2652" t="s">
        <v>1744</v>
      </c>
      <c r="S7" s="2652" t="s">
        <v>1745</v>
      </c>
      <c r="T7" s="2652" t="s">
        <v>377</v>
      </c>
      <c r="U7" s="2652" t="s">
        <v>978</v>
      </c>
      <c r="V7" s="477"/>
      <c r="W7" s="2652" t="s">
        <v>1170</v>
      </c>
      <c r="X7" s="2652" t="s">
        <v>1744</v>
      </c>
      <c r="Y7" s="2652" t="s">
        <v>1745</v>
      </c>
      <c r="Z7" s="2652" t="s">
        <v>377</v>
      </c>
      <c r="AA7" s="2652" t="s">
        <v>978</v>
      </c>
    </row>
    <row r="8" spans="1:27" ht="15">
      <c r="A8" s="2646" t="s">
        <v>2362</v>
      </c>
      <c r="B8" s="2646"/>
      <c r="C8" s="2647"/>
      <c r="E8" s="2648">
        <f>VLOOKUP(A8,'G-3.06 PF Exec Labor'!$Q$8:$U$25,5,FALSE)</f>
        <v>373224.79</v>
      </c>
      <c r="F8" s="2648">
        <f>VLOOKUP(A8,'G-3.06 PF Exec Labor'!$Q$8:$T$25,4,FALSE)</f>
        <v>74901.19</v>
      </c>
      <c r="G8" s="2648">
        <f t="shared" si="0"/>
        <v>298323.59999999998</v>
      </c>
      <c r="H8" s="2629"/>
      <c r="I8" s="2649">
        <f>VLOOKUP(A8,'G-3.06 PF Exec Labor'!$Q$8:$S$25,3,FALSE)</f>
        <v>292996.76</v>
      </c>
      <c r="J8" s="2649">
        <f>VLOOKUP(A8,'G-3.06 PF Exec Labor'!$Q$8:$R$25,2,FALSE)</f>
        <v>5326.84</v>
      </c>
      <c r="K8" s="2629"/>
      <c r="L8" s="2650">
        <f t="shared" si="1"/>
        <v>0.98214408782945783</v>
      </c>
      <c r="M8" s="2650">
        <f t="shared" si="2"/>
        <v>1.7855912170542325E-2</v>
      </c>
      <c r="Q8" s="182" t="s">
        <v>2360</v>
      </c>
      <c r="R8" s="924">
        <v>1004.16</v>
      </c>
      <c r="S8" s="1082">
        <v>702624.08</v>
      </c>
      <c r="T8" s="1082">
        <v>164042.01</v>
      </c>
      <c r="U8" s="1082">
        <v>867670.25</v>
      </c>
      <c r="V8" s="477"/>
      <c r="W8" s="182" t="s">
        <v>2363</v>
      </c>
      <c r="X8" s="1082">
        <v>302820.78000000003</v>
      </c>
      <c r="Y8" s="1082">
        <v>3811638.22</v>
      </c>
      <c r="Z8" s="1082">
        <v>23893.16</v>
      </c>
      <c r="AA8" s="1082">
        <v>4138352.16</v>
      </c>
    </row>
    <row r="9" spans="1:27" ht="15">
      <c r="A9" s="2646" t="s">
        <v>2364</v>
      </c>
      <c r="B9" s="2646"/>
      <c r="C9" s="2647"/>
      <c r="E9" s="2648">
        <f>VLOOKUP(A9,'G-3.06 PF Exec Labor'!$Q$8:$U$25,5,FALSE)</f>
        <v>407033.13</v>
      </c>
      <c r="F9" s="2648">
        <f>VLOOKUP(A9,'G-3.06 PF Exec Labor'!$Q$8:$T$25,4,FALSE)</f>
        <v>63990.87</v>
      </c>
      <c r="G9" s="2648">
        <f t="shared" si="0"/>
        <v>343042.26</v>
      </c>
      <c r="H9" s="2629"/>
      <c r="I9" s="2649">
        <f>VLOOKUP(A9,'G-3.06 PF Exec Labor'!$Q$8:$S$25,3,FALSE)</f>
        <v>342985.17</v>
      </c>
      <c r="J9" s="2649">
        <f>VLOOKUP(A9,'G-3.06 PF Exec Labor'!$Q$8:$R$25,2,FALSE)</f>
        <v>57.09</v>
      </c>
      <c r="K9" s="2629"/>
      <c r="L9" s="2650">
        <f t="shared" si="1"/>
        <v>0.99983357735574607</v>
      </c>
      <c r="M9" s="2650">
        <f t="shared" si="2"/>
        <v>1.6642264425380127E-4</v>
      </c>
      <c r="Q9" s="182" t="s">
        <v>2361</v>
      </c>
      <c r="R9" s="924">
        <v>21016.61</v>
      </c>
      <c r="S9" s="1082">
        <v>339141.5</v>
      </c>
      <c r="T9" s="1082">
        <v>121856.96000000001</v>
      </c>
      <c r="U9" s="1082">
        <v>482015.07</v>
      </c>
      <c r="V9" s="477"/>
      <c r="W9" s="182" t="s">
        <v>2365</v>
      </c>
      <c r="X9" s="1082"/>
      <c r="Y9" s="1082"/>
      <c r="Z9" s="1082">
        <v>609049.88</v>
      </c>
      <c r="AA9" s="1082">
        <v>609049.88</v>
      </c>
    </row>
    <row r="10" spans="1:27" ht="15">
      <c r="A10" s="2646" t="s">
        <v>2366</v>
      </c>
      <c r="B10" s="2646"/>
      <c r="C10" s="2647"/>
      <c r="E10" s="2648">
        <f>VLOOKUP(A10,'G-3.06 PF Exec Labor'!$Q$8:$U$25,5,FALSE)</f>
        <v>364061.41</v>
      </c>
      <c r="F10" s="2648">
        <f>VLOOKUP(A10,'G-3.06 PF Exec Labor'!$Q$8:$T$25,4,FALSE)</f>
        <v>59830.75</v>
      </c>
      <c r="G10" s="2648">
        <f t="shared" si="0"/>
        <v>304230.65999999997</v>
      </c>
      <c r="H10" s="2629"/>
      <c r="I10" s="2649">
        <f>VLOOKUP(A10,'G-3.06 PF Exec Labor'!$Q$8:$S$25,3,FALSE)</f>
        <v>299475.77</v>
      </c>
      <c r="J10" s="2649">
        <f>VLOOKUP(A10,'G-3.06 PF Exec Labor'!$Q$8:$R$25,2,FALSE)</f>
        <v>4754.8900000000003</v>
      </c>
      <c r="K10" s="2629"/>
      <c r="L10" s="2650">
        <f t="shared" si="1"/>
        <v>0.98437077314955712</v>
      </c>
      <c r="M10" s="2650">
        <f t="shared" si="2"/>
        <v>1.5629226850443018E-2</v>
      </c>
      <c r="Q10" s="182" t="s">
        <v>2364</v>
      </c>
      <c r="R10" s="924">
        <v>57.09</v>
      </c>
      <c r="S10" s="1082">
        <v>342985.17</v>
      </c>
      <c r="T10" s="1082">
        <v>63990.87</v>
      </c>
      <c r="U10" s="1082">
        <v>407033.13</v>
      </c>
      <c r="V10" s="477"/>
      <c r="W10" s="182" t="s">
        <v>2367</v>
      </c>
      <c r="X10" s="1082"/>
      <c r="Y10" s="1082"/>
      <c r="Z10" s="1082">
        <v>1826.92</v>
      </c>
      <c r="AA10" s="1082">
        <v>1826.92</v>
      </c>
    </row>
    <row r="11" spans="1:27" ht="15">
      <c r="A11" s="2646" t="s">
        <v>2368</v>
      </c>
      <c r="B11" s="2646"/>
      <c r="C11" s="2647"/>
      <c r="E11" s="2648">
        <f>VLOOKUP(A11,'G-3.06 PF Exec Labor'!$Q$8:$U$25,5,FALSE)</f>
        <v>350731.69</v>
      </c>
      <c r="F11" s="2648">
        <f>VLOOKUP(A11,'G-3.06 PF Exec Labor'!$Q$8:$T$25,4,FALSE)</f>
        <v>57808.18</v>
      </c>
      <c r="G11" s="2648">
        <f t="shared" si="0"/>
        <v>292923.51</v>
      </c>
      <c r="H11" s="2629"/>
      <c r="I11" s="2649">
        <f>VLOOKUP(A11,'G-3.06 PF Exec Labor'!$Q$8:$S$25,3,FALSE)</f>
        <v>292923.51</v>
      </c>
      <c r="J11" s="2649">
        <f>VLOOKUP(A11,'G-3.06 PF Exec Labor'!$Q$8:$R$25,2,FALSE)</f>
        <v>0</v>
      </c>
      <c r="K11" s="2629"/>
      <c r="L11" s="2650">
        <f t="shared" si="1"/>
        <v>1</v>
      </c>
      <c r="M11" s="2650">
        <f t="shared" si="2"/>
        <v>0</v>
      </c>
      <c r="Q11" s="182" t="s">
        <v>2369</v>
      </c>
      <c r="R11" s="924">
        <v>21310.07</v>
      </c>
      <c r="S11" s="1082">
        <v>322477.02</v>
      </c>
      <c r="T11" s="1082">
        <v>39180.699999999997</v>
      </c>
      <c r="U11" s="1082">
        <v>382967.79</v>
      </c>
      <c r="V11" s="477"/>
      <c r="W11" s="182" t="s">
        <v>2370</v>
      </c>
      <c r="X11" s="1082"/>
      <c r="Y11" s="1082"/>
      <c r="Z11" s="1082">
        <v>160359.56</v>
      </c>
      <c r="AA11" s="1082">
        <v>160359.56</v>
      </c>
    </row>
    <row r="12" spans="1:27" ht="15">
      <c r="A12" s="2646" t="s">
        <v>2371</v>
      </c>
      <c r="B12" s="2646"/>
      <c r="C12" s="2647"/>
      <c r="E12" s="2648">
        <f>VLOOKUP(A12,'G-3.06 PF Exec Labor'!$Q$8:$U$25,5,FALSE)</f>
        <v>349085.53</v>
      </c>
      <c r="F12" s="2648">
        <f>VLOOKUP(A12,'G-3.06 PF Exec Labor'!$Q$8:$T$25,4,FALSE)</f>
        <v>60309.27</v>
      </c>
      <c r="G12" s="2648">
        <f t="shared" si="0"/>
        <v>288776.26</v>
      </c>
      <c r="H12" s="2629"/>
      <c r="I12" s="2649">
        <f>VLOOKUP(A12,'G-3.06 PF Exec Labor'!$Q$8:$S$25,3,FALSE)</f>
        <v>288776.26</v>
      </c>
      <c r="J12" s="2649">
        <f>VLOOKUP(A12,'G-3.06 PF Exec Labor'!$Q$8:$R$25,2,FALSE)</f>
        <v>0</v>
      </c>
      <c r="K12" s="2629"/>
      <c r="L12" s="2650">
        <f t="shared" si="1"/>
        <v>1</v>
      </c>
      <c r="M12" s="2650">
        <f t="shared" si="2"/>
        <v>0</v>
      </c>
      <c r="Q12" s="182" t="s">
        <v>2362</v>
      </c>
      <c r="R12" s="924">
        <v>5326.84</v>
      </c>
      <c r="S12" s="1082">
        <v>292996.76</v>
      </c>
      <c r="T12" s="1082">
        <v>74901.19</v>
      </c>
      <c r="U12" s="1082">
        <v>373224.79</v>
      </c>
      <c r="V12" s="477"/>
      <c r="W12" s="182" t="s">
        <v>2372</v>
      </c>
      <c r="X12" s="1082"/>
      <c r="Y12" s="1082"/>
      <c r="Z12" s="1082">
        <v>50342.44</v>
      </c>
      <c r="AA12" s="1082">
        <v>50342.44</v>
      </c>
    </row>
    <row r="13" spans="1:27" ht="15">
      <c r="A13" s="2646" t="s">
        <v>2373</v>
      </c>
      <c r="B13" s="2646"/>
      <c r="C13" s="2647"/>
      <c r="E13" s="2648">
        <f>VLOOKUP(A13,'G-3.06 PF Exec Labor'!$Q$8:$U$25,5,FALSE)</f>
        <v>342463.75</v>
      </c>
      <c r="F13" s="2648">
        <f>VLOOKUP(A13,'G-3.06 PF Exec Labor'!$Q$8:$T$25,4,FALSE)</f>
        <v>54522.99</v>
      </c>
      <c r="G13" s="2648">
        <f t="shared" si="0"/>
        <v>287940.76</v>
      </c>
      <c r="H13" s="2629"/>
      <c r="I13" s="2649">
        <f>VLOOKUP(A13,'G-3.06 PF Exec Labor'!$Q$8:$S$25,3,FALSE)</f>
        <v>287711.03999999998</v>
      </c>
      <c r="J13" s="2649">
        <f>VLOOKUP(A13,'G-3.06 PF Exec Labor'!$Q$8:$R$25,2,FALSE)</f>
        <v>229.72</v>
      </c>
      <c r="K13" s="2629"/>
      <c r="L13" s="2650">
        <f t="shared" si="1"/>
        <v>0.99920219700746771</v>
      </c>
      <c r="M13" s="2650">
        <f t="shared" si="2"/>
        <v>7.9780299253221388E-4</v>
      </c>
      <c r="Q13" s="182" t="s">
        <v>2366</v>
      </c>
      <c r="R13" s="924">
        <v>4754.8900000000003</v>
      </c>
      <c r="S13" s="1082">
        <v>299475.77</v>
      </c>
      <c r="T13" s="1082">
        <v>59830.75</v>
      </c>
      <c r="U13" s="1082">
        <v>364061.41</v>
      </c>
      <c r="V13" s="477"/>
      <c r="W13" s="182" t="s">
        <v>2374</v>
      </c>
      <c r="X13" s="1082"/>
      <c r="Y13" s="1082">
        <v>2449.92</v>
      </c>
      <c r="Z13" s="1082">
        <v>4586.43</v>
      </c>
      <c r="AA13" s="1082">
        <v>7036.35</v>
      </c>
    </row>
    <row r="14" spans="1:27" ht="15">
      <c r="A14" s="2646" t="s">
        <v>2375</v>
      </c>
      <c r="B14" s="2646"/>
      <c r="C14" s="2647"/>
      <c r="E14" s="2648">
        <f>VLOOKUP(A14,'G-3.06 PF Exec Labor'!$Q$8:$U$25,5,FALSE)</f>
        <v>271702.27</v>
      </c>
      <c r="F14" s="2648">
        <f>VLOOKUP(A14,'G-3.06 PF Exec Labor'!$Q$8:$T$25,4,FALSE)</f>
        <v>42713.47</v>
      </c>
      <c r="G14" s="2648">
        <f t="shared" si="0"/>
        <v>228988.80000000002</v>
      </c>
      <c r="H14" s="2629"/>
      <c r="I14" s="2649">
        <f>VLOOKUP(A14,'G-3.06 PF Exec Labor'!$Q$8:$S$25,3,FALSE)</f>
        <v>214931.81</v>
      </c>
      <c r="J14" s="2649">
        <f>VLOOKUP(A14,'G-3.06 PF Exec Labor'!$Q$8:$R$25,2,FALSE)</f>
        <v>14056.99</v>
      </c>
      <c r="K14" s="2629"/>
      <c r="L14" s="2650">
        <f t="shared" si="1"/>
        <v>0.93861276184686748</v>
      </c>
      <c r="M14" s="2650">
        <f t="shared" si="2"/>
        <v>6.1387238153132372E-2</v>
      </c>
      <c r="Q14" s="182" t="s">
        <v>2368</v>
      </c>
      <c r="R14" s="924"/>
      <c r="S14" s="1082">
        <v>292923.51</v>
      </c>
      <c r="T14" s="1082">
        <v>57808.18</v>
      </c>
      <c r="U14" s="1082">
        <v>350731.69</v>
      </c>
      <c r="V14" s="477"/>
      <c r="W14" s="182" t="s">
        <v>2376</v>
      </c>
      <c r="X14" s="1082"/>
      <c r="Y14" s="1082"/>
      <c r="Z14" s="1082">
        <v>762.73</v>
      </c>
      <c r="AA14" s="1082">
        <v>762.73</v>
      </c>
    </row>
    <row r="15" spans="1:27" ht="15">
      <c r="A15" s="2646" t="s">
        <v>2369</v>
      </c>
      <c r="B15" s="2646"/>
      <c r="C15" s="2647"/>
      <c r="E15" s="2648">
        <f>VLOOKUP(A15,'G-3.06 PF Exec Labor'!$Q$8:$U$25,5,FALSE)</f>
        <v>382967.79</v>
      </c>
      <c r="F15" s="2648">
        <f>VLOOKUP(A15,'G-3.06 PF Exec Labor'!$Q$8:$T$25,4,FALSE)</f>
        <v>39180.699999999997</v>
      </c>
      <c r="G15" s="2648">
        <f t="shared" si="0"/>
        <v>343787.08999999997</v>
      </c>
      <c r="H15" s="2629"/>
      <c r="I15" s="2649">
        <f>VLOOKUP(A15,'G-3.06 PF Exec Labor'!$Q$8:$S$25,3,FALSE)</f>
        <v>322477.02</v>
      </c>
      <c r="J15" s="2649">
        <f>VLOOKUP(A15,'G-3.06 PF Exec Labor'!$Q$8:$R$25,2,FALSE)</f>
        <v>21310.07</v>
      </c>
      <c r="K15" s="2629"/>
      <c r="L15" s="2650">
        <f t="shared" si="1"/>
        <v>0.93801375729379499</v>
      </c>
      <c r="M15" s="2650">
        <f t="shared" si="2"/>
        <v>6.1986242706205175E-2</v>
      </c>
      <c r="Q15" s="182" t="s">
        <v>2371</v>
      </c>
      <c r="R15" s="924"/>
      <c r="S15" s="1082">
        <v>288776.26</v>
      </c>
      <c r="T15" s="1082">
        <v>60309.27</v>
      </c>
      <c r="U15" s="1082">
        <v>349085.53</v>
      </c>
      <c r="V15" s="477"/>
      <c r="W15" s="182" t="s">
        <v>2377</v>
      </c>
      <c r="X15" s="1082"/>
      <c r="Y15" s="1082"/>
      <c r="Z15" s="1082">
        <v>57861.54</v>
      </c>
      <c r="AA15" s="1082">
        <v>57861.54</v>
      </c>
    </row>
    <row r="16" spans="1:27" ht="15">
      <c r="A16" s="2646" t="s">
        <v>2378</v>
      </c>
      <c r="B16" s="2646"/>
      <c r="C16" s="2647"/>
      <c r="E16" s="2648">
        <f>VLOOKUP(A16,'G-3.06 PF Exec Labor'!$Q$8:$U$25,5,FALSE)</f>
        <v>229894.75</v>
      </c>
      <c r="F16" s="2648">
        <f>VLOOKUP(A16,'G-3.06 PF Exec Labor'!$Q$8:$T$25,4,FALSE)</f>
        <v>51601.919999999998</v>
      </c>
      <c r="G16" s="2648">
        <f t="shared" si="0"/>
        <v>178292.83000000002</v>
      </c>
      <c r="H16" s="2629"/>
      <c r="I16" s="2649">
        <f>VLOOKUP(A16,'G-3.06 PF Exec Labor'!$Q$8:$S$25,3,FALSE)</f>
        <v>48003.42</v>
      </c>
      <c r="J16" s="2649">
        <f>VLOOKUP(A16,'G-3.06 PF Exec Labor'!$Q$8:$R$25,2,FALSE)</f>
        <v>130289.41</v>
      </c>
      <c r="K16" s="2629"/>
      <c r="L16" s="2650">
        <f t="shared" si="1"/>
        <v>0.26923920608585322</v>
      </c>
      <c r="M16" s="2650">
        <f t="shared" si="2"/>
        <v>0.73076079391414672</v>
      </c>
      <c r="Q16" s="182" t="s">
        <v>2373</v>
      </c>
      <c r="R16" s="924">
        <v>229.72</v>
      </c>
      <c r="S16" s="1082">
        <v>287711.03999999998</v>
      </c>
      <c r="T16" s="1082">
        <v>54522.99</v>
      </c>
      <c r="U16" s="1082">
        <v>342463.75</v>
      </c>
      <c r="V16" s="477"/>
      <c r="W16" s="182" t="s">
        <v>2379</v>
      </c>
      <c r="X16" s="1082"/>
      <c r="Y16" s="1082"/>
      <c r="Z16" s="1082">
        <v>3313.7</v>
      </c>
      <c r="AA16" s="1082">
        <v>3313.7</v>
      </c>
    </row>
    <row r="17" spans="1:27" ht="15">
      <c r="A17" s="2653" t="s">
        <v>2380</v>
      </c>
      <c r="B17" s="2646"/>
      <c r="C17" s="2647"/>
      <c r="E17" s="2648">
        <f>VLOOKUP(A17,'G-3.06 PF Exec Labor'!$Q$8:$U$25,5,FALSE)</f>
        <v>228566.13</v>
      </c>
      <c r="F17" s="2648">
        <f>VLOOKUP(A17,'G-3.06 PF Exec Labor'!$Q$8:$T$25,4,FALSE)</f>
        <v>37897.4</v>
      </c>
      <c r="G17" s="2648">
        <f t="shared" si="0"/>
        <v>190668.73</v>
      </c>
      <c r="H17" s="2629"/>
      <c r="I17" s="2649">
        <f>VLOOKUP(A17,'G-3.06 PF Exec Labor'!$Q$8:$S$25,3,FALSE)</f>
        <v>190668.73</v>
      </c>
      <c r="J17" s="2649">
        <f>VLOOKUP(A17,'G-3.06 PF Exec Labor'!$Q$8:$R$25,2,FALSE)</f>
        <v>0</v>
      </c>
      <c r="K17" s="2629"/>
      <c r="L17" s="2650">
        <f t="shared" si="1"/>
        <v>1</v>
      </c>
      <c r="M17" s="2650">
        <f t="shared" si="2"/>
        <v>0</v>
      </c>
      <c r="Q17" s="182" t="s">
        <v>2375</v>
      </c>
      <c r="R17" s="924">
        <v>14056.99</v>
      </c>
      <c r="S17" s="1082">
        <v>214931.81</v>
      </c>
      <c r="T17" s="1082">
        <v>42713.47</v>
      </c>
      <c r="U17" s="1082">
        <v>271702.27</v>
      </c>
      <c r="V17" s="477"/>
      <c r="W17" s="182" t="s">
        <v>2381</v>
      </c>
      <c r="X17" s="1082">
        <v>100000</v>
      </c>
      <c r="Y17" s="1082">
        <v>0</v>
      </c>
      <c r="Z17" s="1082"/>
      <c r="AA17" s="1082">
        <v>100000</v>
      </c>
    </row>
    <row r="18" spans="1:27" ht="15">
      <c r="A18" s="2653" t="s">
        <v>2382</v>
      </c>
      <c r="C18" s="2647"/>
      <c r="E18" s="2648">
        <f>VLOOKUP(A18,'G-3.06 PF Exec Labor'!$Q$8:$U$25,5,FALSE)</f>
        <v>199186.14</v>
      </c>
      <c r="F18" s="2648">
        <f>VLOOKUP(A18,'G-3.06 PF Exec Labor'!$Q$8:$T$25,4,FALSE)</f>
        <v>31898.84</v>
      </c>
      <c r="G18" s="2648">
        <f t="shared" si="0"/>
        <v>167287.30000000002</v>
      </c>
      <c r="I18" s="2649">
        <f>VLOOKUP(A18,'G-3.06 PF Exec Labor'!$Q$8:$S$25,3,FALSE)</f>
        <v>167287.29999999999</v>
      </c>
      <c r="J18" s="2649">
        <f>VLOOKUP(A18,'G-3.06 PF Exec Labor'!$Q$8:$R$25,2,FALSE)</f>
        <v>0</v>
      </c>
      <c r="L18" s="2650">
        <f t="shared" si="1"/>
        <v>0.99999999999999978</v>
      </c>
      <c r="M18" s="2650">
        <f t="shared" si="2"/>
        <v>0</v>
      </c>
      <c r="Q18" s="182" t="s">
        <v>2378</v>
      </c>
      <c r="R18" s="924">
        <v>130289.41</v>
      </c>
      <c r="S18" s="1082">
        <v>48003.42</v>
      </c>
      <c r="T18" s="1082">
        <v>51601.919999999998</v>
      </c>
      <c r="U18" s="1082">
        <v>229894.75</v>
      </c>
      <c r="W18" s="2654" t="s">
        <v>978</v>
      </c>
      <c r="X18" s="2655">
        <v>402820.78</v>
      </c>
      <c r="Y18" s="2655">
        <v>3814088.14</v>
      </c>
      <c r="Z18" s="2656">
        <v>911996.36</v>
      </c>
      <c r="AA18" s="2655">
        <v>5128905.28</v>
      </c>
    </row>
    <row r="19" spans="1:27" ht="15">
      <c r="A19" s="2653" t="s">
        <v>2383</v>
      </c>
      <c r="B19" s="2646"/>
      <c r="C19" s="2647"/>
      <c r="E19" s="2648">
        <f>VLOOKUP(A19,'G-3.06 PF Exec Labor'!$Q$8:$U$25,5,FALSE)</f>
        <v>163687.14000000001</v>
      </c>
      <c r="F19" s="2648">
        <f>VLOOKUP(A19,'G-3.06 PF Exec Labor'!$Q$8:$T$25,4,FALSE)</f>
        <v>51441.81</v>
      </c>
      <c r="G19" s="2648">
        <f t="shared" si="0"/>
        <v>112245.33000000002</v>
      </c>
      <c r="H19" s="2629"/>
      <c r="I19" s="2649">
        <f>VLOOKUP(A19,'G-3.06 PF Exec Labor'!$Q$8:$S$25,3,FALSE)</f>
        <v>7470.33</v>
      </c>
      <c r="J19" s="2649">
        <f>VLOOKUP(A19,'G-3.06 PF Exec Labor'!$Q$8:$R$25,2,FALSE)</f>
        <v>104775</v>
      </c>
      <c r="K19" s="2629"/>
      <c r="L19" s="2650">
        <f t="shared" si="1"/>
        <v>6.6553592920079604E-2</v>
      </c>
      <c r="M19" s="2650">
        <f t="shared" si="2"/>
        <v>0.93344640707992022</v>
      </c>
      <c r="N19" s="477" t="s">
        <v>2384</v>
      </c>
      <c r="Q19" s="182" t="s">
        <v>2380</v>
      </c>
      <c r="R19" s="924"/>
      <c r="S19" s="1082">
        <v>190668.73</v>
      </c>
      <c r="T19" s="1082">
        <v>37897.4</v>
      </c>
      <c r="U19" s="1082">
        <v>228566.13</v>
      </c>
      <c r="W19" s="477"/>
      <c r="X19" s="477"/>
      <c r="Y19" s="477"/>
      <c r="Z19" s="477"/>
      <c r="AA19" s="477"/>
    </row>
    <row r="20" spans="1:27" ht="15">
      <c r="A20" s="2653" t="s">
        <v>2385</v>
      </c>
      <c r="B20" s="2646"/>
      <c r="C20" s="2647"/>
      <c r="E20" s="2648">
        <f>VLOOKUP(A20,'G-3.06 PF Exec Labor'!$Q$8:$U$25,5,FALSE)</f>
        <v>116615.44</v>
      </c>
      <c r="F20" s="2648">
        <f>VLOOKUP(A20,'G-3.06 PF Exec Labor'!$Q$8:$T$25,4,FALSE)</f>
        <v>0</v>
      </c>
      <c r="G20" s="2648">
        <f t="shared" si="0"/>
        <v>116615.44</v>
      </c>
      <c r="H20" s="2629"/>
      <c r="I20" s="2649">
        <f>VLOOKUP(A20,'G-3.06 PF Exec Labor'!$Q$8:$S$25,3,FALSE)</f>
        <v>16615.439999999999</v>
      </c>
      <c r="J20" s="2649">
        <f>VLOOKUP(A20,'G-3.06 PF Exec Labor'!$Q$8:$R$25,2,FALSE)</f>
        <v>100000</v>
      </c>
      <c r="K20" s="2629"/>
      <c r="L20" s="2650">
        <f t="shared" si="1"/>
        <v>0.14248061834693587</v>
      </c>
      <c r="M20" s="2650">
        <f t="shared" si="2"/>
        <v>0.85751938165306407</v>
      </c>
      <c r="Q20" s="182" t="s">
        <v>2382</v>
      </c>
      <c r="R20" s="924"/>
      <c r="S20" s="1082">
        <v>167287.29999999999</v>
      </c>
      <c r="T20" s="1082">
        <v>31898.84</v>
      </c>
      <c r="U20" s="1082">
        <v>199186.14</v>
      </c>
      <c r="W20" s="477"/>
      <c r="X20" s="477"/>
      <c r="Y20" s="477"/>
      <c r="Z20" s="477"/>
      <c r="AA20" s="477"/>
    </row>
    <row r="21" spans="1:27" ht="15">
      <c r="A21" s="2629"/>
      <c r="B21" s="2629"/>
      <c r="C21" s="2629"/>
      <c r="E21" s="2629"/>
      <c r="F21" s="2629"/>
      <c r="G21" s="2629"/>
      <c r="H21" s="2629"/>
      <c r="I21" s="2629"/>
      <c r="J21" s="2629"/>
      <c r="K21" s="2629"/>
      <c r="L21" s="2650"/>
      <c r="M21" s="2650"/>
      <c r="Q21" s="182" t="s">
        <v>2383</v>
      </c>
      <c r="R21" s="924">
        <v>104775</v>
      </c>
      <c r="S21" s="1082">
        <v>7470.33</v>
      </c>
      <c r="T21" s="1082">
        <v>51441.81</v>
      </c>
      <c r="U21" s="1082">
        <v>163687.14000000001</v>
      </c>
      <c r="W21" s="477"/>
      <c r="X21" s="477"/>
      <c r="Y21" s="477"/>
      <c r="Z21" s="477"/>
      <c r="AA21" s="477"/>
    </row>
    <row r="22" spans="1:27" ht="15">
      <c r="A22" s="2646"/>
      <c r="B22" s="2646"/>
      <c r="C22" s="2646"/>
      <c r="E22" s="2657">
        <f>SUM(E6:E20)</f>
        <v>5128905.2799999993</v>
      </c>
      <c r="F22" s="2658">
        <f>SUM(F6:F20)</f>
        <v>911996.3600000001</v>
      </c>
      <c r="G22" s="2658">
        <f>SUM(G6:G20)</f>
        <v>4216908.919999999</v>
      </c>
      <c r="H22" s="2629"/>
      <c r="I22" s="2658">
        <f>SUM(I6:I21)</f>
        <v>3814088.1399999997</v>
      </c>
      <c r="J22" s="2658">
        <f>SUM(J6:J21)</f>
        <v>402820.78</v>
      </c>
      <c r="K22" s="2629"/>
      <c r="L22" s="2659">
        <f>I22/G22</f>
        <v>0.90447486828812051</v>
      </c>
      <c r="M22" s="2659">
        <f>J22/G22</f>
        <v>9.5525131711879638E-2</v>
      </c>
      <c r="N22" s="879"/>
      <c r="Q22" s="182" t="s">
        <v>2385</v>
      </c>
      <c r="R22" s="924">
        <v>100000</v>
      </c>
      <c r="S22" s="1082">
        <v>16615.439999999999</v>
      </c>
      <c r="T22" s="1082"/>
      <c r="U22" s="1082">
        <v>116615.44</v>
      </c>
    </row>
    <row r="23" spans="1:27" ht="15">
      <c r="A23" s="2660">
        <f>COUNTA(A6:A20)</f>
        <v>15</v>
      </c>
      <c r="B23" s="2660"/>
      <c r="C23" s="2660"/>
      <c r="E23" s="2661">
        <f>AA18</f>
        <v>5128905.28</v>
      </c>
      <c r="F23" s="2650">
        <f>F22/E22</f>
        <v>0.17781501318737558</v>
      </c>
      <c r="G23" s="2660"/>
      <c r="H23" s="2629"/>
      <c r="I23" s="2662">
        <f>Y18</f>
        <v>3814088.14</v>
      </c>
      <c r="J23" s="2662">
        <f>X18</f>
        <v>402820.78</v>
      </c>
      <c r="K23" s="2629"/>
      <c r="L23" s="2629"/>
      <c r="M23" s="2629"/>
      <c r="N23" s="879"/>
      <c r="Q23" s="2654" t="s">
        <v>978</v>
      </c>
      <c r="R23" s="2656">
        <v>402821</v>
      </c>
      <c r="S23" s="2656">
        <v>3814088.14</v>
      </c>
      <c r="T23" s="2656">
        <v>911996.36</v>
      </c>
      <c r="U23" s="2656">
        <v>5128905.28</v>
      </c>
    </row>
    <row r="24" spans="1:27" ht="15.75" thickBot="1">
      <c r="A24" s="2660"/>
      <c r="B24" s="2660"/>
      <c r="C24" s="2660"/>
      <c r="D24" s="2660"/>
      <c r="E24" s="2660"/>
      <c r="F24" s="2660"/>
      <c r="G24" s="2660"/>
      <c r="H24" s="2629"/>
      <c r="I24" s="2629"/>
      <c r="J24" s="2629"/>
      <c r="K24" s="2629"/>
      <c r="L24" s="2629"/>
      <c r="M24" s="2629"/>
      <c r="Q24" s="182"/>
      <c r="R24" s="924"/>
      <c r="S24" s="1082"/>
      <c r="T24" s="1082"/>
      <c r="U24" s="1082"/>
    </row>
    <row r="25" spans="1:27" ht="15.75" thickBot="1">
      <c r="A25" s="2663" t="s">
        <v>2386</v>
      </c>
      <c r="B25" s="2664"/>
      <c r="C25" s="2664"/>
      <c r="D25" s="2664"/>
      <c r="E25" s="2664"/>
      <c r="F25" s="2664"/>
      <c r="G25" s="2664"/>
      <c r="H25" s="2664"/>
      <c r="I25" s="2664"/>
      <c r="J25" s="2664"/>
      <c r="K25" s="2664"/>
      <c r="L25" s="2664"/>
      <c r="M25" s="2665"/>
      <c r="Q25" s="182"/>
      <c r="R25" s="924"/>
      <c r="S25" s="1082"/>
      <c r="T25" s="1082"/>
      <c r="U25" s="1082"/>
    </row>
    <row r="26" spans="1:27" ht="15">
      <c r="A26" s="2660"/>
      <c r="B26" s="2660"/>
      <c r="C26" s="2660"/>
      <c r="D26" s="2660"/>
      <c r="E26" s="2666">
        <v>3.5000000000000003E-2</v>
      </c>
      <c r="F26" s="2660"/>
      <c r="G26" s="2660"/>
      <c r="H26" s="2629"/>
      <c r="I26" s="2629"/>
      <c r="J26" s="2629"/>
      <c r="K26" s="2629"/>
      <c r="L26" s="2629"/>
      <c r="M26" s="2629"/>
      <c r="Q26" s="1569" t="s">
        <v>679</v>
      </c>
      <c r="R26" s="1569" t="s">
        <v>1701</v>
      </c>
    </row>
    <row r="27" spans="1:27" ht="15">
      <c r="A27" s="2632"/>
      <c r="B27" s="2632"/>
      <c r="C27" s="2632"/>
      <c r="D27" s="2667" t="s">
        <v>2387</v>
      </c>
      <c r="E27" s="2667" t="s">
        <v>2388</v>
      </c>
      <c r="F27" s="2633" t="s">
        <v>2389</v>
      </c>
      <c r="G27" s="2633" t="s">
        <v>123</v>
      </c>
      <c r="H27" s="2629"/>
      <c r="I27" s="2668" t="s">
        <v>1183</v>
      </c>
      <c r="J27" s="2669"/>
      <c r="K27" s="2629"/>
      <c r="L27" s="2670" t="s">
        <v>772</v>
      </c>
      <c r="M27" s="2671"/>
      <c r="Q27" s="1569" t="s">
        <v>2340</v>
      </c>
      <c r="R27" s="1569" t="s">
        <v>1759</v>
      </c>
      <c r="Y27" s="477"/>
      <c r="Z27" s="477"/>
    </row>
    <row r="28" spans="1:27" ht="30">
      <c r="A28" s="2632" t="s">
        <v>432</v>
      </c>
      <c r="B28" s="2632"/>
      <c r="C28" s="2632"/>
      <c r="D28" s="2667" t="s">
        <v>2390</v>
      </c>
      <c r="E28" s="2667" t="s">
        <v>2391</v>
      </c>
      <c r="F28" s="2672" t="s">
        <v>2357</v>
      </c>
      <c r="G28" s="2672" t="s">
        <v>2358</v>
      </c>
      <c r="H28" s="2629"/>
      <c r="I28" s="2644" t="s">
        <v>2359</v>
      </c>
      <c r="J28" s="2645" t="s">
        <v>444</v>
      </c>
      <c r="K28" s="2629"/>
      <c r="L28" s="2644" t="s">
        <v>2359</v>
      </c>
      <c r="M28" s="2645" t="s">
        <v>444</v>
      </c>
      <c r="Q28" s="1570" t="s">
        <v>1758</v>
      </c>
      <c r="R28" s="1570" t="s">
        <v>1745</v>
      </c>
      <c r="Y28" s="477"/>
      <c r="Z28" s="477"/>
    </row>
    <row r="29" spans="1:27" ht="15">
      <c r="A29" s="2646" t="str">
        <f t="shared" ref="A29:A43" si="3">+A6</f>
        <v>88740</v>
      </c>
      <c r="B29" s="2673"/>
      <c r="C29" s="2647"/>
      <c r="D29" s="2674">
        <v>884000</v>
      </c>
      <c r="E29" s="2674">
        <f>+D29*(1+$E$26)</f>
        <v>914939.99999999988</v>
      </c>
      <c r="F29" s="2648">
        <f t="shared" ref="F29:F43" si="4">((VLOOKUP(A29,$A$6:$F$20,6,FALSE))/(VLOOKUP(A29,$A$6:$E$20,5,FALSE)))*E29</f>
        <v>172978.84378241617</v>
      </c>
      <c r="G29" s="2648">
        <f t="shared" ref="G29:G43" si="5">E29-F29</f>
        <v>741961.15621758369</v>
      </c>
      <c r="H29" s="2629"/>
      <c r="I29" s="2675">
        <f t="shared" ref="I29:I43" si="6">G29*L29</f>
        <v>740902.29065154633</v>
      </c>
      <c r="J29" s="2675">
        <f t="shared" ref="J29:J43" si="7">G29*M29</f>
        <v>741.96115621758372</v>
      </c>
      <c r="K29" s="2629"/>
      <c r="L29" s="2650">
        <f t="shared" ref="L29:L42" si="8">VLOOKUP(A29,$A$6:$L$20,12,FALSE)</f>
        <v>0.99857288274842404</v>
      </c>
      <c r="M29" s="2650">
        <f t="shared" ref="M29:M43" si="9">ROUND(1-L29,3)</f>
        <v>1E-3</v>
      </c>
      <c r="R29" s="2630"/>
      <c r="Y29" s="477"/>
      <c r="Z29" s="477"/>
    </row>
    <row r="30" spans="1:27" ht="39">
      <c r="A30" s="2646" t="str">
        <f t="shared" si="3"/>
        <v>03512</v>
      </c>
      <c r="B30" s="2673"/>
      <c r="C30" s="2647"/>
      <c r="D30" s="2674">
        <v>495000</v>
      </c>
      <c r="E30" s="2674">
        <v>0</v>
      </c>
      <c r="F30" s="2648">
        <f t="shared" si="4"/>
        <v>0</v>
      </c>
      <c r="G30" s="2648">
        <f t="shared" si="5"/>
        <v>0</v>
      </c>
      <c r="H30" s="2629"/>
      <c r="I30" s="2675">
        <f t="shared" si="6"/>
        <v>0</v>
      </c>
      <c r="J30" s="2675">
        <f t="shared" si="7"/>
        <v>0</v>
      </c>
      <c r="K30" s="2629"/>
      <c r="L30" s="2650">
        <f t="shared" si="8"/>
        <v>0.94164615646167182</v>
      </c>
      <c r="M30" s="2650">
        <f t="shared" si="9"/>
        <v>5.8000000000000003E-2</v>
      </c>
      <c r="Q30" s="2652" t="s">
        <v>1170</v>
      </c>
      <c r="R30" s="2676" t="s">
        <v>2332</v>
      </c>
      <c r="S30" s="2676" t="s">
        <v>2274</v>
      </c>
      <c r="T30" s="2676" t="s">
        <v>2392</v>
      </c>
      <c r="U30" s="2676" t="s">
        <v>1251</v>
      </c>
      <c r="Y30" s="2630"/>
    </row>
    <row r="31" spans="1:27" ht="15">
      <c r="A31" s="2646" t="str">
        <f t="shared" si="3"/>
        <v>85931</v>
      </c>
      <c r="B31" s="2673"/>
      <c r="C31" s="2647"/>
      <c r="D31" s="2674">
        <v>392000</v>
      </c>
      <c r="E31" s="2674">
        <f>+D31*(1+$E$26)</f>
        <v>405719.99999999994</v>
      </c>
      <c r="F31" s="2648">
        <f t="shared" si="4"/>
        <v>81422.541109340556</v>
      </c>
      <c r="G31" s="2648">
        <f t="shared" si="5"/>
        <v>324297.45889065939</v>
      </c>
      <c r="H31" s="2629"/>
      <c r="I31" s="2675">
        <f t="shared" si="6"/>
        <v>318506.83194757777</v>
      </c>
      <c r="J31" s="2675">
        <f t="shared" si="7"/>
        <v>5837.3542600318688</v>
      </c>
      <c r="K31" s="2629"/>
      <c r="L31" s="2650">
        <f t="shared" si="8"/>
        <v>0.98214408782945783</v>
      </c>
      <c r="M31" s="2650">
        <f t="shared" si="9"/>
        <v>1.7999999999999999E-2</v>
      </c>
      <c r="Q31" s="182">
        <v>880000</v>
      </c>
      <c r="R31" s="1082"/>
      <c r="S31" s="1082">
        <v>416</v>
      </c>
      <c r="T31" s="1082">
        <v>187</v>
      </c>
      <c r="U31" s="1082">
        <v>602.77</v>
      </c>
      <c r="Y31" s="477"/>
      <c r="Z31" s="477"/>
      <c r="AA31" s="477"/>
    </row>
    <row r="32" spans="1:27" ht="15">
      <c r="A32" s="2646" t="str">
        <f t="shared" si="3"/>
        <v>05320</v>
      </c>
      <c r="B32" s="2673"/>
      <c r="C32" s="2647"/>
      <c r="D32" s="2674">
        <v>500000</v>
      </c>
      <c r="E32" s="2674">
        <f>+D32*(1+$E$26)</f>
        <v>517499.99999999994</v>
      </c>
      <c r="F32" s="2648">
        <f t="shared" si="4"/>
        <v>81357.690036189437</v>
      </c>
      <c r="G32" s="2648">
        <f t="shared" si="5"/>
        <v>436142.30996381049</v>
      </c>
      <c r="H32" s="2629"/>
      <c r="I32" s="2675">
        <f t="shared" si="6"/>
        <v>436069.72600731527</v>
      </c>
      <c r="J32" s="2675">
        <f t="shared" si="7"/>
        <v>0</v>
      </c>
      <c r="K32" s="2629"/>
      <c r="L32" s="2650">
        <f t="shared" si="8"/>
        <v>0.99983357735574607</v>
      </c>
      <c r="M32" s="2650">
        <f t="shared" si="9"/>
        <v>0</v>
      </c>
      <c r="Q32" s="182">
        <v>920000</v>
      </c>
      <c r="R32" s="1082">
        <v>2176015</v>
      </c>
      <c r="S32" s="1082">
        <v>632915</v>
      </c>
      <c r="T32" s="1082">
        <v>282222</v>
      </c>
      <c r="U32" s="1082">
        <v>3091151.89</v>
      </c>
      <c r="Y32" s="477"/>
      <c r="Z32" s="477"/>
      <c r="AA32" s="477"/>
    </row>
    <row r="33" spans="1:27" ht="15">
      <c r="A33" s="2646" t="str">
        <f t="shared" si="3"/>
        <v>02552</v>
      </c>
      <c r="B33" s="2673"/>
      <c r="C33" s="2647"/>
      <c r="D33" s="2674">
        <v>400000</v>
      </c>
      <c r="E33" s="2674">
        <f>+D33*(1+$E$26)</f>
        <v>413999.99999999994</v>
      </c>
      <c r="F33" s="2648">
        <f t="shared" si="4"/>
        <v>68037.781043588213</v>
      </c>
      <c r="G33" s="2648">
        <f t="shared" si="5"/>
        <v>345962.2189564117</v>
      </c>
      <c r="H33" s="2629"/>
      <c r="I33" s="2675">
        <f t="shared" si="6"/>
        <v>340555.09695465933</v>
      </c>
      <c r="J33" s="2675">
        <f t="shared" si="7"/>
        <v>5535.3955033025877</v>
      </c>
      <c r="K33" s="2629"/>
      <c r="L33" s="2650">
        <f t="shared" si="8"/>
        <v>0.98437077314955712</v>
      </c>
      <c r="M33" s="2650">
        <f t="shared" si="9"/>
        <v>1.6E-2</v>
      </c>
      <c r="Q33" s="182">
        <v>928000</v>
      </c>
      <c r="R33" s="1082">
        <v>74050</v>
      </c>
      <c r="S33" s="1082">
        <v>20599</v>
      </c>
      <c r="T33" s="1082">
        <v>12183</v>
      </c>
      <c r="U33" s="1082">
        <v>106831.52</v>
      </c>
      <c r="Y33" s="477"/>
      <c r="Z33" s="477"/>
      <c r="AA33" s="477"/>
    </row>
    <row r="34" spans="1:27" ht="15">
      <c r="A34" s="2646" t="str">
        <f t="shared" si="3"/>
        <v>00365</v>
      </c>
      <c r="B34" s="2673"/>
      <c r="C34" s="2647"/>
      <c r="D34" s="2674">
        <v>336000</v>
      </c>
      <c r="E34" s="2674">
        <f>+D34*(1+$E$26)</f>
        <v>347760</v>
      </c>
      <c r="F34" s="2648">
        <f t="shared" si="4"/>
        <v>57318.381115775424</v>
      </c>
      <c r="G34" s="2648">
        <f t="shared" si="5"/>
        <v>290441.61888422456</v>
      </c>
      <c r="H34" s="2629"/>
      <c r="I34" s="2675">
        <f t="shared" si="6"/>
        <v>290441.61888422456</v>
      </c>
      <c r="J34" s="2675">
        <f t="shared" si="7"/>
        <v>0</v>
      </c>
      <c r="K34" s="2629"/>
      <c r="L34" s="2650">
        <f t="shared" si="8"/>
        <v>1</v>
      </c>
      <c r="M34" s="2650">
        <f t="shared" si="9"/>
        <v>0</v>
      </c>
      <c r="Q34" s="182">
        <v>921000</v>
      </c>
      <c r="R34" s="1082">
        <v>1732</v>
      </c>
      <c r="S34" s="1082">
        <v>496</v>
      </c>
      <c r="T34" s="1082">
        <v>222</v>
      </c>
      <c r="U34" s="1082">
        <v>2449.92</v>
      </c>
      <c r="Y34" s="477"/>
      <c r="Z34" s="477"/>
      <c r="AA34" s="477"/>
    </row>
    <row r="35" spans="1:27" ht="15">
      <c r="A35" s="2646" t="str">
        <f t="shared" si="3"/>
        <v>45464</v>
      </c>
      <c r="B35" s="2673"/>
      <c r="C35" s="2647"/>
      <c r="D35" s="2674">
        <v>340000</v>
      </c>
      <c r="E35" s="2674">
        <v>0</v>
      </c>
      <c r="F35" s="2648">
        <f t="shared" si="4"/>
        <v>0</v>
      </c>
      <c r="G35" s="2648">
        <f t="shared" si="5"/>
        <v>0</v>
      </c>
      <c r="H35" s="2629"/>
      <c r="I35" s="2675">
        <f t="shared" si="6"/>
        <v>0</v>
      </c>
      <c r="J35" s="2675">
        <f t="shared" si="7"/>
        <v>0</v>
      </c>
      <c r="K35" s="2629"/>
      <c r="L35" s="2650">
        <f t="shared" si="8"/>
        <v>1</v>
      </c>
      <c r="M35" s="2650">
        <f t="shared" si="9"/>
        <v>0</v>
      </c>
      <c r="N35" s="478" t="s">
        <v>2393</v>
      </c>
      <c r="Q35" s="182">
        <v>557000</v>
      </c>
      <c r="R35" s="1082">
        <v>275588</v>
      </c>
      <c r="S35" s="1082"/>
      <c r="T35" s="1082"/>
      <c r="U35" s="1082">
        <v>275587.59000000003</v>
      </c>
      <c r="Y35" s="477"/>
      <c r="Z35" s="477"/>
      <c r="AA35" s="477"/>
    </row>
    <row r="36" spans="1:27" ht="15">
      <c r="A36" s="2646" t="str">
        <f t="shared" si="3"/>
        <v>00107</v>
      </c>
      <c r="B36" s="2673"/>
      <c r="C36" s="2647"/>
      <c r="D36" s="2674">
        <v>360000</v>
      </c>
      <c r="E36" s="2674">
        <f t="shared" ref="E36:E43" si="10">+D36*(1+$E$26)</f>
        <v>372600</v>
      </c>
      <c r="F36" s="2648">
        <f t="shared" si="4"/>
        <v>59320.923963485191</v>
      </c>
      <c r="G36" s="2648">
        <f t="shared" si="5"/>
        <v>313279.07603651483</v>
      </c>
      <c r="H36" s="2629"/>
      <c r="I36" s="2675">
        <f t="shared" si="6"/>
        <v>313029.14105215517</v>
      </c>
      <c r="J36" s="2675">
        <f t="shared" si="7"/>
        <v>313.27907603651482</v>
      </c>
      <c r="K36" s="2629"/>
      <c r="L36" s="2650">
        <f t="shared" si="8"/>
        <v>0.99920219700746771</v>
      </c>
      <c r="M36" s="2650">
        <f t="shared" si="9"/>
        <v>1E-3</v>
      </c>
      <c r="Q36" s="182">
        <v>535000</v>
      </c>
      <c r="R36" s="1082">
        <v>2659</v>
      </c>
      <c r="S36" s="1082"/>
      <c r="T36" s="1082"/>
      <c r="U36" s="1082">
        <v>2658.65</v>
      </c>
      <c r="Y36" s="477"/>
      <c r="Z36" s="477"/>
      <c r="AA36" s="477"/>
    </row>
    <row r="37" spans="1:27" ht="15">
      <c r="A37" s="2646" t="str">
        <f t="shared" si="3"/>
        <v>01750</v>
      </c>
      <c r="B37" s="2673"/>
      <c r="C37" s="2647"/>
      <c r="D37" s="2674">
        <v>277000</v>
      </c>
      <c r="E37" s="2674">
        <f t="shared" si="10"/>
        <v>286695</v>
      </c>
      <c r="F37" s="2648">
        <f t="shared" si="4"/>
        <v>45070.430518118228</v>
      </c>
      <c r="G37" s="2648">
        <f t="shared" si="5"/>
        <v>241624.56948188177</v>
      </c>
      <c r="H37" s="2629"/>
      <c r="I37" s="2675">
        <f t="shared" si="6"/>
        <v>226791.90449144939</v>
      </c>
      <c r="J37" s="2675">
        <f t="shared" si="7"/>
        <v>14739.098738394789</v>
      </c>
      <c r="K37" s="2629"/>
      <c r="L37" s="2650">
        <f t="shared" si="8"/>
        <v>0.93861276184686748</v>
      </c>
      <c r="M37" s="2650">
        <f t="shared" si="9"/>
        <v>6.0999999999999999E-2</v>
      </c>
      <c r="Q37" s="182">
        <v>813000</v>
      </c>
      <c r="R37" s="1082"/>
      <c r="S37" s="1082">
        <v>132562</v>
      </c>
      <c r="T37" s="1082">
        <v>59838</v>
      </c>
      <c r="U37" s="1082">
        <v>192400.04</v>
      </c>
      <c r="Y37" s="477"/>
      <c r="Z37" s="477"/>
      <c r="AA37" s="477"/>
    </row>
    <row r="38" spans="1:27" ht="15">
      <c r="A38" s="2646" t="str">
        <f t="shared" si="3"/>
        <v>04682</v>
      </c>
      <c r="B38" s="2673"/>
      <c r="C38" s="2647"/>
      <c r="D38" s="2674">
        <v>411000</v>
      </c>
      <c r="E38" s="2674">
        <f t="shared" si="10"/>
        <v>425384.99999999994</v>
      </c>
      <c r="F38" s="2648">
        <f t="shared" si="4"/>
        <v>43520.323391948958</v>
      </c>
      <c r="G38" s="2648">
        <f t="shared" si="5"/>
        <v>381864.676608051</v>
      </c>
      <c r="H38" s="2629"/>
      <c r="I38" s="2675">
        <f t="shared" si="6"/>
        <v>358194.32008289784</v>
      </c>
      <c r="J38" s="2675">
        <f t="shared" si="7"/>
        <v>23675.609949699163</v>
      </c>
      <c r="K38" s="2629"/>
      <c r="L38" s="2650">
        <f t="shared" si="8"/>
        <v>0.93801375729379499</v>
      </c>
      <c r="M38" s="2650">
        <f t="shared" si="9"/>
        <v>6.2E-2</v>
      </c>
      <c r="Q38" s="182">
        <v>930200</v>
      </c>
      <c r="R38" s="1082">
        <v>28951</v>
      </c>
      <c r="S38" s="1082">
        <v>8417</v>
      </c>
      <c r="T38" s="1082">
        <v>3754</v>
      </c>
      <c r="U38" s="1082">
        <v>41121.620000000003</v>
      </c>
      <c r="Y38" s="477"/>
      <c r="Z38" s="477"/>
      <c r="AA38" s="477"/>
    </row>
    <row r="39" spans="1:27" ht="15">
      <c r="A39" s="2646" t="str">
        <f t="shared" si="3"/>
        <v>02284</v>
      </c>
      <c r="B39" s="2673"/>
      <c r="C39" s="2647"/>
      <c r="D39" s="2674">
        <v>335000</v>
      </c>
      <c r="E39" s="2674">
        <f t="shared" si="10"/>
        <v>346725</v>
      </c>
      <c r="F39" s="2648">
        <f t="shared" si="4"/>
        <v>77825.508029217715</v>
      </c>
      <c r="G39" s="2648">
        <f t="shared" si="5"/>
        <v>268899.49197078228</v>
      </c>
      <c r="H39" s="2629"/>
      <c r="I39" s="2675">
        <f t="shared" si="6"/>
        <v>72398.285735102691</v>
      </c>
      <c r="J39" s="2675">
        <f t="shared" si="7"/>
        <v>196565.52863064184</v>
      </c>
      <c r="K39" s="2629"/>
      <c r="L39" s="2650">
        <f t="shared" si="8"/>
        <v>0.26923920608585322</v>
      </c>
      <c r="M39" s="2650">
        <f t="shared" si="9"/>
        <v>0.73099999999999998</v>
      </c>
      <c r="Q39" s="182">
        <v>560000</v>
      </c>
      <c r="R39" s="1082">
        <v>1688</v>
      </c>
      <c r="S39" s="1082"/>
      <c r="T39" s="1082"/>
      <c r="U39" s="1082">
        <v>1687.69</v>
      </c>
      <c r="Y39" s="477"/>
      <c r="Z39" s="477"/>
      <c r="AA39" s="477"/>
    </row>
    <row r="40" spans="1:27" ht="15">
      <c r="A40" s="2646" t="str">
        <f t="shared" si="3"/>
        <v>00655</v>
      </c>
      <c r="B40" s="2673"/>
      <c r="C40" s="2647"/>
      <c r="D40" s="2674">
        <v>290000</v>
      </c>
      <c r="E40" s="2674">
        <f t="shared" si="10"/>
        <v>300150</v>
      </c>
      <c r="F40" s="2648">
        <f t="shared" si="4"/>
        <v>49766.361315213246</v>
      </c>
      <c r="G40" s="2648">
        <f t="shared" si="5"/>
        <v>250383.63868478674</v>
      </c>
      <c r="H40" s="2629"/>
      <c r="I40" s="2675">
        <f t="shared" si="6"/>
        <v>250383.63868478674</v>
      </c>
      <c r="J40" s="2675">
        <f t="shared" si="7"/>
        <v>0</v>
      </c>
      <c r="K40" s="2629"/>
      <c r="L40" s="2650">
        <f t="shared" si="8"/>
        <v>1</v>
      </c>
      <c r="M40" s="2650">
        <f t="shared" si="9"/>
        <v>0</v>
      </c>
      <c r="Q40" s="182">
        <v>580000</v>
      </c>
      <c r="R40" s="1082">
        <v>54213</v>
      </c>
      <c r="S40" s="1082"/>
      <c r="T40" s="1082"/>
      <c r="U40" s="1082">
        <v>54212.67</v>
      </c>
      <c r="Y40" s="477"/>
      <c r="Z40" s="477"/>
      <c r="AA40" s="477"/>
    </row>
    <row r="41" spans="1:27" ht="15">
      <c r="A41" s="2646" t="str">
        <f t="shared" si="3"/>
        <v>02749</v>
      </c>
      <c r="B41" s="2673"/>
      <c r="C41" s="2647"/>
      <c r="D41" s="2674">
        <v>255000</v>
      </c>
      <c r="E41" s="2674">
        <f t="shared" si="10"/>
        <v>263925</v>
      </c>
      <c r="F41" s="2648">
        <f t="shared" si="4"/>
        <v>42266.501810818758</v>
      </c>
      <c r="G41" s="2648">
        <f t="shared" si="5"/>
        <v>221658.49818918123</v>
      </c>
      <c r="H41" s="2629"/>
      <c r="I41" s="2675">
        <f t="shared" si="6"/>
        <v>221658.49818918118</v>
      </c>
      <c r="J41" s="2675">
        <f t="shared" si="7"/>
        <v>0</v>
      </c>
      <c r="K41" s="2629"/>
      <c r="L41" s="2650">
        <f t="shared" si="8"/>
        <v>0.99999999999999978</v>
      </c>
      <c r="M41" s="2650">
        <f t="shared" si="9"/>
        <v>0</v>
      </c>
      <c r="Q41" s="182">
        <v>870000</v>
      </c>
      <c r="R41" s="1082"/>
      <c r="S41" s="1082">
        <v>30172</v>
      </c>
      <c r="T41" s="1082">
        <v>13631</v>
      </c>
      <c r="U41" s="1082">
        <v>43803.01</v>
      </c>
      <c r="V41" s="477"/>
      <c r="W41" s="477"/>
      <c r="X41" s="477"/>
      <c r="Y41" s="477"/>
      <c r="Z41" s="477"/>
      <c r="AA41" s="477"/>
    </row>
    <row r="42" spans="1:27" ht="15">
      <c r="A42" s="2646" t="str">
        <f t="shared" si="3"/>
        <v>76183</v>
      </c>
      <c r="B42" s="2673"/>
      <c r="C42" s="2647"/>
      <c r="D42" s="2674">
        <v>0</v>
      </c>
      <c r="E42" s="2674">
        <f t="shared" si="10"/>
        <v>0</v>
      </c>
      <c r="F42" s="2648">
        <f t="shared" si="4"/>
        <v>0</v>
      </c>
      <c r="G42" s="2648">
        <f t="shared" si="5"/>
        <v>0</v>
      </c>
      <c r="H42" s="2629"/>
      <c r="I42" s="2675">
        <f t="shared" si="6"/>
        <v>0</v>
      </c>
      <c r="J42" s="2675">
        <f t="shared" si="7"/>
        <v>0</v>
      </c>
      <c r="K42" s="2629"/>
      <c r="L42" s="2650">
        <f t="shared" si="8"/>
        <v>6.6553592920079604E-2</v>
      </c>
      <c r="M42" s="2650">
        <f t="shared" si="9"/>
        <v>0.93300000000000005</v>
      </c>
      <c r="Q42" s="182">
        <v>926100</v>
      </c>
      <c r="R42" s="1082">
        <v>1108</v>
      </c>
      <c r="S42" s="1082">
        <v>327</v>
      </c>
      <c r="T42" s="1082">
        <v>145</v>
      </c>
      <c r="U42" s="1082">
        <v>1580.77</v>
      </c>
      <c r="V42" s="477"/>
      <c r="W42" s="477"/>
      <c r="X42" s="477"/>
      <c r="Y42" s="477"/>
      <c r="Z42" s="477"/>
      <c r="AA42" s="477"/>
    </row>
    <row r="43" spans="1:27" ht="15">
      <c r="A43" s="2646" t="str">
        <f t="shared" si="3"/>
        <v>06271</v>
      </c>
      <c r="B43" s="2673"/>
      <c r="C43" s="2647"/>
      <c r="D43" s="2674">
        <v>360000</v>
      </c>
      <c r="E43" s="2674">
        <f t="shared" si="10"/>
        <v>372600</v>
      </c>
      <c r="F43" s="2648">
        <f t="shared" si="4"/>
        <v>0</v>
      </c>
      <c r="G43" s="2648">
        <f t="shared" si="5"/>
        <v>372600</v>
      </c>
      <c r="H43" s="2629"/>
      <c r="I43" s="2675">
        <f t="shared" si="6"/>
        <v>372600</v>
      </c>
      <c r="J43" s="2675">
        <f t="shared" si="7"/>
        <v>0</v>
      </c>
      <c r="K43" s="2629"/>
      <c r="L43" s="2650">
        <v>1</v>
      </c>
      <c r="M43" s="2650">
        <f t="shared" si="9"/>
        <v>0</v>
      </c>
      <c r="N43" s="478" t="s">
        <v>2394</v>
      </c>
      <c r="Q43" s="2654" t="s">
        <v>978</v>
      </c>
      <c r="R43" s="2656">
        <v>2616003</v>
      </c>
      <c r="S43" s="2656">
        <v>825902</v>
      </c>
      <c r="T43" s="2656">
        <v>372183</v>
      </c>
      <c r="U43" s="2656">
        <v>3814088.14</v>
      </c>
      <c r="V43" s="477"/>
      <c r="W43" s="477"/>
      <c r="X43" s="477"/>
      <c r="Y43" s="477"/>
      <c r="Z43" s="477"/>
      <c r="AA43" s="477"/>
    </row>
    <row r="44" spans="1:27" ht="15">
      <c r="A44" s="2646"/>
      <c r="B44" s="2673"/>
      <c r="C44" s="2647"/>
      <c r="D44" s="2629"/>
      <c r="E44" s="2629"/>
      <c r="F44" s="2629"/>
      <c r="G44" s="2629"/>
      <c r="H44" s="2629"/>
      <c r="I44" s="2629"/>
      <c r="J44" s="2629"/>
      <c r="K44" s="2629"/>
      <c r="L44" s="2650"/>
      <c r="M44" s="2650"/>
      <c r="Q44" s="182"/>
      <c r="R44" s="1082"/>
      <c r="S44" s="1082"/>
      <c r="T44" s="1082"/>
      <c r="U44" s="1082"/>
      <c r="V44" s="477"/>
      <c r="W44" s="477"/>
      <c r="X44" s="477"/>
      <c r="Y44" s="477"/>
      <c r="Z44" s="477"/>
      <c r="AA44" s="477"/>
    </row>
    <row r="45" spans="1:27" ht="15">
      <c r="A45" s="2646"/>
      <c r="B45" s="2646"/>
      <c r="C45" s="2646"/>
      <c r="D45" s="2658">
        <f>SUM(D29:D43)</f>
        <v>5635000</v>
      </c>
      <c r="E45" s="2658">
        <f>SUM(E29:E43)</f>
        <v>4968000</v>
      </c>
      <c r="F45" s="2658">
        <f>SUM(F29:F43)</f>
        <v>778885.28611611191</v>
      </c>
      <c r="G45" s="2658">
        <f>SUM(G29:G43)</f>
        <v>4189114.7138838875</v>
      </c>
      <c r="H45" s="2629"/>
      <c r="I45" s="2658">
        <f>SUM(I29:I43)</f>
        <v>3941531.3526808964</v>
      </c>
      <c r="J45" s="2658">
        <f>SUM(J29:J43)</f>
        <v>247408.22731432435</v>
      </c>
      <c r="K45" s="2629"/>
      <c r="L45" s="2659">
        <f>I45/G45</f>
        <v>0.9408984050060909</v>
      </c>
      <c r="M45" s="2659">
        <f>J45/G45</f>
        <v>5.9059788096598287E-2</v>
      </c>
      <c r="N45" s="1130"/>
      <c r="Q45" s="477"/>
      <c r="R45" s="477"/>
      <c r="V45" s="477"/>
      <c r="W45" s="477"/>
      <c r="X45" s="477"/>
      <c r="Y45" s="477"/>
      <c r="Z45" s="477"/>
      <c r="AA45" s="477"/>
    </row>
    <row r="46" spans="1:27" ht="15">
      <c r="A46" s="2646"/>
      <c r="B46" s="2646"/>
      <c r="C46" s="2646"/>
      <c r="D46" s="2629"/>
      <c r="E46" s="2629"/>
      <c r="F46" s="2677">
        <f>F45/E45</f>
        <v>0.15678045211676972</v>
      </c>
      <c r="G46" s="2629"/>
      <c r="H46" s="2677"/>
      <c r="I46" s="2629"/>
      <c r="J46" s="2629"/>
      <c r="K46" s="2629"/>
      <c r="L46" s="2650"/>
      <c r="M46" s="2650"/>
      <c r="Q46" s="1569" t="s">
        <v>679</v>
      </c>
      <c r="R46" s="1569" t="s">
        <v>1701</v>
      </c>
      <c r="V46" s="477"/>
      <c r="W46" s="477"/>
      <c r="X46" s="477"/>
      <c r="Y46" s="477"/>
      <c r="Z46" s="477"/>
      <c r="AA46" s="477"/>
    </row>
    <row r="47" spans="1:27" ht="15.75" thickBot="1">
      <c r="A47" s="2629"/>
      <c r="B47" s="2629"/>
      <c r="C47" s="2629"/>
      <c r="D47" s="2634" t="s">
        <v>2395</v>
      </c>
      <c r="E47" s="2634"/>
      <c r="F47" s="2634"/>
      <c r="G47" s="2678">
        <f>I45-I22</f>
        <v>127443.21268089674</v>
      </c>
      <c r="J47" s="2629"/>
      <c r="K47" s="2629"/>
      <c r="L47" s="2629"/>
      <c r="M47" s="2629"/>
      <c r="Q47" s="1570" t="s">
        <v>2340</v>
      </c>
      <c r="R47" s="1570" t="s">
        <v>1759</v>
      </c>
      <c r="V47" s="477"/>
      <c r="W47" s="477"/>
      <c r="X47" s="477"/>
      <c r="Y47" s="477"/>
      <c r="Z47" s="477"/>
      <c r="AA47" s="477"/>
    </row>
    <row r="48" spans="1:27" ht="15.75" thickTop="1">
      <c r="A48" s="2679"/>
      <c r="B48" s="2679"/>
      <c r="C48" s="2629"/>
      <c r="D48" s="2629"/>
      <c r="E48" s="2629"/>
      <c r="F48" s="2629"/>
      <c r="G48" s="2629"/>
      <c r="J48" s="2629"/>
      <c r="K48" s="2629"/>
      <c r="L48" s="2629"/>
      <c r="M48" s="2629"/>
      <c r="R48" s="2630"/>
      <c r="V48" s="477"/>
      <c r="W48" s="477"/>
      <c r="X48" s="477"/>
      <c r="Y48" s="477"/>
      <c r="Z48" s="477"/>
      <c r="AA48" s="477"/>
    </row>
    <row r="49" spans="1:27" ht="26.25">
      <c r="A49" s="2679"/>
      <c r="B49" s="2679"/>
      <c r="C49" s="2629"/>
      <c r="D49" s="2680" t="s">
        <v>2396</v>
      </c>
      <c r="E49" s="2629"/>
      <c r="F49" s="2629"/>
      <c r="G49" s="2629"/>
      <c r="J49" s="2629"/>
      <c r="K49" s="2629"/>
      <c r="L49" s="2629"/>
      <c r="N49" s="987" t="s">
        <v>2397</v>
      </c>
      <c r="Q49" s="2651" t="s">
        <v>1251</v>
      </c>
      <c r="R49" s="2651" t="s">
        <v>1252</v>
      </c>
      <c r="S49" s="2651"/>
      <c r="T49" s="2651"/>
      <c r="U49" s="2651"/>
      <c r="V49" s="477"/>
      <c r="W49" s="477"/>
      <c r="X49" s="477"/>
      <c r="Y49" s="477"/>
      <c r="Z49" s="477"/>
      <c r="AA49" s="477"/>
    </row>
    <row r="50" spans="1:27" ht="15.75" thickBot="1">
      <c r="A50" s="2679"/>
      <c r="B50" s="2679"/>
      <c r="C50" s="2629"/>
      <c r="D50" s="2681">
        <v>0.70111999999999997</v>
      </c>
      <c r="E50" s="2682" t="s">
        <v>2398</v>
      </c>
      <c r="F50" s="2682"/>
      <c r="G50" s="2629"/>
      <c r="J50" s="2629"/>
      <c r="K50" s="2629"/>
      <c r="L50" s="2629"/>
      <c r="Q50" s="2652" t="s">
        <v>1170</v>
      </c>
      <c r="R50" s="2652" t="s">
        <v>1744</v>
      </c>
      <c r="S50" s="2652" t="s">
        <v>1745</v>
      </c>
      <c r="T50" s="2652" t="s">
        <v>377</v>
      </c>
      <c r="U50" s="2652" t="s">
        <v>978</v>
      </c>
      <c r="V50" s="477"/>
      <c r="W50" s="477"/>
      <c r="X50" s="477"/>
      <c r="Y50" s="477"/>
      <c r="Z50" s="477"/>
      <c r="AA50" s="477"/>
    </row>
    <row r="51" spans="1:27" ht="16.5" thickTop="1" thickBot="1">
      <c r="A51" s="2679"/>
      <c r="B51" s="2679"/>
      <c r="C51" s="2629"/>
      <c r="D51" s="2683">
        <v>0.66942999999999997</v>
      </c>
      <c r="E51" s="2682" t="s">
        <v>2399</v>
      </c>
      <c r="F51" s="2684">
        <f>G47*D50*D51</f>
        <v>59815.568932529663</v>
      </c>
      <c r="G51" s="2685" t="s">
        <v>2400</v>
      </c>
      <c r="J51" s="2629"/>
      <c r="K51" s="2629"/>
      <c r="N51" s="2629">
        <f>I45*D50*D51</f>
        <v>1849960.7422510567</v>
      </c>
      <c r="Q51" s="182" t="s">
        <v>2284</v>
      </c>
      <c r="R51" s="1082"/>
      <c r="S51" s="1082"/>
      <c r="T51" s="1082">
        <v>883516.77</v>
      </c>
      <c r="U51" s="1082">
        <v>883516.77</v>
      </c>
      <c r="V51" s="477"/>
      <c r="W51" s="477"/>
      <c r="X51" s="477"/>
      <c r="Y51" s="477"/>
      <c r="Z51" s="477"/>
      <c r="AA51" s="477"/>
    </row>
    <row r="52" spans="1:27" ht="15.75" thickTop="1">
      <c r="A52" s="2679"/>
      <c r="B52" s="2679"/>
      <c r="C52" s="2629"/>
      <c r="D52" s="2682"/>
      <c r="E52" s="2682"/>
      <c r="F52" s="2682"/>
      <c r="G52" s="2629"/>
      <c r="J52" s="2629"/>
      <c r="K52" s="2629"/>
      <c r="N52" s="2629"/>
      <c r="Q52" s="182" t="s">
        <v>2282</v>
      </c>
      <c r="R52" s="1082">
        <v>402820.78</v>
      </c>
      <c r="S52" s="1082">
        <v>3814088.14</v>
      </c>
      <c r="T52" s="1082">
        <v>28479.59</v>
      </c>
      <c r="U52" s="1082">
        <v>4245388.51</v>
      </c>
      <c r="V52" s="477"/>
      <c r="W52" s="477"/>
      <c r="X52" s="477"/>
      <c r="Y52" s="477"/>
      <c r="Z52" s="477"/>
      <c r="AA52" s="477"/>
    </row>
    <row r="53" spans="1:27" ht="15">
      <c r="A53" s="2679"/>
      <c r="B53" s="2679"/>
      <c r="C53" s="2629"/>
      <c r="D53" s="2680" t="s">
        <v>2401</v>
      </c>
      <c r="E53" s="2682"/>
      <c r="F53" s="2682"/>
      <c r="G53" s="2629"/>
      <c r="J53" s="2629"/>
      <c r="K53" s="2629"/>
      <c r="N53" s="2629"/>
      <c r="Q53" s="2654" t="s">
        <v>978</v>
      </c>
      <c r="R53" s="2656">
        <v>402820.78</v>
      </c>
      <c r="S53" s="2656">
        <v>3814088.14</v>
      </c>
      <c r="T53" s="2656">
        <v>911996.36</v>
      </c>
      <c r="U53" s="2656">
        <v>5128905.28</v>
      </c>
      <c r="V53" s="477"/>
      <c r="W53" s="477"/>
      <c r="X53" s="477"/>
      <c r="Y53" s="477"/>
      <c r="Z53" s="477"/>
      <c r="AA53" s="477"/>
    </row>
    <row r="54" spans="1:27" ht="15.75" thickBot="1">
      <c r="A54" s="2679"/>
      <c r="B54" s="2679"/>
      <c r="C54" s="2629"/>
      <c r="D54" s="2681">
        <v>0.20707999999999999</v>
      </c>
      <c r="E54" s="2682" t="s">
        <v>2398</v>
      </c>
      <c r="F54" s="2682"/>
      <c r="G54" s="2629"/>
      <c r="J54" s="2629"/>
      <c r="K54" s="2629"/>
      <c r="N54" s="2629"/>
      <c r="Q54" s="477"/>
      <c r="R54" s="477"/>
      <c r="S54" s="477"/>
      <c r="T54" s="477"/>
      <c r="U54" s="477"/>
      <c r="V54" s="477"/>
      <c r="W54" s="477"/>
      <c r="X54" s="477"/>
      <c r="Y54" s="477"/>
      <c r="Z54" s="477"/>
      <c r="AA54" s="477"/>
    </row>
    <row r="55" spans="1:27" ht="16.5" thickTop="1" thickBot="1">
      <c r="A55" s="2679"/>
      <c r="B55" s="2679"/>
      <c r="C55" s="2629"/>
      <c r="D55" s="2681">
        <v>0.71745999999999999</v>
      </c>
      <c r="E55" s="2682" t="s">
        <v>2399</v>
      </c>
      <c r="F55" s="2684">
        <f>G47*D54*D55</f>
        <v>18934.444158187092</v>
      </c>
      <c r="G55" s="2685" t="s">
        <v>2400</v>
      </c>
      <c r="J55" s="2629"/>
      <c r="K55" s="2629"/>
      <c r="N55" s="2629">
        <f>I45*D54*D55</f>
        <v>585599.68573569169</v>
      </c>
      <c r="Q55" s="477"/>
      <c r="R55" s="477"/>
      <c r="S55" s="477"/>
      <c r="T55" s="477"/>
      <c r="U55" s="477"/>
      <c r="V55" s="477"/>
      <c r="W55" s="477"/>
      <c r="X55" s="477"/>
      <c r="Y55" s="477"/>
      <c r="Z55" s="477"/>
      <c r="AA55" s="477"/>
    </row>
    <row r="56" spans="1:27" ht="15.75" thickTop="1">
      <c r="A56" s="2679"/>
      <c r="B56" s="2679"/>
      <c r="C56" s="2629"/>
      <c r="D56" s="2682"/>
      <c r="E56" s="2682"/>
      <c r="F56" s="2629"/>
      <c r="G56" s="2629"/>
      <c r="H56" s="2682"/>
      <c r="I56" s="2629"/>
      <c r="J56" s="2629"/>
      <c r="K56" s="2629"/>
      <c r="N56" s="2629"/>
      <c r="Q56" s="477"/>
      <c r="R56" s="477"/>
      <c r="S56" s="477"/>
      <c r="T56" s="477"/>
      <c r="U56" s="477"/>
      <c r="V56" s="477"/>
      <c r="W56" s="477"/>
      <c r="X56" s="477"/>
      <c r="Y56" s="477"/>
      <c r="Z56" s="477"/>
      <c r="AA56" s="477"/>
    </row>
    <row r="57" spans="1:27" ht="15">
      <c r="A57" s="2679"/>
      <c r="B57" s="2679"/>
      <c r="C57" s="2629"/>
      <c r="D57" s="2680" t="s">
        <v>2402</v>
      </c>
      <c r="E57" s="2682"/>
      <c r="F57" s="2629"/>
      <c r="G57" s="2629"/>
      <c r="H57" s="2682"/>
      <c r="I57" s="2629"/>
      <c r="J57" s="2629"/>
      <c r="K57" s="2629"/>
      <c r="N57" s="2629"/>
      <c r="Q57" s="477"/>
      <c r="R57" s="477"/>
      <c r="S57" s="477"/>
      <c r="T57" s="477"/>
      <c r="U57" s="477"/>
      <c r="V57" s="477"/>
      <c r="Y57" s="477"/>
      <c r="Z57" s="477"/>
      <c r="AA57" s="477"/>
    </row>
    <row r="58" spans="1:27" ht="15">
      <c r="A58" s="2679"/>
      <c r="B58" s="2679"/>
      <c r="C58" s="2629"/>
      <c r="D58" s="2681">
        <f>D50</f>
        <v>0.70111999999999997</v>
      </c>
      <c r="E58" s="2682" t="s">
        <v>2398</v>
      </c>
      <c r="F58" s="2629"/>
      <c r="G58" s="2629"/>
      <c r="H58" s="2682"/>
      <c r="I58" s="2629"/>
      <c r="J58" s="2629"/>
      <c r="K58" s="2629"/>
      <c r="N58" s="2629"/>
      <c r="Y58" s="477"/>
      <c r="Z58" s="477"/>
      <c r="AA58" s="477"/>
    </row>
    <row r="59" spans="1:27" ht="15.75" thickBot="1">
      <c r="A59" s="2679"/>
      <c r="B59" s="2679"/>
      <c r="C59" s="2629"/>
      <c r="D59" s="2683">
        <v>0.31405</v>
      </c>
      <c r="E59" s="2682" t="s">
        <v>2399</v>
      </c>
      <c r="F59" s="2629"/>
      <c r="G59" s="2629"/>
      <c r="H59" s="2678">
        <f>G47*D58*D59</f>
        <v>28061.305025560461</v>
      </c>
      <c r="I59" s="2629"/>
      <c r="J59" s="2629"/>
      <c r="K59" s="2629"/>
      <c r="N59" s="2629">
        <f>I45*D58*D59</f>
        <v>867872.92338847136</v>
      </c>
      <c r="Y59" s="477"/>
      <c r="Z59" s="477"/>
      <c r="AA59" s="477"/>
    </row>
    <row r="60" spans="1:27" ht="15.75" thickTop="1">
      <c r="A60" s="2679"/>
      <c r="B60" s="2679"/>
      <c r="C60" s="2629"/>
      <c r="D60" s="2682"/>
      <c r="E60" s="2682"/>
      <c r="F60" s="2629"/>
      <c r="G60" s="2629"/>
      <c r="H60" s="2682"/>
      <c r="I60" s="2629"/>
      <c r="J60" s="2629"/>
      <c r="K60" s="2629"/>
      <c r="N60" s="2629"/>
      <c r="Y60" s="477"/>
      <c r="Z60" s="477"/>
      <c r="AA60" s="477"/>
    </row>
    <row r="61" spans="1:27" ht="15">
      <c r="A61" s="2629"/>
      <c r="B61" s="2629"/>
      <c r="C61" s="2629"/>
      <c r="D61" s="2680" t="s">
        <v>2403</v>
      </c>
      <c r="E61" s="2682"/>
      <c r="F61" s="2629"/>
      <c r="G61" s="2629"/>
      <c r="H61" s="2682"/>
      <c r="I61" s="2629"/>
      <c r="J61" s="2629"/>
      <c r="K61" s="2629"/>
      <c r="N61" s="2629"/>
      <c r="Y61" s="477"/>
      <c r="Z61" s="477"/>
      <c r="AA61" s="477"/>
    </row>
    <row r="62" spans="1:27" ht="15">
      <c r="A62" s="2629"/>
      <c r="B62" s="2629"/>
      <c r="C62" s="2629"/>
      <c r="D62" s="2681">
        <f>D54</f>
        <v>0.20707999999999999</v>
      </c>
      <c r="E62" s="2682" t="s">
        <v>2398</v>
      </c>
      <c r="F62" s="2629"/>
      <c r="G62" s="2629"/>
      <c r="H62" s="2682"/>
      <c r="I62" s="2629"/>
      <c r="J62" s="2629"/>
      <c r="K62" s="2629"/>
      <c r="N62" s="2629"/>
      <c r="Y62" s="477"/>
      <c r="Z62" s="477"/>
      <c r="AA62" s="477"/>
    </row>
    <row r="63" spans="1:27" ht="15.75" thickBot="1">
      <c r="A63" s="2629"/>
      <c r="B63" s="2629"/>
      <c r="C63" s="2629"/>
      <c r="D63" s="2681">
        <f>1-D55</f>
        <v>0.28254000000000001</v>
      </c>
      <c r="E63" s="2682" t="s">
        <v>2399</v>
      </c>
      <c r="F63" s="2629"/>
      <c r="G63" s="2629"/>
      <c r="H63" s="2678">
        <f>G47*D62*D63</f>
        <v>7456.4963237730062</v>
      </c>
      <c r="I63" s="2629"/>
      <c r="J63" s="2629"/>
      <c r="K63" s="2629"/>
      <c r="N63" s="2629">
        <f>I45*D62*D63</f>
        <v>230612.62677746822</v>
      </c>
      <c r="Y63" s="477"/>
      <c r="Z63" s="477"/>
      <c r="AA63" s="477"/>
    </row>
    <row r="64" spans="1:27" ht="15.75" thickTop="1">
      <c r="A64" s="2629"/>
      <c r="B64" s="2629"/>
      <c r="C64" s="2629"/>
      <c r="D64" s="2681"/>
      <c r="E64" s="2682"/>
      <c r="F64" s="2629"/>
      <c r="G64" s="2629"/>
      <c r="H64" s="2687"/>
      <c r="I64" s="2629"/>
      <c r="J64" s="2629"/>
      <c r="K64" s="2629"/>
      <c r="N64" s="2629"/>
      <c r="Y64" s="477"/>
      <c r="Z64" s="477"/>
      <c r="AA64" s="477"/>
    </row>
    <row r="65" spans="1:27" ht="15">
      <c r="A65" s="2629"/>
      <c r="B65" s="2629"/>
      <c r="C65" s="2629"/>
      <c r="D65" s="2680" t="s">
        <v>2404</v>
      </c>
      <c r="E65" s="2682"/>
      <c r="F65" s="2629"/>
      <c r="G65" s="2629"/>
      <c r="H65" s="2687"/>
      <c r="I65" s="2629"/>
      <c r="J65" s="2629"/>
      <c r="K65" s="2629"/>
      <c r="N65" s="2629"/>
      <c r="Y65" s="477"/>
      <c r="Z65" s="477"/>
      <c r="AA65" s="477"/>
    </row>
    <row r="66" spans="1:27" ht="15.75" thickBot="1">
      <c r="A66" s="2629"/>
      <c r="B66" s="2629"/>
      <c r="C66" s="2629"/>
      <c r="D66" s="2681">
        <v>9.3160000000000007E-2</v>
      </c>
      <c r="E66" s="2682" t="s">
        <v>2398</v>
      </c>
      <c r="F66" s="2629"/>
      <c r="G66" s="2629"/>
      <c r="H66" s="2678">
        <f>G47*D66</f>
        <v>11872.609693352342</v>
      </c>
      <c r="I66" s="2629"/>
      <c r="J66" s="2629"/>
      <c r="K66" s="2629"/>
      <c r="N66" s="2629">
        <f>I45*D66</f>
        <v>367193.06081575231</v>
      </c>
      <c r="Y66" s="477"/>
      <c r="Z66" s="477"/>
      <c r="AA66" s="477"/>
    </row>
    <row r="67" spans="1:27" ht="15.75" thickTop="1">
      <c r="A67" s="2629"/>
      <c r="B67" s="2629"/>
      <c r="C67" s="2629"/>
      <c r="D67" s="2629"/>
      <c r="E67" s="2629"/>
      <c r="F67" s="2629"/>
      <c r="G67" s="2629"/>
      <c r="H67" s="2629"/>
      <c r="I67" s="2629"/>
      <c r="J67" s="2629"/>
      <c r="K67" s="2629"/>
      <c r="N67" s="2629"/>
      <c r="Y67" s="477"/>
      <c r="Z67" s="477"/>
      <c r="AA67" s="477"/>
    </row>
    <row r="68" spans="1:27" ht="15">
      <c r="A68" s="2629"/>
      <c r="B68" s="2629"/>
      <c r="C68" s="2629"/>
      <c r="D68" s="2629"/>
      <c r="E68" s="2629" t="s">
        <v>1189</v>
      </c>
      <c r="F68" s="2629"/>
      <c r="G68" s="2629"/>
      <c r="H68" s="2629">
        <f>G47-F51-F55-H59-H63-H66</f>
        <v>1302.7885474941868</v>
      </c>
      <c r="I68" s="2629"/>
      <c r="J68" s="2629"/>
      <c r="K68" s="2629"/>
      <c r="N68" s="2629"/>
      <c r="Y68" s="477"/>
      <c r="Z68" s="477"/>
      <c r="AA68" s="477"/>
    </row>
    <row r="69" spans="1:27" ht="15">
      <c r="A69" s="2629"/>
      <c r="B69" s="2629"/>
      <c r="C69" s="2629"/>
      <c r="D69" s="2629"/>
      <c r="E69" s="2629"/>
      <c r="F69" s="2629"/>
      <c r="G69" s="2629"/>
      <c r="H69" s="2629"/>
      <c r="I69" s="2629"/>
      <c r="J69" s="2629"/>
      <c r="K69" s="2629"/>
      <c r="N69" s="2629">
        <f>SUM(N51:N66)</f>
        <v>3901239.0389684406</v>
      </c>
      <c r="Y69" s="477"/>
      <c r="Z69" s="477"/>
      <c r="AA69" s="477"/>
    </row>
    <row r="70" spans="1:27" ht="15">
      <c r="A70" s="2629"/>
      <c r="B70" s="2629"/>
      <c r="C70" s="2629"/>
      <c r="D70" s="2629"/>
      <c r="E70" s="2629"/>
      <c r="F70" s="2629"/>
      <c r="G70" s="2629"/>
      <c r="H70" s="2629"/>
      <c r="I70" s="2629"/>
      <c r="J70" s="2629"/>
      <c r="K70" s="2629"/>
      <c r="N70" s="2629"/>
      <c r="Y70" s="477"/>
      <c r="Z70" s="477"/>
      <c r="AA70" s="477"/>
    </row>
    <row r="71" spans="1:27">
      <c r="Y71" s="477"/>
      <c r="Z71" s="477"/>
      <c r="AA71" s="477"/>
    </row>
    <row r="72" spans="1:27">
      <c r="Y72" s="477"/>
      <c r="Z72" s="477"/>
      <c r="AA72" s="477"/>
    </row>
    <row r="73" spans="1:27">
      <c r="Y73" s="477"/>
      <c r="Z73" s="477"/>
      <c r="AA73" s="477"/>
    </row>
    <row r="74" spans="1:27">
      <c r="Y74" s="477"/>
      <c r="Z74" s="477"/>
      <c r="AA74" s="477"/>
    </row>
    <row r="75" spans="1:27">
      <c r="Y75" s="477"/>
      <c r="Z75" s="477"/>
      <c r="AA75" s="477"/>
    </row>
    <row r="76" spans="1:27">
      <c r="Y76" s="477"/>
      <c r="Z76" s="477"/>
      <c r="AA76" s="477"/>
    </row>
    <row r="77" spans="1:27">
      <c r="Y77" s="477"/>
      <c r="Z77" s="477"/>
      <c r="AA77" s="477"/>
    </row>
    <row r="78" spans="1:27">
      <c r="Y78" s="477"/>
      <c r="Z78" s="477"/>
      <c r="AA78" s="477"/>
    </row>
    <row r="79" spans="1:27">
      <c r="Y79" s="477"/>
      <c r="Z79" s="477"/>
      <c r="AA79" s="477"/>
    </row>
    <row r="80" spans="1:27">
      <c r="Y80" s="477"/>
      <c r="Z80" s="477"/>
      <c r="AA80" s="477"/>
    </row>
    <row r="81" spans="25:27">
      <c r="Y81" s="477"/>
      <c r="Z81" s="477"/>
      <c r="AA81" s="477"/>
    </row>
    <row r="82" spans="25:27">
      <c r="Y82" s="477"/>
      <c r="Z82" s="477"/>
      <c r="AA82" s="477"/>
    </row>
    <row r="83" spans="25:27">
      <c r="Y83" s="477"/>
      <c r="Z83" s="477"/>
      <c r="AA83" s="477"/>
    </row>
    <row r="84" spans="25:27">
      <c r="Y84" s="477"/>
      <c r="Z84" s="477"/>
      <c r="AA84" s="477"/>
    </row>
    <row r="85" spans="25:27">
      <c r="Y85" s="477"/>
      <c r="Z85" s="477"/>
      <c r="AA85" s="477"/>
    </row>
    <row r="86" spans="25:27">
      <c r="Y86" s="477"/>
      <c r="Z86" s="477"/>
      <c r="AA86" s="477"/>
    </row>
    <row r="87" spans="25:27">
      <c r="Y87" s="477"/>
      <c r="Z87" s="477"/>
      <c r="AA87" s="477"/>
    </row>
    <row r="88" spans="25:27">
      <c r="Y88" s="477"/>
      <c r="Z88" s="477"/>
      <c r="AA88" s="477"/>
    </row>
    <row r="89" spans="25:27">
      <c r="Y89" s="477"/>
      <c r="Z89" s="477"/>
      <c r="AA89" s="477"/>
    </row>
    <row r="90" spans="25:27">
      <c r="Y90" s="477"/>
      <c r="Z90" s="477"/>
      <c r="AA90" s="477"/>
    </row>
    <row r="91" spans="25:27">
      <c r="Y91" s="477"/>
      <c r="Z91" s="477"/>
      <c r="AA91" s="477"/>
    </row>
    <row r="92" spans="25:27">
      <c r="Y92" s="477"/>
      <c r="Z92" s="477"/>
      <c r="AA92" s="477"/>
    </row>
    <row r="93" spans="25:27">
      <c r="Y93" s="477"/>
      <c r="Z93" s="477"/>
      <c r="AA93" s="477"/>
    </row>
    <row r="94" spans="25:27">
      <c r="Y94" s="477"/>
      <c r="Z94" s="477"/>
      <c r="AA94" s="477"/>
    </row>
    <row r="95" spans="25:27">
      <c r="Y95" s="477"/>
      <c r="Z95" s="477"/>
      <c r="AA95" s="477"/>
    </row>
    <row r="96" spans="25:27">
      <c r="Y96" s="477"/>
      <c r="Z96" s="477"/>
      <c r="AA96" s="477"/>
    </row>
    <row r="97" spans="25:27">
      <c r="Y97" s="477"/>
      <c r="Z97" s="477"/>
      <c r="AA97" s="477"/>
    </row>
    <row r="98" spans="25:27">
      <c r="Y98" s="477"/>
      <c r="Z98" s="477"/>
      <c r="AA98" s="477"/>
    </row>
    <row r="99" spans="25:27">
      <c r="Y99" s="477"/>
      <c r="Z99" s="477"/>
      <c r="AA99" s="477"/>
    </row>
    <row r="100" spans="25:27">
      <c r="Y100" s="477"/>
      <c r="Z100" s="477"/>
      <c r="AA100" s="477"/>
    </row>
    <row r="101" spans="25:27">
      <c r="Y101" s="477"/>
      <c r="Z101" s="477"/>
      <c r="AA101" s="477"/>
    </row>
    <row r="102" spans="25:27">
      <c r="Y102" s="477"/>
      <c r="Z102" s="477"/>
      <c r="AA102" s="477"/>
    </row>
    <row r="103" spans="25:27">
      <c r="Y103" s="477"/>
      <c r="Z103" s="477"/>
      <c r="AA103" s="477"/>
    </row>
    <row r="104" spans="25:27">
      <c r="Y104" s="477"/>
      <c r="Z104" s="477"/>
      <c r="AA104" s="477"/>
    </row>
    <row r="105" spans="25:27">
      <c r="Y105" s="477"/>
      <c r="Z105" s="477"/>
      <c r="AA105" s="477"/>
    </row>
    <row r="106" spans="25:27">
      <c r="Y106" s="477"/>
      <c r="Z106" s="477"/>
      <c r="AA106" s="477"/>
    </row>
    <row r="107" spans="25:27">
      <c r="Y107" s="477"/>
      <c r="Z107" s="477"/>
      <c r="AA107" s="477"/>
    </row>
    <row r="108" spans="25:27">
      <c r="Y108" s="477"/>
      <c r="Z108" s="477"/>
      <c r="AA108" s="477"/>
    </row>
    <row r="109" spans="25:27">
      <c r="Y109" s="477"/>
      <c r="Z109" s="477"/>
      <c r="AA109" s="477"/>
    </row>
    <row r="110" spans="25:27">
      <c r="Y110" s="477"/>
      <c r="Z110" s="477"/>
      <c r="AA110" s="477"/>
    </row>
    <row r="111" spans="25:27">
      <c r="Y111" s="477"/>
      <c r="Z111" s="477"/>
      <c r="AA111" s="477"/>
    </row>
    <row r="112" spans="25:27">
      <c r="Y112" s="477"/>
      <c r="Z112" s="477"/>
      <c r="AA112" s="477"/>
    </row>
    <row r="113" spans="25:27">
      <c r="Y113" s="477"/>
      <c r="Z113" s="477"/>
      <c r="AA113" s="477"/>
    </row>
    <row r="114" spans="25:27">
      <c r="Y114" s="477"/>
      <c r="Z114" s="477"/>
      <c r="AA114" s="477"/>
    </row>
    <row r="115" spans="25:27">
      <c r="Y115" s="477"/>
      <c r="Z115" s="477"/>
      <c r="AA115" s="477"/>
    </row>
    <row r="116" spans="25:27">
      <c r="Y116" s="477"/>
      <c r="Z116" s="477"/>
      <c r="AA116" s="477"/>
    </row>
    <row r="117" spans="25:27">
      <c r="Y117" s="477"/>
      <c r="Z117" s="477"/>
      <c r="AA117" s="477"/>
    </row>
    <row r="118" spans="25:27">
      <c r="Y118" s="477"/>
      <c r="Z118" s="477"/>
      <c r="AA118" s="477"/>
    </row>
    <row r="119" spans="25:27">
      <c r="Y119" s="477"/>
      <c r="Z119" s="477"/>
      <c r="AA119" s="477"/>
    </row>
    <row r="120" spans="25:27">
      <c r="Y120" s="477"/>
      <c r="Z120" s="477"/>
      <c r="AA120" s="477"/>
    </row>
    <row r="121" spans="25:27">
      <c r="Y121" s="477"/>
      <c r="Z121" s="477"/>
      <c r="AA121" s="477"/>
    </row>
    <row r="122" spans="25:27">
      <c r="Y122" s="477"/>
      <c r="Z122" s="477"/>
      <c r="AA122" s="477"/>
    </row>
    <row r="123" spans="25:27">
      <c r="Y123" s="477"/>
      <c r="Z123" s="477"/>
      <c r="AA123" s="477"/>
    </row>
    <row r="124" spans="25:27">
      <c r="Y124" s="477"/>
      <c r="Z124" s="477"/>
      <c r="AA124" s="477"/>
    </row>
    <row r="125" spans="25:27">
      <c r="Y125" s="477"/>
      <c r="Z125" s="477"/>
      <c r="AA125" s="477"/>
    </row>
    <row r="126" spans="25:27">
      <c r="Y126" s="477"/>
      <c r="Z126" s="477"/>
      <c r="AA126" s="477"/>
    </row>
    <row r="127" spans="25:27">
      <c r="Y127" s="477"/>
      <c r="Z127" s="477"/>
      <c r="AA127" s="477"/>
    </row>
    <row r="128" spans="25:27">
      <c r="Y128" s="477"/>
      <c r="Z128" s="477"/>
      <c r="AA128" s="477"/>
    </row>
    <row r="129" spans="25:27">
      <c r="Y129" s="477"/>
      <c r="Z129" s="477"/>
      <c r="AA129" s="477"/>
    </row>
    <row r="130" spans="25:27">
      <c r="Y130" s="477"/>
      <c r="Z130" s="477"/>
      <c r="AA130" s="477"/>
    </row>
    <row r="131" spans="25:27">
      <c r="Y131" s="477"/>
      <c r="Z131" s="477"/>
      <c r="AA131" s="477"/>
    </row>
    <row r="132" spans="25:27">
      <c r="Y132" s="477"/>
      <c r="Z132" s="477"/>
      <c r="AA132" s="477"/>
    </row>
    <row r="133" spans="25:27">
      <c r="Y133" s="477"/>
      <c r="Z133" s="477"/>
      <c r="AA133" s="477"/>
    </row>
    <row r="134" spans="25:27">
      <c r="Y134" s="477"/>
      <c r="Z134" s="477"/>
      <c r="AA134" s="477"/>
    </row>
    <row r="135" spans="25:27">
      <c r="Y135" s="477"/>
      <c r="Z135" s="477"/>
      <c r="AA135" s="477"/>
    </row>
    <row r="136" spans="25:27">
      <c r="Y136" s="477"/>
      <c r="Z136" s="477"/>
      <c r="AA136" s="477"/>
    </row>
    <row r="137" spans="25:27">
      <c r="Y137" s="477"/>
      <c r="Z137" s="477"/>
      <c r="AA137" s="477"/>
    </row>
    <row r="138" spans="25:27">
      <c r="Y138" s="477"/>
      <c r="Z138" s="477"/>
      <c r="AA138" s="477"/>
    </row>
    <row r="139" spans="25:27">
      <c r="Y139" s="477"/>
      <c r="Z139" s="477"/>
      <c r="AA139" s="477"/>
    </row>
    <row r="140" spans="25:27">
      <c r="Y140" s="477"/>
      <c r="Z140" s="477"/>
      <c r="AA140" s="477"/>
    </row>
    <row r="141" spans="25:27">
      <c r="Y141" s="477"/>
      <c r="Z141" s="477"/>
      <c r="AA141" s="477"/>
    </row>
    <row r="142" spans="25:27">
      <c r="Y142" s="477"/>
      <c r="Z142" s="477"/>
      <c r="AA142" s="477"/>
    </row>
    <row r="143" spans="25:27">
      <c r="Y143" s="477"/>
      <c r="Z143" s="477"/>
      <c r="AA143" s="477"/>
    </row>
    <row r="144" spans="25:27">
      <c r="Y144" s="477"/>
      <c r="Z144" s="477"/>
      <c r="AA144" s="477"/>
    </row>
    <row r="145" spans="25:27">
      <c r="Y145" s="477"/>
      <c r="Z145" s="477"/>
      <c r="AA145" s="477"/>
    </row>
    <row r="146" spans="25:27">
      <c r="Y146" s="477"/>
      <c r="Z146" s="477"/>
      <c r="AA146" s="477"/>
    </row>
    <row r="147" spans="25:27">
      <c r="Y147" s="477"/>
      <c r="Z147" s="477"/>
      <c r="AA147" s="477"/>
    </row>
    <row r="148" spans="25:27">
      <c r="Y148" s="477"/>
      <c r="Z148" s="477"/>
      <c r="AA148" s="477"/>
    </row>
    <row r="149" spans="25:27">
      <c r="Y149" s="477"/>
      <c r="Z149" s="477"/>
      <c r="AA149" s="477"/>
    </row>
    <row r="150" spans="25:27">
      <c r="Y150" s="477"/>
      <c r="Z150" s="477"/>
      <c r="AA150" s="477"/>
    </row>
    <row r="151" spans="25:27">
      <c r="Y151" s="477"/>
      <c r="Z151" s="477"/>
      <c r="AA151" s="477"/>
    </row>
    <row r="152" spans="25:27">
      <c r="Y152" s="477"/>
      <c r="Z152" s="477"/>
      <c r="AA152" s="477"/>
    </row>
    <row r="153" spans="25:27">
      <c r="Y153" s="477"/>
      <c r="Z153" s="477"/>
      <c r="AA153" s="477"/>
    </row>
    <row r="154" spans="25:27">
      <c r="Y154" s="477"/>
      <c r="Z154" s="477"/>
      <c r="AA154" s="477"/>
    </row>
    <row r="155" spans="25:27">
      <c r="Y155" s="477"/>
      <c r="Z155" s="477"/>
      <c r="AA155" s="477"/>
    </row>
    <row r="156" spans="25:27">
      <c r="Y156" s="477"/>
      <c r="Z156" s="477"/>
      <c r="AA156" s="477"/>
    </row>
    <row r="157" spans="25:27">
      <c r="Y157" s="477"/>
      <c r="Z157" s="477"/>
      <c r="AA157" s="477"/>
    </row>
    <row r="158" spans="25:27">
      <c r="Y158" s="477"/>
      <c r="Z158" s="477"/>
      <c r="AA158" s="477"/>
    </row>
    <row r="159" spans="25:27">
      <c r="Y159" s="477"/>
      <c r="Z159" s="477"/>
      <c r="AA159" s="477"/>
    </row>
    <row r="160" spans="25:27">
      <c r="Y160" s="477"/>
      <c r="Z160" s="477"/>
      <c r="AA160" s="477"/>
    </row>
    <row r="161" spans="25:27">
      <c r="Y161" s="477"/>
      <c r="Z161" s="477"/>
      <c r="AA161" s="477"/>
    </row>
    <row r="162" spans="25:27">
      <c r="Y162" s="477"/>
      <c r="Z162" s="477"/>
      <c r="AA162" s="477"/>
    </row>
    <row r="163" spans="25:27">
      <c r="Y163" s="477"/>
      <c r="Z163" s="477"/>
      <c r="AA163" s="477"/>
    </row>
    <row r="164" spans="25:27">
      <c r="Y164" s="477"/>
      <c r="Z164" s="477"/>
      <c r="AA164" s="477"/>
    </row>
    <row r="165" spans="25:27">
      <c r="Y165" s="477"/>
      <c r="Z165" s="477"/>
      <c r="AA165" s="477"/>
    </row>
    <row r="166" spans="25:27">
      <c r="Y166" s="477"/>
      <c r="Z166" s="477"/>
      <c r="AA166" s="477"/>
    </row>
    <row r="167" spans="25:27">
      <c r="Y167" s="477"/>
      <c r="Z167" s="477"/>
      <c r="AA167" s="477"/>
    </row>
    <row r="168" spans="25:27">
      <c r="Y168" s="477"/>
      <c r="Z168" s="477"/>
      <c r="AA168" s="477"/>
    </row>
    <row r="169" spans="25:27">
      <c r="Y169" s="477"/>
      <c r="Z169" s="477"/>
      <c r="AA169" s="477"/>
    </row>
    <row r="170" spans="25:27">
      <c r="Y170" s="477"/>
      <c r="Z170" s="477"/>
      <c r="AA170" s="477"/>
    </row>
    <row r="171" spans="25:27">
      <c r="Y171" s="477"/>
      <c r="Z171" s="477"/>
      <c r="AA171" s="477"/>
    </row>
    <row r="172" spans="25:27">
      <c r="Y172" s="477"/>
      <c r="Z172" s="477"/>
      <c r="AA172" s="477"/>
    </row>
    <row r="173" spans="25:27">
      <c r="Y173" s="477"/>
      <c r="Z173" s="477"/>
      <c r="AA173" s="477"/>
    </row>
    <row r="174" spans="25:27">
      <c r="Y174" s="477"/>
      <c r="Z174" s="477"/>
      <c r="AA174" s="477"/>
    </row>
    <row r="175" spans="25:27">
      <c r="Y175" s="477"/>
      <c r="Z175" s="477"/>
      <c r="AA175" s="477"/>
    </row>
    <row r="176" spans="25:27">
      <c r="Y176" s="477"/>
      <c r="Z176" s="477"/>
      <c r="AA176" s="477"/>
    </row>
    <row r="177" spans="25:27">
      <c r="Y177" s="477"/>
      <c r="Z177" s="477"/>
      <c r="AA177" s="477"/>
    </row>
    <row r="178" spans="25:27">
      <c r="Y178" s="477"/>
      <c r="Z178" s="477"/>
      <c r="AA178" s="477"/>
    </row>
    <row r="179" spans="25:27">
      <c r="Y179" s="477"/>
      <c r="Z179" s="477"/>
      <c r="AA179" s="477"/>
    </row>
    <row r="180" spans="25:27">
      <c r="Y180" s="477"/>
      <c r="Z180" s="477"/>
      <c r="AA180" s="477"/>
    </row>
    <row r="181" spans="25:27">
      <c r="Y181" s="477"/>
      <c r="Z181" s="477"/>
      <c r="AA181" s="477"/>
    </row>
    <row r="182" spans="25:27">
      <c r="Y182" s="477"/>
      <c r="Z182" s="477"/>
      <c r="AA182" s="477"/>
    </row>
    <row r="183" spans="25:27">
      <c r="Y183" s="477"/>
      <c r="Z183" s="477"/>
      <c r="AA183" s="477"/>
    </row>
    <row r="184" spans="25:27">
      <c r="Y184" s="477"/>
      <c r="Z184" s="477"/>
      <c r="AA184" s="477"/>
    </row>
    <row r="185" spans="25:27">
      <c r="Y185" s="477"/>
      <c r="Z185" s="477"/>
      <c r="AA185" s="477"/>
    </row>
    <row r="186" spans="25:27">
      <c r="Y186" s="477"/>
      <c r="Z186" s="477"/>
      <c r="AA186" s="477"/>
    </row>
    <row r="187" spans="25:27">
      <c r="Y187" s="477"/>
      <c r="Z187" s="477"/>
      <c r="AA187" s="477"/>
    </row>
    <row r="188" spans="25:27">
      <c r="Y188" s="477"/>
      <c r="Z188" s="477"/>
      <c r="AA188" s="477"/>
    </row>
    <row r="189" spans="25:27">
      <c r="Y189" s="477"/>
      <c r="Z189" s="477"/>
      <c r="AA189" s="477"/>
    </row>
    <row r="190" spans="25:27">
      <c r="Y190" s="477"/>
      <c r="Z190" s="477"/>
      <c r="AA190" s="477"/>
    </row>
    <row r="191" spans="25:27">
      <c r="Y191" s="477"/>
      <c r="Z191" s="477"/>
      <c r="AA191" s="477"/>
    </row>
    <row r="192" spans="25:27">
      <c r="Y192" s="477"/>
      <c r="Z192" s="477"/>
      <c r="AA192" s="477"/>
    </row>
    <row r="193" spans="25:27">
      <c r="Y193" s="477"/>
      <c r="Z193" s="477"/>
      <c r="AA193" s="477"/>
    </row>
    <row r="194" spans="25:27">
      <c r="Y194" s="477"/>
      <c r="Z194" s="477"/>
      <c r="AA194" s="477"/>
    </row>
    <row r="195" spans="25:27">
      <c r="Y195" s="477"/>
      <c r="Z195" s="477"/>
      <c r="AA195" s="477"/>
    </row>
    <row r="196" spans="25:27">
      <c r="Y196" s="477"/>
      <c r="Z196" s="477"/>
      <c r="AA196" s="477"/>
    </row>
    <row r="197" spans="25:27">
      <c r="Y197" s="477"/>
      <c r="Z197" s="477"/>
      <c r="AA197" s="477"/>
    </row>
    <row r="198" spans="25:27">
      <c r="Y198" s="477"/>
      <c r="Z198" s="477"/>
      <c r="AA198" s="477"/>
    </row>
    <row r="199" spans="25:27">
      <c r="Y199" s="477"/>
      <c r="Z199" s="477"/>
      <c r="AA199" s="477"/>
    </row>
    <row r="200" spans="25:27">
      <c r="Y200" s="477"/>
      <c r="Z200" s="477"/>
      <c r="AA200" s="477"/>
    </row>
    <row r="201" spans="25:27">
      <c r="Y201" s="477"/>
      <c r="Z201" s="477"/>
      <c r="AA201" s="477"/>
    </row>
    <row r="202" spans="25:27">
      <c r="Y202" s="477"/>
      <c r="Z202" s="477"/>
      <c r="AA202" s="477"/>
    </row>
    <row r="203" spans="25:27">
      <c r="Y203" s="477"/>
      <c r="Z203" s="477"/>
      <c r="AA203" s="477"/>
    </row>
    <row r="204" spans="25:27">
      <c r="Y204" s="477"/>
      <c r="Z204" s="477"/>
      <c r="AA204" s="477"/>
    </row>
    <row r="205" spans="25:27">
      <c r="Y205" s="477"/>
      <c r="Z205" s="477"/>
      <c r="AA205" s="477"/>
    </row>
    <row r="206" spans="25:27">
      <c r="Y206" s="477"/>
      <c r="Z206" s="477"/>
      <c r="AA206" s="477"/>
    </row>
    <row r="207" spans="25:27">
      <c r="Y207" s="477"/>
      <c r="Z207" s="477"/>
      <c r="AA207" s="477"/>
    </row>
    <row r="208" spans="25:27">
      <c r="Y208" s="477"/>
      <c r="Z208" s="477"/>
      <c r="AA208" s="47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24CB-F050-4E6E-8BC5-3D0FF8ED49DE}">
  <dimension ref="A1:AV70"/>
  <sheetViews>
    <sheetView workbookViewId="0">
      <selection sqref="A1:I1"/>
    </sheetView>
  </sheetViews>
  <sheetFormatPr defaultColWidth="8.85546875" defaultRowHeight="15"/>
  <cols>
    <col min="1" max="1" width="33.42578125" style="2192" customWidth="1"/>
    <col min="2" max="2" width="7.5703125" style="2192" bestFit="1" customWidth="1"/>
    <col min="3" max="3" width="7.140625" style="2192" customWidth="1"/>
    <col min="4" max="4" width="8" style="2192" customWidth="1"/>
    <col min="5" max="5" width="11.42578125" style="2192" customWidth="1"/>
    <col min="6" max="6" width="16.28515625" style="2192" customWidth="1"/>
    <col min="7" max="7" width="15.42578125" style="2192" customWidth="1"/>
    <col min="8" max="8" width="15.140625" style="2192" customWidth="1"/>
    <col min="9" max="9" width="13.28515625" style="2192" bestFit="1" customWidth="1"/>
    <col min="10" max="10" width="14.28515625" style="2192" bestFit="1" customWidth="1"/>
    <col min="11" max="11" width="13.28515625" style="2192" bestFit="1" customWidth="1"/>
    <col min="12" max="12" width="4.140625" style="2192" customWidth="1"/>
    <col min="13" max="13" width="24.5703125" style="2192" customWidth="1"/>
    <col min="14" max="14" width="11.7109375" style="2192" customWidth="1"/>
    <col min="15" max="15" width="13.85546875" style="2192" customWidth="1"/>
    <col min="16" max="16" width="13.140625" style="2192" customWidth="1"/>
    <col min="17" max="17" width="1.7109375" style="2142" customWidth="1"/>
    <col min="18" max="18" width="8.85546875" style="2141"/>
    <col min="19" max="19" width="21.7109375" style="2141" customWidth="1"/>
    <col min="20" max="20" width="24.42578125" style="2141" customWidth="1"/>
    <col min="21" max="21" width="15.140625" style="2141" customWidth="1"/>
    <col min="22" max="25" width="13.7109375" style="2141" customWidth="1"/>
    <col min="26" max="26" width="12.7109375" style="2141" bestFit="1" customWidth="1"/>
    <col min="27" max="27" width="12.5703125" style="2141" customWidth="1"/>
    <col min="28" max="28" width="4.42578125" style="2141" customWidth="1"/>
    <col min="29" max="29" width="25.7109375" style="2141" hidden="1" customWidth="1"/>
    <col min="30" max="31" width="14" style="2141" hidden="1" customWidth="1"/>
    <col min="32" max="32" width="12.28515625" style="2141" hidden="1" customWidth="1"/>
    <col min="33" max="33" width="8" style="2141" hidden="1" customWidth="1"/>
    <col min="34" max="34" width="9.85546875" style="2141" bestFit="1" customWidth="1"/>
    <col min="35" max="37" width="8.85546875" style="2141"/>
    <col min="38" max="38" width="1.7109375" style="2142" customWidth="1"/>
    <col min="39" max="39" width="8.85546875" style="2141"/>
    <col min="40" max="40" width="24.42578125" style="2690" customWidth="1"/>
    <col min="41" max="41" width="11.85546875" style="2690" customWidth="1"/>
    <col min="42" max="42" width="13.28515625" style="2690" customWidth="1"/>
    <col min="43" max="45" width="11" style="2690" bestFit="1" customWidth="1"/>
    <col min="46" max="46" width="13.5703125" style="2690" customWidth="1"/>
    <col min="47" max="47" width="8.85546875" style="2141"/>
    <col min="48" max="48" width="1.7109375" style="2142" customWidth="1"/>
    <col min="49" max="16384" width="8.85546875" style="2141"/>
  </cols>
  <sheetData>
    <row r="1" spans="1:46" ht="15.75">
      <c r="A1" s="3884" t="s">
        <v>1204</v>
      </c>
      <c r="B1" s="3884"/>
      <c r="C1" s="3884"/>
      <c r="D1" s="3884"/>
      <c r="E1" s="3884"/>
      <c r="F1" s="3884"/>
      <c r="G1" s="3884"/>
      <c r="H1" s="3884"/>
      <c r="I1" s="3884"/>
      <c r="S1" s="2688" t="s">
        <v>2405</v>
      </c>
      <c r="T1" s="2689"/>
      <c r="U1" s="2689"/>
      <c r="V1" s="2689"/>
      <c r="W1" s="2689"/>
      <c r="X1" s="2689"/>
      <c r="AN1" s="3885" t="s">
        <v>2406</v>
      </c>
      <c r="AO1" s="3885"/>
      <c r="AP1" s="3885"/>
      <c r="AQ1" s="3885"/>
      <c r="AR1" s="3885"/>
      <c r="AS1" s="3885"/>
      <c r="AT1" s="3885"/>
    </row>
    <row r="2" spans="1:46" ht="15.75">
      <c r="A2" s="3884" t="s">
        <v>2407</v>
      </c>
      <c r="B2" s="3884"/>
      <c r="C2" s="3884"/>
      <c r="D2" s="3884"/>
      <c r="E2" s="3884"/>
      <c r="F2" s="3884"/>
      <c r="G2" s="3884"/>
      <c r="H2" s="3884"/>
      <c r="I2" s="3884"/>
      <c r="S2" s="2689" t="s">
        <v>2407</v>
      </c>
      <c r="T2" s="2689"/>
      <c r="U2" s="2689"/>
      <c r="V2" s="2689"/>
      <c r="W2" s="2689"/>
      <c r="X2" s="2689"/>
    </row>
    <row r="3" spans="1:46" ht="15.75">
      <c r="A3" s="3884" t="s">
        <v>2408</v>
      </c>
      <c r="B3" s="3884"/>
      <c r="C3" s="3884"/>
      <c r="D3" s="3884"/>
      <c r="E3" s="3884"/>
      <c r="F3" s="3884"/>
      <c r="G3" s="3884"/>
      <c r="H3" s="3884"/>
      <c r="I3" s="3884"/>
      <c r="S3" s="2689" t="s">
        <v>2409</v>
      </c>
      <c r="T3" s="2689"/>
      <c r="U3" s="2689"/>
      <c r="V3" s="2689"/>
      <c r="W3" s="2689"/>
      <c r="X3" s="2689"/>
      <c r="AN3" s="2691" t="s">
        <v>2410</v>
      </c>
      <c r="AO3" s="2692"/>
      <c r="AP3" s="2692"/>
      <c r="AQ3" s="2692"/>
      <c r="AR3" s="2692"/>
      <c r="AS3" s="2692"/>
    </row>
    <row r="4" spans="1:46">
      <c r="A4" s="2693"/>
      <c r="B4" s="2693"/>
      <c r="S4" s="2689"/>
      <c r="T4" s="2689"/>
      <c r="U4" s="2689"/>
      <c r="V4" s="2689"/>
      <c r="W4" s="2689"/>
      <c r="X4" s="2689"/>
    </row>
    <row r="5" spans="1:46">
      <c r="A5" s="2693"/>
      <c r="B5" s="2693"/>
      <c r="S5" s="2689" t="s">
        <v>2411</v>
      </c>
      <c r="T5" s="2689"/>
      <c r="U5" s="2689"/>
      <c r="V5" s="2689"/>
      <c r="W5" s="2689"/>
      <c r="X5" s="2689"/>
      <c r="AN5" s="2694"/>
      <c r="AO5" s="2695"/>
      <c r="AP5" s="3886" t="s">
        <v>1059</v>
      </c>
      <c r="AQ5" s="3887"/>
      <c r="AR5" s="3887"/>
      <c r="AS5" s="3887"/>
      <c r="AT5" s="3888"/>
    </row>
    <row r="6" spans="1:46">
      <c r="A6" s="2693"/>
      <c r="B6" s="2693"/>
      <c r="S6" s="2689"/>
      <c r="T6" s="2689"/>
      <c r="U6" s="2689"/>
      <c r="V6" s="2689"/>
      <c r="W6" s="2689"/>
      <c r="X6" s="2689"/>
      <c r="AN6" s="2696" t="s">
        <v>2277</v>
      </c>
      <c r="AO6" s="2696" t="s">
        <v>2412</v>
      </c>
      <c r="AP6" s="2697" t="s">
        <v>1742</v>
      </c>
      <c r="AQ6" s="2697" t="s">
        <v>1744</v>
      </c>
      <c r="AR6" s="2697" t="s">
        <v>1745</v>
      </c>
      <c r="AS6" s="2697" t="s">
        <v>377</v>
      </c>
      <c r="AT6" s="2698" t="s">
        <v>24</v>
      </c>
    </row>
    <row r="7" spans="1:46">
      <c r="A7" s="2693"/>
      <c r="B7" s="2693"/>
      <c r="S7" s="2699" t="s">
        <v>2413</v>
      </c>
      <c r="T7" s="2700" t="s">
        <v>2414</v>
      </c>
      <c r="U7" s="2145"/>
      <c r="V7" s="2689"/>
      <c r="W7" s="2689"/>
      <c r="X7" s="2689"/>
      <c r="AN7" s="2701" t="s">
        <v>2415</v>
      </c>
      <c r="AO7" s="2701" t="s">
        <v>2416</v>
      </c>
      <c r="AP7" s="2702">
        <v>20636155</v>
      </c>
      <c r="AQ7" s="2702">
        <v>524277</v>
      </c>
      <c r="AR7" s="2702">
        <v>39770537</v>
      </c>
      <c r="AS7" s="2702">
        <v>6999094</v>
      </c>
      <c r="AT7" s="2702">
        <f>SUM(AP7:AS7)</f>
        <v>67930063</v>
      </c>
    </row>
    <row r="8" spans="1:46" ht="30.75" thickBot="1">
      <c r="A8" s="2693"/>
      <c r="B8" s="2693"/>
      <c r="S8" s="2689"/>
      <c r="T8" s="2689"/>
      <c r="U8" s="2689"/>
      <c r="V8" s="2703" t="s">
        <v>2417</v>
      </c>
      <c r="W8" s="2703"/>
      <c r="X8" s="2703"/>
      <c r="Y8" s="2703" t="s">
        <v>2418</v>
      </c>
      <c r="Z8" s="2703" t="s">
        <v>2418</v>
      </c>
      <c r="AN8" s="2704" t="s">
        <v>24</v>
      </c>
      <c r="AO8" s="2705"/>
      <c r="AP8" s="2706">
        <f>SUM(AP7)</f>
        <v>20636155</v>
      </c>
      <c r="AQ8" s="2706">
        <f>SUM(AQ7)</f>
        <v>524277</v>
      </c>
      <c r="AR8" s="2706">
        <f>SUM(AR7)</f>
        <v>39770537</v>
      </c>
      <c r="AS8" s="2706">
        <f>SUM(AS7)</f>
        <v>6999094</v>
      </c>
      <c r="AT8" s="2706">
        <f>SUM(AT7)</f>
        <v>67930063</v>
      </c>
    </row>
    <row r="9" spans="1:46" ht="45.75" thickBot="1">
      <c r="A9" s="2693"/>
      <c r="B9" s="2693"/>
      <c r="S9" s="2700" t="s">
        <v>2419</v>
      </c>
      <c r="T9" s="2700" t="s">
        <v>2420</v>
      </c>
      <c r="U9" s="2700"/>
      <c r="V9" s="2707" t="s">
        <v>1251</v>
      </c>
      <c r="W9" s="2707" t="s">
        <v>2421</v>
      </c>
      <c r="X9" s="2707" t="s">
        <v>2422</v>
      </c>
      <c r="Y9" s="2708">
        <v>2025</v>
      </c>
      <c r="Z9" s="2708">
        <v>2026</v>
      </c>
      <c r="AD9" s="2709" t="s">
        <v>2423</v>
      </c>
      <c r="AE9" s="2710" t="s">
        <v>79</v>
      </c>
      <c r="AF9" s="2711" t="s">
        <v>2424</v>
      </c>
      <c r="AG9" s="2712" t="s">
        <v>2425</v>
      </c>
      <c r="AN9" s="2713"/>
      <c r="AO9" s="2714" t="s">
        <v>772</v>
      </c>
      <c r="AP9" s="2715">
        <f>AP8/$AT$8</f>
        <v>0.30378530636722656</v>
      </c>
      <c r="AQ9" s="2716">
        <f>AQ8/$AT$8</f>
        <v>7.7178936224451909E-3</v>
      </c>
      <c r="AR9" s="2717">
        <f>AR8/$AT$8</f>
        <v>0.58546297829872462</v>
      </c>
      <c r="AS9" s="2718">
        <f>AS8/$AT$8</f>
        <v>0.10303382171160359</v>
      </c>
      <c r="AT9" s="2715">
        <f>AT8/$AT$8</f>
        <v>1</v>
      </c>
    </row>
    <row r="10" spans="1:46">
      <c r="A10" s="2693"/>
      <c r="B10" s="2693"/>
      <c r="S10" s="2689" t="s">
        <v>2426</v>
      </c>
      <c r="T10" s="2689" t="s">
        <v>2427</v>
      </c>
      <c r="U10" s="2719" t="s">
        <v>2428</v>
      </c>
      <c r="V10" s="2720">
        <v>29140259</v>
      </c>
      <c r="W10" s="2720">
        <v>0</v>
      </c>
      <c r="X10" s="2720">
        <f t="shared" ref="X10:X16" si="0">SUM(V10:W10)</f>
        <v>29140259</v>
      </c>
      <c r="Y10" s="2720">
        <v>29498000</v>
      </c>
      <c r="Z10" s="2720">
        <v>30689000</v>
      </c>
      <c r="AA10" s="2721" t="s">
        <v>2429</v>
      </c>
      <c r="AD10" s="2722" t="s">
        <v>2430</v>
      </c>
      <c r="AE10" s="2190">
        <v>6522389</v>
      </c>
      <c r="AF10" s="2723">
        <v>3672757</v>
      </c>
      <c r="AG10" s="2724">
        <v>316224</v>
      </c>
      <c r="AR10" s="2725" t="s">
        <v>2428</v>
      </c>
    </row>
    <row r="11" spans="1:46" ht="15.75" thickBot="1">
      <c r="S11" s="2689" t="s">
        <v>2431</v>
      </c>
      <c r="T11" s="2689" t="s">
        <v>2432</v>
      </c>
      <c r="U11" s="2719" t="s">
        <v>2428</v>
      </c>
      <c r="V11" s="2720">
        <v>6352938</v>
      </c>
      <c r="W11" s="2720">
        <v>0</v>
      </c>
      <c r="X11" s="2720">
        <f t="shared" si="0"/>
        <v>6352938</v>
      </c>
      <c r="Y11" s="2726">
        <v>4354750</v>
      </c>
      <c r="Z11" s="2726">
        <v>4374372</v>
      </c>
      <c r="AA11" s="2721" t="s">
        <v>2429</v>
      </c>
      <c r="AD11" s="2727"/>
      <c r="AE11" s="2728">
        <f>SUM(AE10:AE10)</f>
        <v>6522389</v>
      </c>
      <c r="AF11" s="2729">
        <f>SUM(AF10:AF10)</f>
        <v>3672757</v>
      </c>
      <c r="AG11" s="2730">
        <f>SUM(AG10:AG10)</f>
        <v>316224</v>
      </c>
    </row>
    <row r="12" spans="1:46">
      <c r="S12" s="2689" t="s">
        <v>2433</v>
      </c>
      <c r="T12" s="2689" t="s">
        <v>2434</v>
      </c>
      <c r="U12" s="2719" t="s">
        <v>2428</v>
      </c>
      <c r="V12" s="2720">
        <v>11849246</v>
      </c>
      <c r="W12" s="2720">
        <v>0</v>
      </c>
      <c r="X12" s="2720">
        <f t="shared" si="0"/>
        <v>11849246</v>
      </c>
      <c r="Y12" s="2726">
        <f>V12*1.101</f>
        <v>13046019.845999999</v>
      </c>
      <c r="Z12" s="2726">
        <f>Y12*1.03</f>
        <v>13437400.44138</v>
      </c>
      <c r="AA12" s="2721" t="s">
        <v>2429</v>
      </c>
      <c r="AC12" s="2731" t="s">
        <v>2435</v>
      </c>
      <c r="AF12" s="2732"/>
      <c r="AH12" s="2163"/>
    </row>
    <row r="13" spans="1:46" ht="15.75" thickBot="1">
      <c r="S13" s="2689" t="s">
        <v>2436</v>
      </c>
      <c r="T13" s="2689" t="s">
        <v>2437</v>
      </c>
      <c r="U13" s="2719" t="s">
        <v>2428</v>
      </c>
      <c r="V13" s="2720">
        <v>2052016</v>
      </c>
      <c r="W13" s="2720">
        <v>0</v>
      </c>
      <c r="X13" s="2720">
        <f t="shared" si="0"/>
        <v>2052016</v>
      </c>
      <c r="Y13" s="2726">
        <f>X13*1.04</f>
        <v>2134096.64</v>
      </c>
      <c r="Z13" s="2726">
        <f>Y13*1.04</f>
        <v>2219460.5056000003</v>
      </c>
      <c r="AA13" s="2721" t="s">
        <v>2429</v>
      </c>
      <c r="AC13" s="2731" t="s">
        <v>2435</v>
      </c>
    </row>
    <row r="14" spans="1:46">
      <c r="S14" s="2689" t="s">
        <v>2438</v>
      </c>
      <c r="T14" s="2689" t="s">
        <v>2439</v>
      </c>
      <c r="U14" s="2719" t="s">
        <v>2428</v>
      </c>
      <c r="V14" s="2720">
        <v>6965726</v>
      </c>
      <c r="W14" s="2720">
        <v>0</v>
      </c>
      <c r="X14" s="2720">
        <f t="shared" si="0"/>
        <v>6965726</v>
      </c>
      <c r="Y14" s="2726">
        <f>X14</f>
        <v>6965726</v>
      </c>
      <c r="Z14" s="2726">
        <f>Y14</f>
        <v>6965726</v>
      </c>
      <c r="AA14" s="2721" t="s">
        <v>2429</v>
      </c>
      <c r="AB14" s="3874" t="s">
        <v>2440</v>
      </c>
      <c r="AC14" s="3875"/>
      <c r="AD14" s="3875"/>
      <c r="AE14" s="3875"/>
      <c r="AF14" s="3875"/>
      <c r="AG14" s="3875"/>
      <c r="AH14" s="3875"/>
      <c r="AI14" s="3875"/>
      <c r="AJ14" s="3875"/>
      <c r="AK14" s="3876"/>
    </row>
    <row r="15" spans="1:46">
      <c r="S15" s="2733" t="s">
        <v>2441</v>
      </c>
      <c r="T15" s="2689" t="s">
        <v>2442</v>
      </c>
      <c r="U15" s="2719"/>
      <c r="V15" s="2720">
        <v>11827588</v>
      </c>
      <c r="W15" s="2720">
        <v>-11827588</v>
      </c>
      <c r="X15" s="2720">
        <f t="shared" si="0"/>
        <v>0</v>
      </c>
      <c r="Y15" s="2726">
        <v>0</v>
      </c>
      <c r="Z15" s="2726">
        <v>0</v>
      </c>
      <c r="AA15" s="2721"/>
      <c r="AB15" s="3877"/>
      <c r="AC15" s="3878"/>
      <c r="AD15" s="3878"/>
      <c r="AE15" s="3878"/>
      <c r="AF15" s="3878"/>
      <c r="AG15" s="3878"/>
      <c r="AH15" s="3878"/>
      <c r="AI15" s="3878"/>
      <c r="AJ15" s="3878"/>
      <c r="AK15" s="3879"/>
    </row>
    <row r="16" spans="1:46">
      <c r="A16" s="2734"/>
      <c r="S16" s="2733">
        <v>926253</v>
      </c>
      <c r="T16" s="2689" t="s">
        <v>2443</v>
      </c>
      <c r="U16" s="2719"/>
      <c r="V16" s="2720">
        <v>492816</v>
      </c>
      <c r="W16" s="2720">
        <v>0</v>
      </c>
      <c r="X16" s="2720">
        <f t="shared" si="0"/>
        <v>492816</v>
      </c>
      <c r="Y16" s="2726">
        <f>11827588/12</f>
        <v>985632.33333333337</v>
      </c>
      <c r="Z16" s="2726">
        <f>11827588/12</f>
        <v>985632.33333333337</v>
      </c>
      <c r="AA16" s="2735" t="s">
        <v>2444</v>
      </c>
      <c r="AB16" s="3877"/>
      <c r="AC16" s="3878"/>
      <c r="AD16" s="3878"/>
      <c r="AE16" s="3878"/>
      <c r="AF16" s="3878"/>
      <c r="AG16" s="3878"/>
      <c r="AH16" s="3878"/>
      <c r="AI16" s="3878"/>
      <c r="AJ16" s="3878"/>
      <c r="AK16" s="3879"/>
    </row>
    <row r="17" spans="1:37" ht="15.75" thickBot="1">
      <c r="A17" s="2736"/>
      <c r="B17" s="2736"/>
      <c r="C17" s="2736"/>
      <c r="D17" s="2736"/>
      <c r="H17" s="3883">
        <v>2025</v>
      </c>
      <c r="I17" s="3883"/>
      <c r="J17" s="3883">
        <v>2026</v>
      </c>
      <c r="K17" s="3883"/>
      <c r="L17" s="2736"/>
      <c r="M17" s="2737" t="s">
        <v>2445</v>
      </c>
      <c r="S17" s="2699" t="s">
        <v>978</v>
      </c>
      <c r="T17" s="2699"/>
      <c r="U17" s="2699"/>
      <c r="V17" s="2738">
        <f>SUM(V10:V16)</f>
        <v>68680589</v>
      </c>
      <c r="W17" s="2738">
        <f>SUM(W10:W16)</f>
        <v>-11827588</v>
      </c>
      <c r="X17" s="2738">
        <f>SUM(X10:X16)</f>
        <v>56853001</v>
      </c>
      <c r="Y17" s="2738">
        <f>SUM(Y10:Y16)</f>
        <v>56984224.819333337</v>
      </c>
      <c r="Z17" s="2738">
        <f>SUM(Z10:Z16)</f>
        <v>58671591.280313335</v>
      </c>
      <c r="AA17" s="2739"/>
      <c r="AB17" s="3880"/>
      <c r="AC17" s="3881"/>
      <c r="AD17" s="3881"/>
      <c r="AE17" s="3881"/>
      <c r="AF17" s="3881"/>
      <c r="AG17" s="3881"/>
      <c r="AH17" s="3881"/>
      <c r="AI17" s="3881"/>
      <c r="AJ17" s="3881"/>
      <c r="AK17" s="3882"/>
    </row>
    <row r="18" spans="1:37">
      <c r="A18" s="2736"/>
      <c r="B18" s="2740"/>
      <c r="C18" s="2740"/>
      <c r="D18" s="2693"/>
      <c r="E18" s="2741" t="s">
        <v>2446</v>
      </c>
      <c r="F18" s="2741" t="s">
        <v>2447</v>
      </c>
      <c r="G18" s="2741" t="s">
        <v>2448</v>
      </c>
      <c r="H18" s="2741" t="s">
        <v>1868</v>
      </c>
      <c r="I18" s="2741"/>
      <c r="J18" s="2741" t="s">
        <v>1868</v>
      </c>
      <c r="K18" s="2741"/>
      <c r="L18" s="2742"/>
      <c r="S18" s="2192"/>
      <c r="T18" s="2192"/>
      <c r="U18" s="2192"/>
      <c r="V18" s="2190"/>
      <c r="W18" s="2190"/>
      <c r="X18" s="2190"/>
      <c r="Y18" s="2677">
        <f>(Y17-V17)/V17</f>
        <v>-0.17030087177421649</v>
      </c>
      <c r="Z18" s="2677">
        <f>(Z17-Y17)/Y17</f>
        <v>2.9611115468004337E-2</v>
      </c>
      <c r="AA18" s="2739"/>
      <c r="AD18" s="2192"/>
      <c r="AE18" s="2192"/>
      <c r="AF18" s="2192"/>
      <c r="AG18" s="2192"/>
    </row>
    <row r="19" spans="1:37">
      <c r="A19" s="2741" t="s">
        <v>2420</v>
      </c>
      <c r="B19" s="2741" t="s">
        <v>2449</v>
      </c>
      <c r="C19" s="2741" t="s">
        <v>2419</v>
      </c>
      <c r="D19" s="2741" t="s">
        <v>2450</v>
      </c>
      <c r="E19" s="2743" t="s">
        <v>1813</v>
      </c>
      <c r="F19" s="2743" t="s">
        <v>2451</v>
      </c>
      <c r="G19" s="2743" t="s">
        <v>2452</v>
      </c>
      <c r="H19" s="2743" t="s">
        <v>2453</v>
      </c>
      <c r="I19" s="2741" t="s">
        <v>19</v>
      </c>
      <c r="J19" s="2743" t="s">
        <v>2453</v>
      </c>
      <c r="K19" s="2741" t="s">
        <v>19</v>
      </c>
      <c r="L19" s="2736"/>
      <c r="S19" s="3889" t="s">
        <v>2454</v>
      </c>
      <c r="T19" s="3889"/>
      <c r="U19" s="3889"/>
      <c r="V19" s="3889"/>
      <c r="W19" s="3889"/>
      <c r="X19" s="3889"/>
      <c r="Y19" s="3889"/>
      <c r="Z19" s="2739"/>
      <c r="AC19" s="2192"/>
      <c r="AD19" s="2192"/>
      <c r="AE19" s="2192"/>
      <c r="AF19" s="2192"/>
    </row>
    <row r="20" spans="1:37">
      <c r="A20" s="2744"/>
      <c r="B20" s="2744"/>
      <c r="C20" s="2744"/>
      <c r="D20" s="2745" t="s">
        <v>2455</v>
      </c>
      <c r="E20" s="2746"/>
      <c r="F20" s="2746"/>
      <c r="G20" s="2746"/>
      <c r="H20" s="2746"/>
      <c r="I20" s="2746"/>
      <c r="J20" s="2746"/>
      <c r="K20" s="2746"/>
      <c r="L20" s="2746"/>
      <c r="S20" s="3889"/>
      <c r="T20" s="3889"/>
      <c r="U20" s="3889"/>
      <c r="V20" s="3889"/>
      <c r="W20" s="3889"/>
      <c r="X20" s="3889"/>
      <c r="Y20" s="3889"/>
      <c r="AC20" s="2192"/>
      <c r="AD20" s="2192"/>
      <c r="AE20" s="2192"/>
      <c r="AF20" s="2192"/>
    </row>
    <row r="21" spans="1:37">
      <c r="A21" s="2744" t="s">
        <v>2456</v>
      </c>
      <c r="B21" s="2745" t="s">
        <v>2457</v>
      </c>
      <c r="C21" s="2747" t="s">
        <v>2458</v>
      </c>
      <c r="D21" s="2747"/>
      <c r="E21" s="2746">
        <f>'G-3.07,5.03 Benefits'!V10</f>
        <v>29140259</v>
      </c>
      <c r="F21" s="2746">
        <f>'G-3.07,5.03 Benefits'!W10</f>
        <v>0</v>
      </c>
      <c r="G21" s="2746">
        <f>'G-3.07,5.03 Benefits'!X10</f>
        <v>29140259</v>
      </c>
      <c r="H21" s="2746">
        <f>'G-3.07,5.03 Benefits'!Y10</f>
        <v>29498000</v>
      </c>
      <c r="I21" s="2746">
        <f>+H21-E21</f>
        <v>357741</v>
      </c>
      <c r="J21" s="2746">
        <f>+'G-3.07,5.03 Benefits'!Z10</f>
        <v>30689000</v>
      </c>
      <c r="K21" s="2746">
        <f>+J21-H21</f>
        <v>1191000</v>
      </c>
      <c r="L21" s="2746"/>
      <c r="S21" s="2192"/>
      <c r="T21" s="2192"/>
      <c r="U21" s="2192"/>
      <c r="V21" s="2192"/>
      <c r="W21" s="2192"/>
      <c r="X21" s="2192"/>
      <c r="Y21" s="2748"/>
      <c r="Z21" s="2192"/>
      <c r="AA21" s="2192"/>
      <c r="AB21" s="2192"/>
      <c r="AC21" s="2192"/>
      <c r="AD21" s="2192"/>
      <c r="AE21" s="2192"/>
      <c r="AF21" s="2192"/>
      <c r="AG21" s="2192"/>
      <c r="AH21" s="2192"/>
      <c r="AI21" s="2192"/>
      <c r="AJ21" s="2192"/>
      <c r="AK21" s="2192"/>
    </row>
    <row r="22" spans="1:37">
      <c r="A22" s="2744" t="s">
        <v>2459</v>
      </c>
      <c r="B22" s="2745" t="s">
        <v>2457</v>
      </c>
      <c r="C22" s="2747" t="s">
        <v>2460</v>
      </c>
      <c r="D22" s="2747"/>
      <c r="E22" s="2749">
        <f>'G-3.07,5.03 Benefits'!V11</f>
        <v>6352938</v>
      </c>
      <c r="F22" s="2749">
        <f>'G-3.07,5.03 Benefits'!W11</f>
        <v>0</v>
      </c>
      <c r="G22" s="2749">
        <f>'G-3.07,5.03 Benefits'!X11</f>
        <v>6352938</v>
      </c>
      <c r="H22" s="2749">
        <f>'G-3.07,5.03 Benefits'!Y11</f>
        <v>4354750</v>
      </c>
      <c r="I22" s="2749">
        <f>+H22-E22</f>
        <v>-1998188</v>
      </c>
      <c r="J22" s="2749">
        <f>+'G-3.07,5.03 Benefits'!Z11</f>
        <v>4374372</v>
      </c>
      <c r="K22" s="2749">
        <f>+J22-H22</f>
        <v>19622</v>
      </c>
      <c r="L22" s="2746"/>
      <c r="S22" s="2192"/>
      <c r="T22" s="2192"/>
      <c r="U22" s="2192"/>
      <c r="V22" s="2192"/>
      <c r="W22" s="2192"/>
      <c r="X22" s="2192"/>
      <c r="Y22" s="2192"/>
      <c r="Z22" s="2192"/>
      <c r="AA22" s="2192"/>
      <c r="AB22" s="2192"/>
      <c r="AC22" s="2192"/>
      <c r="AD22" s="2192"/>
      <c r="AE22" s="2192"/>
      <c r="AF22" s="2192"/>
      <c r="AG22" s="2192"/>
      <c r="AH22" s="2192"/>
      <c r="AI22" s="2192"/>
      <c r="AJ22" s="2192"/>
      <c r="AK22" s="2192"/>
    </row>
    <row r="23" spans="1:37">
      <c r="A23" s="2750" t="s">
        <v>2461</v>
      </c>
      <c r="B23" s="2745"/>
      <c r="C23" s="2741"/>
      <c r="D23" s="2741"/>
      <c r="E23" s="2751">
        <f>SUM(E21:E22)</f>
        <v>35493197</v>
      </c>
      <c r="F23" s="2751">
        <f>SUM(F21:F22)</f>
        <v>0</v>
      </c>
      <c r="G23" s="2751">
        <f>SUM(G21:G22)</f>
        <v>35493197</v>
      </c>
      <c r="H23" s="2751">
        <f>SUM(H21:H22)</f>
        <v>33852750</v>
      </c>
      <c r="I23" s="2751">
        <f>+H23-E23</f>
        <v>-1640447</v>
      </c>
      <c r="J23" s="2751">
        <f>SUM(J21:J22)</f>
        <v>35063372</v>
      </c>
      <c r="K23" s="2751">
        <f>+J23-H23</f>
        <v>1210622</v>
      </c>
      <c r="L23" s="2751"/>
      <c r="M23" s="2752"/>
      <c r="N23" s="2752"/>
      <c r="S23" s="2192"/>
      <c r="T23" s="2192"/>
      <c r="U23" s="2192"/>
      <c r="V23" s="2192"/>
      <c r="W23" s="2192"/>
      <c r="X23" s="2192"/>
      <c r="Y23" s="2192"/>
      <c r="Z23" s="2192"/>
      <c r="AA23" s="2192"/>
      <c r="AB23" s="2192"/>
      <c r="AC23" s="2192"/>
      <c r="AD23" s="2192"/>
      <c r="AE23" s="2192"/>
      <c r="AF23" s="2192"/>
      <c r="AG23" s="2192"/>
      <c r="AH23" s="2192"/>
      <c r="AI23" s="2192"/>
      <c r="AJ23" s="2192"/>
      <c r="AK23" s="2192"/>
    </row>
    <row r="24" spans="1:37">
      <c r="B24" s="2745"/>
      <c r="C24" s="2741"/>
      <c r="D24" s="2741"/>
      <c r="E24" s="2751"/>
      <c r="F24" s="2751"/>
      <c r="G24" s="2751"/>
      <c r="H24" s="2751"/>
      <c r="I24" s="2751"/>
      <c r="J24" s="2751"/>
      <c r="K24" s="2751"/>
      <c r="L24" s="2751"/>
      <c r="M24" s="2752"/>
      <c r="N24" s="2752"/>
      <c r="S24" s="2192"/>
      <c r="T24" s="2192"/>
      <c r="U24" s="2192"/>
      <c r="V24" s="2192"/>
      <c r="W24" s="2192"/>
      <c r="X24" s="2753"/>
      <c r="Y24" s="2190"/>
      <c r="Z24" s="2192"/>
      <c r="AA24" s="2192"/>
      <c r="AB24" s="2192"/>
      <c r="AC24" s="2192"/>
      <c r="AD24" s="2192"/>
      <c r="AE24" s="2192"/>
      <c r="AF24" s="2192"/>
      <c r="AG24" s="2192"/>
      <c r="AH24" s="2192"/>
      <c r="AI24" s="2192"/>
      <c r="AJ24" s="2192"/>
      <c r="AK24" s="2192"/>
    </row>
    <row r="25" spans="1:37">
      <c r="A25" s="2750" t="s">
        <v>2462</v>
      </c>
      <c r="B25" s="2745"/>
      <c r="D25" s="2754">
        <f>'G-3.07,5.03 Benefits'!AR9</f>
        <v>0.58546297829872462</v>
      </c>
      <c r="E25" s="2751">
        <f>+E23*D25</f>
        <v>20779952.824963357</v>
      </c>
      <c r="F25" s="2751">
        <f t="shared" ref="F25:K25" si="1">+F23*$D$25</f>
        <v>0</v>
      </c>
      <c r="G25" s="2751">
        <f t="shared" si="1"/>
        <v>20779952.824963357</v>
      </c>
      <c r="H25" s="2751">
        <f t="shared" si="1"/>
        <v>19819531.838602152</v>
      </c>
      <c r="I25" s="2751">
        <f t="shared" si="1"/>
        <v>-960420.98636120791</v>
      </c>
      <c r="J25" s="2751">
        <f t="shared" si="1"/>
        <v>20528306.200316109</v>
      </c>
      <c r="K25" s="2751">
        <f t="shared" si="1"/>
        <v>708774.36171395855</v>
      </c>
      <c r="L25" s="2751"/>
      <c r="M25" s="2752">
        <f>+I25</f>
        <v>-960420.98636120791</v>
      </c>
      <c r="N25" s="2752">
        <f>+K25</f>
        <v>708774.36171395855</v>
      </c>
      <c r="S25" s="2192"/>
      <c r="T25" s="2192"/>
      <c r="U25" s="2192"/>
      <c r="V25" s="2192"/>
      <c r="W25" s="2192"/>
      <c r="X25" s="2192"/>
      <c r="Y25" s="2192"/>
      <c r="Z25" s="2192"/>
      <c r="AA25" s="2192"/>
      <c r="AB25" s="2192"/>
      <c r="AC25" s="2192"/>
      <c r="AD25" s="2192"/>
      <c r="AE25" s="2192"/>
      <c r="AF25" s="2192"/>
      <c r="AG25" s="2192"/>
      <c r="AH25" s="2192"/>
      <c r="AI25" s="2192"/>
      <c r="AJ25" s="2192"/>
      <c r="AK25" s="2192"/>
    </row>
    <row r="26" spans="1:37">
      <c r="C26" s="2755"/>
      <c r="D26" s="2755"/>
      <c r="I26" s="2746"/>
      <c r="K26" s="2746"/>
      <c r="M26" s="2752"/>
      <c r="N26" s="2752"/>
      <c r="S26" s="2192"/>
      <c r="T26" s="2192"/>
      <c r="U26" s="2192"/>
      <c r="V26" s="2192"/>
      <c r="W26" s="2192"/>
      <c r="X26" s="2192"/>
      <c r="Y26" s="2192"/>
      <c r="Z26" s="2192"/>
      <c r="AA26" s="2192"/>
      <c r="AB26" s="2192"/>
      <c r="AG26" s="2192"/>
      <c r="AH26" s="2192"/>
      <c r="AI26" s="2192"/>
      <c r="AJ26" s="2192"/>
      <c r="AK26" s="2192"/>
    </row>
    <row r="27" spans="1:37">
      <c r="A27" s="2744" t="s">
        <v>2434</v>
      </c>
      <c r="B27" s="2745" t="s">
        <v>2457</v>
      </c>
      <c r="C27" s="2747" t="s">
        <v>2433</v>
      </c>
      <c r="D27" s="2747"/>
      <c r="E27" s="2746">
        <f>'G-3.07,5.03 Benefits'!V12</f>
        <v>11849246</v>
      </c>
      <c r="F27" s="2746">
        <f>'G-3.07,5.03 Benefits'!W12</f>
        <v>0</v>
      </c>
      <c r="G27" s="2746">
        <f>'G-3.07,5.03 Benefits'!X12</f>
        <v>11849246</v>
      </c>
      <c r="H27" s="2746">
        <f>'G-3.07,5.03 Benefits'!Y12</f>
        <v>13046019.845999999</v>
      </c>
      <c r="I27" s="2746">
        <f>+H27-E27</f>
        <v>1196773.845999999</v>
      </c>
      <c r="J27" s="2746">
        <f>+'G-3.07,5.03 Benefits'!Z12</f>
        <v>13437400.44138</v>
      </c>
      <c r="K27" s="2746">
        <f>+J27-H27</f>
        <v>391380.59538000077</v>
      </c>
      <c r="L27" s="2746"/>
      <c r="M27" s="2752"/>
      <c r="N27" s="2752"/>
      <c r="S27" s="2756"/>
      <c r="T27" s="2192"/>
      <c r="U27" s="2192"/>
      <c r="V27" s="2192"/>
      <c r="W27" s="2192"/>
      <c r="X27" s="2192"/>
      <c r="Y27" s="2192"/>
      <c r="Z27" s="2192"/>
      <c r="AA27" s="2192"/>
      <c r="AB27" s="2192"/>
      <c r="AG27" s="2192"/>
      <c r="AH27" s="2192"/>
      <c r="AI27" s="2192"/>
      <c r="AJ27" s="2192"/>
      <c r="AK27" s="2192"/>
    </row>
    <row r="28" spans="1:37">
      <c r="A28" s="2744" t="s">
        <v>2437</v>
      </c>
      <c r="B28" s="2745" t="s">
        <v>2457</v>
      </c>
      <c r="C28" s="2747" t="s">
        <v>2436</v>
      </c>
      <c r="D28" s="2747"/>
      <c r="E28" s="2746">
        <f>'G-3.07,5.03 Benefits'!V13</f>
        <v>2052016</v>
      </c>
      <c r="F28" s="2746">
        <f>'G-3.07,5.03 Benefits'!W13</f>
        <v>0</v>
      </c>
      <c r="G28" s="2746">
        <f>'G-3.07,5.03 Benefits'!X13</f>
        <v>2052016</v>
      </c>
      <c r="H28" s="2746">
        <f>'G-3.07,5.03 Benefits'!Y13</f>
        <v>2134096.64</v>
      </c>
      <c r="I28" s="2746">
        <f>+H28-E28</f>
        <v>82080.64000000013</v>
      </c>
      <c r="J28" s="2746">
        <f>+'G-3.07,5.03 Benefits'!Z13</f>
        <v>2219460.5056000003</v>
      </c>
      <c r="K28" s="2746">
        <f>+J28-H28</f>
        <v>85363.865600000136</v>
      </c>
      <c r="L28" s="2746"/>
      <c r="M28" s="2752">
        <f>(I28+I27)*$D$32</f>
        <v>748721.95618424413</v>
      </c>
      <c r="N28" s="2752">
        <f>(K28+K27)*$D$32</f>
        <v>279116.23201277142</v>
      </c>
      <c r="P28" s="2757"/>
      <c r="V28" s="2192"/>
      <c r="W28" s="2192"/>
      <c r="X28" s="2192"/>
      <c r="Y28" s="2192"/>
      <c r="Z28" s="2192"/>
      <c r="AA28" s="2192"/>
      <c r="AB28" s="2192"/>
      <c r="AG28" s="2192"/>
      <c r="AH28" s="2192"/>
      <c r="AI28" s="2192"/>
      <c r="AJ28" s="2192"/>
      <c r="AK28" s="2192"/>
    </row>
    <row r="29" spans="1:37">
      <c r="A29" s="2744" t="s">
        <v>2463</v>
      </c>
      <c r="B29" s="2745" t="s">
        <v>2457</v>
      </c>
      <c r="C29" s="2747" t="s">
        <v>2464</v>
      </c>
      <c r="D29" s="2747"/>
      <c r="E29" s="2749">
        <f>'G-3.07,5.03 Benefits'!V14</f>
        <v>6965726</v>
      </c>
      <c r="F29" s="2749">
        <f>'G-3.07,5.03 Benefits'!W14</f>
        <v>0</v>
      </c>
      <c r="G29" s="2749">
        <f>'G-3.07,5.03 Benefits'!X14</f>
        <v>6965726</v>
      </c>
      <c r="H29" s="2749">
        <f>G29</f>
        <v>6965726</v>
      </c>
      <c r="I29" s="2749">
        <f>+H29-E29</f>
        <v>0</v>
      </c>
      <c r="J29" s="2749">
        <f>+'G-3.07,5.03 Benefits'!Z14</f>
        <v>6965726</v>
      </c>
      <c r="K29" s="2749">
        <f>+J29-H29</f>
        <v>0</v>
      </c>
      <c r="L29" s="2746"/>
      <c r="M29" s="2758">
        <f>I29*$D$32</f>
        <v>0</v>
      </c>
      <c r="N29" s="2758">
        <f>K29*$D$32</f>
        <v>0</v>
      </c>
      <c r="V29" s="2192"/>
      <c r="W29" s="2192"/>
      <c r="X29" s="2192"/>
      <c r="Y29" s="2192"/>
      <c r="Z29" s="2192"/>
      <c r="AA29" s="2192"/>
      <c r="AB29" s="2192"/>
      <c r="AG29" s="2192"/>
      <c r="AH29" s="2192"/>
      <c r="AI29" s="2192"/>
      <c r="AJ29" s="2192"/>
      <c r="AK29" s="2192"/>
    </row>
    <row r="30" spans="1:37">
      <c r="A30" s="2750" t="s">
        <v>2465</v>
      </c>
      <c r="B30" s="2745"/>
      <c r="C30" s="2747"/>
      <c r="D30" s="2747"/>
      <c r="E30" s="2751">
        <f t="shared" ref="E30:K30" si="2">+SUM(E27:E29)</f>
        <v>20866988</v>
      </c>
      <c r="F30" s="2751">
        <f t="shared" si="2"/>
        <v>0</v>
      </c>
      <c r="G30" s="2751">
        <f t="shared" si="2"/>
        <v>20866988</v>
      </c>
      <c r="H30" s="2751">
        <f t="shared" si="2"/>
        <v>22145842.486000001</v>
      </c>
      <c r="I30" s="2751">
        <f t="shared" si="2"/>
        <v>1278854.4859999991</v>
      </c>
      <c r="J30" s="2751">
        <f t="shared" si="2"/>
        <v>22622586.94698</v>
      </c>
      <c r="K30" s="2751">
        <f t="shared" si="2"/>
        <v>476744.46098000091</v>
      </c>
      <c r="L30" s="2746"/>
      <c r="M30" s="2752">
        <f>SUM(M28:M29)</f>
        <v>748721.95618424413</v>
      </c>
      <c r="N30" s="2752">
        <f>SUM(N28:N29)</f>
        <v>279116.23201277142</v>
      </c>
    </row>
    <row r="31" spans="1:37">
      <c r="A31" s="2744"/>
      <c r="B31" s="2745"/>
      <c r="C31" s="2747"/>
      <c r="D31" s="2747"/>
      <c r="E31" s="2751"/>
      <c r="F31" s="2751"/>
      <c r="G31" s="2751"/>
      <c r="H31" s="2751"/>
      <c r="I31" s="2751"/>
      <c r="J31" s="2751"/>
      <c r="K31" s="2751"/>
      <c r="L31" s="2746"/>
      <c r="M31" s="2752"/>
      <c r="N31" s="2752"/>
      <c r="S31" s="2756"/>
    </row>
    <row r="32" spans="1:37">
      <c r="A32" s="2693" t="s">
        <v>2466</v>
      </c>
      <c r="B32" s="2745"/>
      <c r="C32" s="2747"/>
      <c r="D32" s="2754">
        <f>+D25</f>
        <v>0.58546297829872462</v>
      </c>
      <c r="E32" s="2751">
        <f>+E30*D32</f>
        <v>12216848.942603746</v>
      </c>
      <c r="F32" s="2751">
        <f>+F30*D32</f>
        <v>0</v>
      </c>
      <c r="G32" s="2751">
        <f>+G30*$D$32</f>
        <v>12216848.942603746</v>
      </c>
      <c r="H32" s="2751">
        <f>+H30*$D$32</f>
        <v>12965570.898787992</v>
      </c>
      <c r="I32" s="2751">
        <f>+I30*$D$32</f>
        <v>748721.95618424413</v>
      </c>
      <c r="J32" s="2751">
        <f>+J30*$D$32</f>
        <v>13244687.130800763</v>
      </c>
      <c r="K32" s="2751">
        <f>+K30*$D$32</f>
        <v>279116.23201277142</v>
      </c>
      <c r="L32" s="2746"/>
      <c r="M32" s="2752"/>
      <c r="N32" s="2752"/>
    </row>
    <row r="33" spans="1:16">
      <c r="B33" s="2745"/>
      <c r="C33" s="2747"/>
      <c r="D33" s="2747"/>
      <c r="E33" s="2746"/>
      <c r="F33" s="2746"/>
      <c r="G33" s="2746"/>
      <c r="H33" s="2746"/>
      <c r="I33" s="2746"/>
      <c r="J33" s="2746"/>
      <c r="K33" s="2746"/>
      <c r="L33" s="2746"/>
      <c r="M33" s="2752"/>
      <c r="N33" s="2752"/>
    </row>
    <row r="34" spans="1:16">
      <c r="A34" s="2192" t="s">
        <v>2442</v>
      </c>
      <c r="B34" s="2745" t="s">
        <v>2457</v>
      </c>
      <c r="C34" s="2747"/>
      <c r="D34" s="2747"/>
      <c r="E34" s="2746">
        <f>+'G-3.07,5.03 Benefits'!V15</f>
        <v>11827588</v>
      </c>
      <c r="F34" s="2746">
        <f>+'G-3.07,5.03 Benefits'!W15</f>
        <v>-11827588</v>
      </c>
      <c r="G34" s="2746">
        <f>+'G-3.07,5.03 Benefits'!X15</f>
        <v>0</v>
      </c>
      <c r="H34" s="2746">
        <f>+H31*$D$32</f>
        <v>0</v>
      </c>
      <c r="I34" s="2746">
        <f>+H34-G34</f>
        <v>0</v>
      </c>
      <c r="J34" s="2746">
        <f>+'G-3.07,5.03 Benefits'!Z15</f>
        <v>0</v>
      </c>
      <c r="K34" s="2746">
        <f>+J34-H34</f>
        <v>0</v>
      </c>
      <c r="L34" s="2746"/>
      <c r="M34" s="2752"/>
      <c r="N34" s="2752"/>
    </row>
    <row r="35" spans="1:16">
      <c r="A35" s="2689" t="s">
        <v>2443</v>
      </c>
      <c r="B35" s="2745" t="s">
        <v>2457</v>
      </c>
      <c r="C35" s="2747"/>
      <c r="D35" s="2747"/>
      <c r="E35" s="2749">
        <f>'G-3.07,5.03 Benefits'!V16</f>
        <v>492816</v>
      </c>
      <c r="F35" s="2749">
        <f>'G-3.07,5.03 Benefits'!W16</f>
        <v>0</v>
      </c>
      <c r="G35" s="2749">
        <f>'G-3.07,5.03 Benefits'!X16</f>
        <v>492816</v>
      </c>
      <c r="H35" s="2749">
        <f>'G-3.07,5.03 Benefits'!Y16</f>
        <v>985632.33333333337</v>
      </c>
      <c r="I35" s="2749">
        <f>+H35-G35</f>
        <v>492816.33333333337</v>
      </c>
      <c r="J35" s="2749">
        <f>+'G-3.07,5.03 Benefits'!Z16</f>
        <v>985632.33333333337</v>
      </c>
      <c r="K35" s="2749">
        <f>+J35-H35</f>
        <v>0</v>
      </c>
      <c r="L35" s="2746"/>
      <c r="M35" s="2758">
        <f>+I35</f>
        <v>492816.33333333337</v>
      </c>
      <c r="N35" s="2758">
        <f>+K35</f>
        <v>0</v>
      </c>
    </row>
    <row r="36" spans="1:16">
      <c r="A36" s="2750" t="s">
        <v>2467</v>
      </c>
      <c r="B36" s="2745"/>
      <c r="C36" s="2747"/>
      <c r="D36" s="2747"/>
      <c r="E36" s="2751">
        <f t="shared" ref="E36:K36" si="3">SUM(E32:E35)</f>
        <v>24537252.942603745</v>
      </c>
      <c r="F36" s="2751">
        <f t="shared" si="3"/>
        <v>-11827588</v>
      </c>
      <c r="G36" s="2751">
        <f t="shared" si="3"/>
        <v>12709664.942603746</v>
      </c>
      <c r="H36" s="2751">
        <f t="shared" si="3"/>
        <v>13951203.232121326</v>
      </c>
      <c r="I36" s="2751">
        <f t="shared" si="3"/>
        <v>1241538.2895175775</v>
      </c>
      <c r="J36" s="2751">
        <f t="shared" si="3"/>
        <v>14230319.464134097</v>
      </c>
      <c r="K36" s="2751">
        <f t="shared" si="3"/>
        <v>279116.23201277142</v>
      </c>
      <c r="L36" s="2746"/>
      <c r="M36" s="2752">
        <f>+M25+M30+M35</f>
        <v>281117.3031563696</v>
      </c>
      <c r="N36" s="2752">
        <f>+N25+N30+N35</f>
        <v>987890.59372672997</v>
      </c>
    </row>
    <row r="37" spans="1:16">
      <c r="A37" s="2750"/>
      <c r="B37" s="2750"/>
      <c r="C37" s="2750"/>
      <c r="D37" s="2750"/>
      <c r="E37" s="2751"/>
      <c r="F37" s="2751"/>
      <c r="G37" s="2751"/>
      <c r="H37" s="2751"/>
      <c r="I37" s="2746"/>
      <c r="J37" s="2751"/>
      <c r="K37" s="2746"/>
      <c r="L37" s="2751"/>
      <c r="M37" s="2752"/>
      <c r="N37" s="2752"/>
    </row>
    <row r="38" spans="1:16">
      <c r="A38" s="2750"/>
      <c r="B38" s="2750"/>
      <c r="C38" s="2750" t="s">
        <v>24</v>
      </c>
      <c r="D38" s="2750"/>
      <c r="E38" s="2751">
        <f t="shared" ref="E38:K38" si="4">E36+E25</f>
        <v>45317205.767567098</v>
      </c>
      <c r="F38" s="2751">
        <f t="shared" si="4"/>
        <v>-11827588</v>
      </c>
      <c r="G38" s="2751">
        <f t="shared" si="4"/>
        <v>33489617.767567106</v>
      </c>
      <c r="H38" s="2751">
        <f t="shared" si="4"/>
        <v>33770735.070723474</v>
      </c>
      <c r="I38" s="2751">
        <f t="shared" si="4"/>
        <v>281117.3031563696</v>
      </c>
      <c r="J38" s="2751">
        <f t="shared" si="4"/>
        <v>34758625.664450206</v>
      </c>
      <c r="K38" s="2751">
        <f t="shared" si="4"/>
        <v>987890.59372672997</v>
      </c>
      <c r="L38" s="2751"/>
      <c r="M38" s="2759"/>
      <c r="N38" s="2759"/>
    </row>
    <row r="39" spans="1:16">
      <c r="B39" s="2745"/>
      <c r="H39" s="2760"/>
      <c r="I39" s="2760"/>
      <c r="J39" s="2760"/>
      <c r="K39" s="2760"/>
    </row>
    <row r="40" spans="1:16">
      <c r="N40" s="2761"/>
      <c r="O40" s="3890" t="s">
        <v>729</v>
      </c>
      <c r="P40" s="3890"/>
    </row>
    <row r="41" spans="1:16">
      <c r="A41" s="2192" t="s">
        <v>1121</v>
      </c>
      <c r="F41" s="2762" t="s">
        <v>2468</v>
      </c>
      <c r="I41" s="2763" t="s">
        <v>517</v>
      </c>
      <c r="J41" s="2763"/>
      <c r="K41" s="2764" t="s">
        <v>519</v>
      </c>
      <c r="M41" s="2192" t="s">
        <v>2469</v>
      </c>
      <c r="O41" s="2765">
        <f>+I42</f>
        <v>2025</v>
      </c>
      <c r="P41" s="2765">
        <f>+K42</f>
        <v>2026</v>
      </c>
    </row>
    <row r="42" spans="1:16" ht="30">
      <c r="A42" s="2680" t="s">
        <v>2470</v>
      </c>
      <c r="B42" s="2766"/>
      <c r="C42" s="2682"/>
      <c r="D42" s="2682"/>
      <c r="E42" s="2682"/>
      <c r="F42" s="2762" t="s">
        <v>2471</v>
      </c>
      <c r="I42" s="2763">
        <f>+H17</f>
        <v>2025</v>
      </c>
      <c r="J42" s="2763"/>
      <c r="K42" s="2763">
        <f>+J17</f>
        <v>2026</v>
      </c>
      <c r="M42" s="2192" t="s">
        <v>2472</v>
      </c>
      <c r="N42" s="2761">
        <v>0.33</v>
      </c>
      <c r="O42" s="2767">
        <f>$I$44*N42</f>
        <v>43541.064710675448</v>
      </c>
      <c r="P42" s="2767">
        <f>$K$44*N42</f>
        <v>153010.17683922854</v>
      </c>
    </row>
    <row r="43" spans="1:16" ht="15.75" thickBot="1">
      <c r="A43" s="2681">
        <v>0.70111999999999997</v>
      </c>
      <c r="B43" s="2682" t="s">
        <v>2398</v>
      </c>
      <c r="C43" s="2766"/>
      <c r="D43" s="2766"/>
      <c r="M43" s="2192" t="s">
        <v>2473</v>
      </c>
      <c r="N43" s="2761">
        <v>0.23</v>
      </c>
      <c r="O43" s="2767">
        <f>$I$44*N43</f>
        <v>30346.802677137432</v>
      </c>
      <c r="P43" s="2767">
        <f>$K$44*N43</f>
        <v>106643.45658491687</v>
      </c>
    </row>
    <row r="44" spans="1:16" ht="16.5" thickTop="1" thickBot="1">
      <c r="A44" s="2683">
        <v>0.66942999999999997</v>
      </c>
      <c r="B44" s="2682" t="s">
        <v>2399</v>
      </c>
      <c r="C44" s="2766"/>
      <c r="D44" s="2766"/>
      <c r="F44" s="2768">
        <v>-5560490</v>
      </c>
      <c r="H44" s="2769"/>
      <c r="I44" s="2770">
        <f>I38*A43*A44</f>
        <v>131942.62033538014</v>
      </c>
      <c r="K44" s="2770">
        <f>K38*A43*A44</f>
        <v>463667.20254311681</v>
      </c>
      <c r="M44" s="2192" t="s">
        <v>2249</v>
      </c>
      <c r="N44" s="2761">
        <v>0.06</v>
      </c>
      <c r="O44" s="2767">
        <f>$I$44*N44</f>
        <v>7916.5572201228078</v>
      </c>
      <c r="P44" s="2767">
        <f>$K$44*N44</f>
        <v>27820.032152587009</v>
      </c>
    </row>
    <row r="45" spans="1:16" ht="15.75" thickTop="1">
      <c r="A45" s="2683"/>
      <c r="B45" s="2682"/>
      <c r="C45" s="2766"/>
      <c r="D45" s="2766"/>
      <c r="E45" s="3891" t="s">
        <v>2474</v>
      </c>
      <c r="F45" s="3891"/>
      <c r="G45" s="3891"/>
      <c r="H45" s="2769"/>
      <c r="I45" s="2687"/>
      <c r="K45" s="2687"/>
      <c r="M45" s="2192" t="s">
        <v>2475</v>
      </c>
      <c r="N45" s="2761">
        <v>0.01</v>
      </c>
      <c r="O45" s="2767">
        <f>$I$44*N45</f>
        <v>1319.4262033538014</v>
      </c>
      <c r="P45" s="2767">
        <f>$K$44*N45</f>
        <v>4636.6720254311685</v>
      </c>
    </row>
    <row r="46" spans="1:16">
      <c r="A46" s="2683"/>
      <c r="B46" s="2682"/>
      <c r="C46" s="2766"/>
      <c r="D46" s="2766"/>
      <c r="E46" s="3891"/>
      <c r="F46" s="3891"/>
      <c r="G46" s="3891"/>
      <c r="H46" s="2769"/>
      <c r="I46" s="2687"/>
      <c r="K46" s="2687"/>
      <c r="M46" s="2192" t="s">
        <v>2245</v>
      </c>
      <c r="N46" s="2761">
        <v>0.37</v>
      </c>
      <c r="O46" s="2767">
        <f>$I$44*N46</f>
        <v>48818.769524090654</v>
      </c>
      <c r="P46" s="2767">
        <f>$K$44*N46</f>
        <v>171556.86494095321</v>
      </c>
    </row>
    <row r="47" spans="1:16">
      <c r="A47" s="2683"/>
      <c r="B47" s="2682"/>
      <c r="C47" s="2766"/>
      <c r="D47" s="2766"/>
      <c r="H47" s="2769"/>
      <c r="I47" s="2687"/>
      <c r="K47" s="2687"/>
      <c r="N47" s="2771"/>
      <c r="O47" s="2772">
        <f>SUM(O42:O46)</f>
        <v>131942.62033538014</v>
      </c>
      <c r="P47" s="2772">
        <f>SUM(P42:P46)</f>
        <v>463667.20254311681</v>
      </c>
    </row>
    <row r="48" spans="1:16">
      <c r="A48" s="2683"/>
      <c r="B48" s="2682"/>
      <c r="C48" s="2766"/>
      <c r="D48" s="2766"/>
      <c r="H48" s="2769"/>
      <c r="I48" s="2687"/>
      <c r="K48" s="2687"/>
      <c r="N48" s="2771"/>
      <c r="O48" s="2190"/>
      <c r="P48" s="2190"/>
    </row>
    <row r="49" spans="1:16">
      <c r="A49" s="2683"/>
      <c r="B49" s="2682"/>
      <c r="C49" s="2766"/>
      <c r="D49" s="2766"/>
      <c r="H49" s="2769"/>
      <c r="I49" s="2687"/>
      <c r="K49" s="2687"/>
      <c r="N49" s="2771"/>
    </row>
    <row r="50" spans="1:16">
      <c r="A50" s="2680" t="s">
        <v>2476</v>
      </c>
      <c r="B50" s="2682"/>
      <c r="C50" s="2766"/>
      <c r="D50" s="2766"/>
      <c r="H50" s="2769"/>
      <c r="K50" s="2682"/>
      <c r="N50" s="2771"/>
      <c r="O50" s="3892" t="s">
        <v>434</v>
      </c>
      <c r="P50" s="3892"/>
    </row>
    <row r="51" spans="1:16" ht="15.75" thickBot="1">
      <c r="A51" s="2681">
        <v>0.20707999999999999</v>
      </c>
      <c r="B51" s="2682" t="s">
        <v>2398</v>
      </c>
      <c r="C51" s="2766"/>
      <c r="D51" s="2766"/>
      <c r="H51" s="2769"/>
      <c r="K51" s="2682"/>
      <c r="M51" s="2192" t="s">
        <v>2469</v>
      </c>
      <c r="N51" s="2771"/>
      <c r="O51" s="2765">
        <f>+O41</f>
        <v>2025</v>
      </c>
      <c r="P51" s="2765">
        <f>+P41</f>
        <v>2026</v>
      </c>
    </row>
    <row r="52" spans="1:16" ht="16.5" thickTop="1" thickBot="1">
      <c r="A52" s="2681">
        <v>0.71745999999999999</v>
      </c>
      <c r="B52" s="2682" t="s">
        <v>2399</v>
      </c>
      <c r="C52" s="2766"/>
      <c r="D52" s="2766"/>
      <c r="E52" s="2766"/>
      <c r="F52" s="2768">
        <v>-1731369</v>
      </c>
      <c r="H52" s="2769"/>
      <c r="I52" s="2770">
        <f>I38*A51*A52</f>
        <v>41766.05224039757</v>
      </c>
      <c r="J52" s="2766"/>
      <c r="K52" s="2770">
        <f>K38*A51*A52</f>
        <v>146772.50273149219</v>
      </c>
      <c r="M52" s="2192" t="s">
        <v>671</v>
      </c>
      <c r="N52" s="2761">
        <v>0.04</v>
      </c>
      <c r="O52" s="2767">
        <f t="shared" ref="O52:O57" si="5">$I$52*N52</f>
        <v>1670.6420896159029</v>
      </c>
      <c r="P52" s="2767">
        <f t="shared" ref="P52:P57" si="6">$K$52*N52</f>
        <v>5870.9001092596873</v>
      </c>
    </row>
    <row r="53" spans="1:16" ht="15.75" thickTop="1">
      <c r="E53" s="3891" t="s">
        <v>2474</v>
      </c>
      <c r="F53" s="3891"/>
      <c r="G53" s="3891"/>
      <c r="I53" s="2687"/>
      <c r="M53" s="2192" t="s">
        <v>41</v>
      </c>
      <c r="N53" s="2761">
        <v>0</v>
      </c>
      <c r="O53" s="2767">
        <f t="shared" si="5"/>
        <v>0</v>
      </c>
      <c r="P53" s="2767">
        <f t="shared" si="6"/>
        <v>0</v>
      </c>
    </row>
    <row r="54" spans="1:16">
      <c r="E54" s="3891"/>
      <c r="F54" s="3891"/>
      <c r="G54" s="3891"/>
      <c r="M54" s="2192" t="s">
        <v>45</v>
      </c>
      <c r="N54" s="2761">
        <v>0.44</v>
      </c>
      <c r="O54" s="2767">
        <f t="shared" si="5"/>
        <v>18377.06298577493</v>
      </c>
      <c r="P54" s="2767">
        <f t="shared" si="6"/>
        <v>64579.901201856563</v>
      </c>
    </row>
    <row r="55" spans="1:16">
      <c r="E55" s="2693"/>
      <c r="F55" s="2693"/>
      <c r="G55" s="2693"/>
      <c r="I55" s="2687"/>
      <c r="K55" s="2687"/>
      <c r="M55" s="2192" t="s">
        <v>2249</v>
      </c>
      <c r="N55" s="2761">
        <v>0.15</v>
      </c>
      <c r="O55" s="2767">
        <f t="shared" si="5"/>
        <v>6264.907836059635</v>
      </c>
      <c r="P55" s="2767">
        <f t="shared" si="6"/>
        <v>22015.875409723827</v>
      </c>
    </row>
    <row r="56" spans="1:16">
      <c r="F56" s="2693"/>
      <c r="G56" s="2693"/>
      <c r="H56" s="2693"/>
      <c r="I56" s="2693"/>
      <c r="J56" s="2693"/>
      <c r="K56" s="2687"/>
      <c r="M56" s="2192" t="s">
        <v>2247</v>
      </c>
      <c r="N56" s="2761">
        <v>0.01</v>
      </c>
      <c r="O56" s="2767">
        <f t="shared" si="5"/>
        <v>417.66052240397573</v>
      </c>
      <c r="P56" s="2767">
        <f t="shared" si="6"/>
        <v>1467.7250273149218</v>
      </c>
    </row>
    <row r="57" spans="1:16">
      <c r="I57" s="2753"/>
      <c r="J57" s="2190"/>
      <c r="M57" s="2192" t="s">
        <v>2245</v>
      </c>
      <c r="N57" s="2761">
        <v>0.36</v>
      </c>
      <c r="O57" s="2767">
        <f t="shared" si="5"/>
        <v>15035.778806543125</v>
      </c>
      <c r="P57" s="2767">
        <f t="shared" si="6"/>
        <v>52838.100983337186</v>
      </c>
    </row>
    <row r="58" spans="1:16">
      <c r="I58" s="2752"/>
      <c r="K58" s="2687"/>
      <c r="N58" s="2771"/>
      <c r="O58" s="2772">
        <f>SUM(O52:O57)</f>
        <v>41766.05224039757</v>
      </c>
      <c r="P58" s="2772">
        <f>SUM(P52:P57)</f>
        <v>146772.50273149219</v>
      </c>
    </row>
    <row r="59" spans="1:16">
      <c r="A59" s="2771" t="s">
        <v>2477</v>
      </c>
      <c r="B59" s="2771"/>
      <c r="I59" s="2752"/>
      <c r="J59" s="2766"/>
      <c r="K59" s="2687"/>
    </row>
    <row r="60" spans="1:16">
      <c r="A60" s="2771" t="s">
        <v>2089</v>
      </c>
      <c r="B60" s="2773">
        <f>+D25*A43*A44</f>
        <v>0.27478749475311065</v>
      </c>
      <c r="C60" s="2774">
        <f>1-'G-3.07,5.03 Benefits'!AQ9</f>
        <v>0.99228210637755476</v>
      </c>
      <c r="D60" s="2774"/>
      <c r="I60" s="2769"/>
    </row>
    <row r="61" spans="1:16">
      <c r="A61" s="2771" t="s">
        <v>68</v>
      </c>
      <c r="B61" s="2773">
        <f>+D25*A51*A52</f>
        <v>8.6983181262384829E-2</v>
      </c>
      <c r="I61" s="2687"/>
      <c r="K61" s="2687"/>
    </row>
    <row r="62" spans="1:16">
      <c r="I62" s="2687"/>
      <c r="K62" s="2687"/>
    </row>
    <row r="63" spans="1:16">
      <c r="I63" s="2687"/>
      <c r="K63" s="2687"/>
    </row>
    <row r="64" spans="1:16">
      <c r="I64" s="2687"/>
      <c r="K64" s="2687"/>
    </row>
    <row r="65" spans="9:11">
      <c r="I65" s="2687"/>
      <c r="K65" s="2687"/>
    </row>
    <row r="66" spans="9:11">
      <c r="I66" s="2687"/>
      <c r="K66" s="2687"/>
    </row>
    <row r="67" spans="9:11">
      <c r="K67" s="2682"/>
    </row>
    <row r="68" spans="9:11">
      <c r="K68" s="2682"/>
    </row>
    <row r="69" spans="9:11">
      <c r="I69" s="2687"/>
      <c r="K69" s="2687"/>
    </row>
    <row r="70" spans="9:11">
      <c r="I70" s="2687"/>
      <c r="K70" s="2687"/>
    </row>
  </sheetData>
  <mergeCells count="13">
    <mergeCell ref="S19:Y20"/>
    <mergeCell ref="O40:P40"/>
    <mergeCell ref="E45:G46"/>
    <mergeCell ref="O50:P50"/>
    <mergeCell ref="E53:G54"/>
    <mergeCell ref="AB14:AK17"/>
    <mergeCell ref="H17:I17"/>
    <mergeCell ref="J17:K17"/>
    <mergeCell ref="A1:I1"/>
    <mergeCell ref="AN1:AT1"/>
    <mergeCell ref="A2:I2"/>
    <mergeCell ref="A3:I3"/>
    <mergeCell ref="AP5:AT5"/>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4540-0384-4654-88F1-CA4B6D13F2C5}">
  <dimension ref="A1:S38"/>
  <sheetViews>
    <sheetView workbookViewId="0"/>
  </sheetViews>
  <sheetFormatPr defaultColWidth="8.85546875" defaultRowHeight="15"/>
  <cols>
    <col min="1" max="1" width="30.140625" style="2733" customWidth="1"/>
    <col min="2" max="2" width="13.28515625" style="2775" bestFit="1" customWidth="1"/>
    <col min="3" max="3" width="13.5703125" style="2138" customWidth="1"/>
    <col min="4" max="4" width="12.5703125" style="2733" customWidth="1"/>
    <col min="5" max="5" width="13.28515625" style="2775" bestFit="1" customWidth="1"/>
    <col min="6" max="6" width="14.28515625" style="2775" customWidth="1"/>
    <col min="7" max="7" width="14.5703125" style="2775" bestFit="1" customWidth="1"/>
    <col min="8" max="8" width="5.140625" style="2775" customWidth="1"/>
    <col min="9" max="9" width="19.140625" style="2689" customWidth="1"/>
    <col min="10" max="10" width="15.28515625" style="2689" bestFit="1" customWidth="1"/>
    <col min="11" max="11" width="15.28515625" style="2689" customWidth="1"/>
    <col min="12" max="12" width="4.85546875" style="2689" customWidth="1"/>
    <col min="13" max="13" width="1.7109375" style="2142" customWidth="1"/>
    <col min="14" max="14" width="8.85546875" style="2141"/>
    <col min="15" max="15" width="29" style="2459" bestFit="1" customWidth="1"/>
    <col min="16" max="16" width="0.85546875" style="2459" customWidth="1"/>
    <col min="17" max="17" width="14.5703125" style="2459" bestFit="1" customWidth="1"/>
    <col min="18" max="19" width="16.5703125" style="2459" customWidth="1"/>
    <col min="20" max="16384" width="8.85546875" style="2141"/>
  </cols>
  <sheetData>
    <row r="1" spans="1:19" ht="18.75">
      <c r="A1" s="2136" t="s">
        <v>1734</v>
      </c>
      <c r="O1" s="2776" t="s">
        <v>2478</v>
      </c>
      <c r="Q1" s="2777"/>
    </row>
    <row r="2" spans="1:19">
      <c r="A2" s="2136" t="s">
        <v>1737</v>
      </c>
      <c r="P2" s="2778"/>
      <c r="Q2" s="2779" t="s">
        <v>517</v>
      </c>
      <c r="R2" s="2459" t="s">
        <v>2479</v>
      </c>
    </row>
    <row r="3" spans="1:19">
      <c r="A3" s="2136"/>
      <c r="I3" s="2145" t="s">
        <v>2480</v>
      </c>
      <c r="J3" s="2145" t="s">
        <v>517</v>
      </c>
      <c r="O3" s="2458" t="s">
        <v>2481</v>
      </c>
      <c r="P3" s="2780"/>
    </row>
    <row r="4" spans="1:19">
      <c r="A4" s="2144" t="s">
        <v>1739</v>
      </c>
      <c r="B4" s="2689"/>
      <c r="C4" s="2689"/>
      <c r="D4" s="2689"/>
      <c r="E4" s="2689"/>
      <c r="F4" s="2145"/>
      <c r="G4" s="2145" t="s">
        <v>1740</v>
      </c>
      <c r="H4" s="2689"/>
      <c r="I4" s="2145" t="s">
        <v>2482</v>
      </c>
      <c r="J4" s="2145" t="s">
        <v>394</v>
      </c>
      <c r="K4" s="2689" t="s">
        <v>2483</v>
      </c>
      <c r="O4" s="2781" t="s">
        <v>2484</v>
      </c>
      <c r="P4" s="2782"/>
      <c r="Q4" s="2783">
        <v>8010545.039535284</v>
      </c>
      <c r="R4" s="2783">
        <v>-1094293</v>
      </c>
      <c r="S4" s="2471">
        <f>Q4+R4</f>
        <v>6916252.039535284</v>
      </c>
    </row>
    <row r="5" spans="1:19" ht="30">
      <c r="A5" s="2147" t="s">
        <v>1736</v>
      </c>
      <c r="B5" s="2147">
        <v>2017</v>
      </c>
      <c r="C5" s="2147">
        <v>2018</v>
      </c>
      <c r="D5" s="2147">
        <v>2019</v>
      </c>
      <c r="E5" s="2147">
        <v>2020</v>
      </c>
      <c r="F5" s="2147">
        <v>2021</v>
      </c>
      <c r="G5" s="2147">
        <v>2022</v>
      </c>
      <c r="H5" s="2784"/>
      <c r="I5" s="2149" t="s">
        <v>1746</v>
      </c>
      <c r="J5" s="2149" t="s">
        <v>2485</v>
      </c>
      <c r="K5" s="2149" t="s">
        <v>1748</v>
      </c>
      <c r="L5" s="2785"/>
      <c r="O5" s="2781" t="s">
        <v>2486</v>
      </c>
      <c r="P5" s="2782"/>
      <c r="Q5" s="2783">
        <v>1836568.6642125</v>
      </c>
      <c r="S5" s="2786">
        <f>Q5+R5</f>
        <v>1836568.6642125</v>
      </c>
    </row>
    <row r="6" spans="1:19">
      <c r="A6" s="2787" t="s">
        <v>1749</v>
      </c>
      <c r="B6" s="2788">
        <v>8907284.0899999999</v>
      </c>
      <c r="C6" s="2788">
        <v>8939222</v>
      </c>
      <c r="D6" s="2788">
        <v>9560785</v>
      </c>
      <c r="E6" s="2788">
        <v>11027927</v>
      </c>
      <c r="F6" s="2789">
        <v>11636327</v>
      </c>
      <c r="G6" s="2789">
        <v>11677040</v>
      </c>
      <c r="H6" s="2689"/>
      <c r="I6" s="2790"/>
      <c r="J6" s="2787"/>
      <c r="K6" s="2787"/>
      <c r="O6" s="2476" t="s">
        <v>2481</v>
      </c>
      <c r="P6" s="2791"/>
      <c r="Q6" s="2792">
        <f>SUM(Q4:Q5)</f>
        <v>9847113.7037477847</v>
      </c>
      <c r="S6" s="2792">
        <f>SUM(S4:S5)</f>
        <v>8752820.7037477847</v>
      </c>
    </row>
    <row r="7" spans="1:19">
      <c r="A7" s="2787"/>
      <c r="B7" s="2788"/>
      <c r="C7" s="2788"/>
      <c r="D7" s="2788"/>
      <c r="E7" s="2788"/>
      <c r="F7" s="2788"/>
      <c r="G7" s="2788"/>
      <c r="H7" s="2689"/>
      <c r="I7" s="2787"/>
      <c r="J7" s="2787"/>
      <c r="K7" s="2787"/>
      <c r="P7" s="2780"/>
    </row>
    <row r="8" spans="1:19">
      <c r="A8" s="2787" t="s">
        <v>128</v>
      </c>
      <c r="B8" s="2788">
        <v>3024645.6942000003</v>
      </c>
      <c r="C8" s="2788">
        <v>2763400.8181698681</v>
      </c>
      <c r="D8" s="2788">
        <v>1915430.404649351</v>
      </c>
      <c r="E8" s="2788">
        <v>1301158.3403929451</v>
      </c>
      <c r="F8" s="2788">
        <v>4674952.357970004</v>
      </c>
      <c r="G8" s="2788">
        <v>797795.87000000034</v>
      </c>
      <c r="H8" s="2793">
        <f>G8/$G$12</f>
        <v>9.9802450921696831E-2</v>
      </c>
      <c r="I8" s="2790"/>
      <c r="J8" s="2790"/>
      <c r="K8" s="2790"/>
    </row>
    <row r="9" spans="1:19" ht="15.75" thickBot="1">
      <c r="A9" s="2787" t="s">
        <v>938</v>
      </c>
      <c r="B9" s="2788">
        <v>232665.0534</v>
      </c>
      <c r="C9" s="2788">
        <v>227418.58825925156</v>
      </c>
      <c r="D9" s="2788">
        <v>157633.47671826064</v>
      </c>
      <c r="E9" s="2788">
        <v>107080.95290710905</v>
      </c>
      <c r="F9" s="2788">
        <v>44962.698830913003</v>
      </c>
      <c r="G9" s="2788">
        <v>3228217</v>
      </c>
      <c r="H9" s="2793">
        <f>G9/$G$12</f>
        <v>0.40384261290684198</v>
      </c>
      <c r="I9" s="2790"/>
      <c r="J9" s="2790"/>
      <c r="K9" s="2790"/>
      <c r="O9" s="2794"/>
      <c r="P9" s="2794"/>
      <c r="Q9" s="2795"/>
      <c r="R9" s="2794"/>
      <c r="S9" s="2794"/>
    </row>
    <row r="10" spans="1:19">
      <c r="A10" s="2787" t="s">
        <v>933</v>
      </c>
      <c r="B10" s="2788">
        <v>6747286.5485999994</v>
      </c>
      <c r="C10" s="2788">
        <v>6703033.547677394</v>
      </c>
      <c r="D10" s="2788">
        <v>4646157.0743504977</v>
      </c>
      <c r="E10" s="2788">
        <v>3156150.1860849573</v>
      </c>
      <c r="F10" s="2788">
        <v>7980128.549638628</v>
      </c>
      <c r="G10" s="2788">
        <v>3109772</v>
      </c>
      <c r="H10" s="2793">
        <f>G10/$G$12</f>
        <v>0.38902541248761652</v>
      </c>
      <c r="I10" s="2790">
        <f>AVERAGE(B10:G10)</f>
        <v>5390421.3177252458</v>
      </c>
      <c r="J10" s="2790">
        <f>'G-3.08 PF Incentives'!S4</f>
        <v>6916252.039535284</v>
      </c>
      <c r="K10" s="2790">
        <f>J10-I10</f>
        <v>1525830.7218100382</v>
      </c>
      <c r="L10" s="2796"/>
    </row>
    <row r="11" spans="1:19" ht="17.25">
      <c r="A11" s="2787" t="s">
        <v>471</v>
      </c>
      <c r="B11" s="2164">
        <v>1628655.3738000002</v>
      </c>
      <c r="C11" s="2164">
        <v>1636727.1251204626</v>
      </c>
      <c r="D11" s="2164">
        <v>1134485.0442818908</v>
      </c>
      <c r="E11" s="2164">
        <v>770659.52061498829</v>
      </c>
      <c r="F11" s="2164">
        <v>568140.39356045367</v>
      </c>
      <c r="G11" s="2164">
        <v>857965.4099999998</v>
      </c>
      <c r="H11" s="2793">
        <f>G11/$G$12</f>
        <v>0.10732952368384464</v>
      </c>
      <c r="I11" s="2790"/>
      <c r="J11" s="2790"/>
      <c r="K11" s="2165"/>
    </row>
    <row r="12" spans="1:19">
      <c r="A12" s="2166" t="s">
        <v>1740</v>
      </c>
      <c r="B12" s="2167">
        <f t="shared" ref="B12:G12" si="0">SUM(B8:B11)</f>
        <v>11633252.67</v>
      </c>
      <c r="C12" s="2167">
        <f t="shared" si="0"/>
        <v>11330580.079226976</v>
      </c>
      <c r="D12" s="2167">
        <f t="shared" si="0"/>
        <v>7853706</v>
      </c>
      <c r="E12" s="2167">
        <f t="shared" si="0"/>
        <v>5335048.9999999991</v>
      </c>
      <c r="F12" s="2167">
        <f t="shared" si="0"/>
        <v>13268184</v>
      </c>
      <c r="G12" s="2167">
        <f t="shared" si="0"/>
        <v>7993750.2800000003</v>
      </c>
      <c r="H12" s="2689"/>
      <c r="I12" s="2790">
        <f>SUM(I8:I11)</f>
        <v>5390421.3177252458</v>
      </c>
      <c r="J12" s="2790">
        <f>SUM(J8:J11)</f>
        <v>6916252.039535284</v>
      </c>
      <c r="K12" s="2790">
        <f>SUM(K8:K11)</f>
        <v>1525830.7218100382</v>
      </c>
      <c r="L12" s="2796"/>
    </row>
    <row r="13" spans="1:19">
      <c r="A13" s="2787"/>
      <c r="B13" s="2787"/>
      <c r="C13" s="2787"/>
      <c r="D13" s="2787"/>
      <c r="E13" s="2787"/>
      <c r="F13" s="2787"/>
      <c r="G13" s="2787"/>
      <c r="H13" s="2689"/>
      <c r="I13" s="2787"/>
      <c r="J13" s="2787"/>
      <c r="K13" s="2787"/>
    </row>
    <row r="14" spans="1:19" ht="30">
      <c r="A14" s="2168" t="s">
        <v>1759</v>
      </c>
      <c r="B14" s="2168">
        <f t="shared" ref="B14:G14" si="1">+B5</f>
        <v>2017</v>
      </c>
      <c r="C14" s="2168">
        <f t="shared" si="1"/>
        <v>2018</v>
      </c>
      <c r="D14" s="2168">
        <f t="shared" si="1"/>
        <v>2019</v>
      </c>
      <c r="E14" s="2168">
        <f t="shared" si="1"/>
        <v>2020</v>
      </c>
      <c r="F14" s="2168">
        <f t="shared" si="1"/>
        <v>2021</v>
      </c>
      <c r="G14" s="2168">
        <f t="shared" si="1"/>
        <v>2022</v>
      </c>
      <c r="H14" s="2689"/>
      <c r="I14" s="2169" t="s">
        <v>1746</v>
      </c>
      <c r="J14" s="2149" t="str">
        <f>+J5</f>
        <v>Rate Year 1 Expense</v>
      </c>
      <c r="K14" s="2149" t="s">
        <v>1748</v>
      </c>
      <c r="L14" s="2145"/>
    </row>
    <row r="15" spans="1:19">
      <c r="A15" s="2787" t="s">
        <v>1749</v>
      </c>
      <c r="B15" s="2788">
        <v>2645970</v>
      </c>
      <c r="C15" s="2788">
        <v>2786099</v>
      </c>
      <c r="D15" s="2788">
        <v>2981115</v>
      </c>
      <c r="E15" s="2788">
        <v>2486258</v>
      </c>
      <c r="F15" s="2789">
        <v>2461365</v>
      </c>
      <c r="G15" s="2789">
        <v>2461365</v>
      </c>
      <c r="H15" s="2689"/>
      <c r="I15" s="2790"/>
      <c r="J15" s="2787"/>
      <c r="K15" s="2787"/>
    </row>
    <row r="16" spans="1:19">
      <c r="A16" s="2787"/>
      <c r="B16" s="2788"/>
      <c r="C16" s="2788"/>
      <c r="D16" s="2788"/>
      <c r="E16" s="2788"/>
      <c r="F16" s="2788"/>
      <c r="G16" s="2788"/>
      <c r="H16" s="2689"/>
      <c r="I16" s="2790"/>
      <c r="J16" s="2787"/>
      <c r="K16" s="2787"/>
    </row>
    <row r="17" spans="1:12">
      <c r="A17" s="2787" t="s">
        <v>933</v>
      </c>
      <c r="B17" s="2788">
        <v>1298642</v>
      </c>
      <c r="C17" s="2788">
        <v>1246174</v>
      </c>
      <c r="D17" s="2788">
        <v>979535</v>
      </c>
      <c r="E17" s="2788">
        <v>497252</v>
      </c>
      <c r="F17" s="2788">
        <v>695450</v>
      </c>
      <c r="G17" s="2788">
        <v>581270.01000000013</v>
      </c>
      <c r="H17" s="2689"/>
      <c r="I17" s="2790">
        <f>AVERAGE(B17:G17)</f>
        <v>883053.83499999996</v>
      </c>
      <c r="J17" s="2790">
        <f>'G-3.08 PF Incentives'!Q5</f>
        <v>1836568.6642125</v>
      </c>
      <c r="K17" s="2790">
        <f>J17-I17</f>
        <v>953514.82921250002</v>
      </c>
      <c r="L17" s="2796"/>
    </row>
    <row r="18" spans="1:12" ht="17.25">
      <c r="A18" s="2787" t="s">
        <v>938</v>
      </c>
      <c r="B18" s="2164">
        <v>1111307</v>
      </c>
      <c r="C18" s="2164">
        <v>1539925</v>
      </c>
      <c r="D18" s="2164">
        <v>2861870</v>
      </c>
      <c r="E18" s="2164">
        <v>124312</v>
      </c>
      <c r="F18" s="2164">
        <v>2042921</v>
      </c>
      <c r="G18" s="2164">
        <v>2717437.26</v>
      </c>
      <c r="H18" s="2689"/>
      <c r="I18" s="2165"/>
      <c r="J18" s="2165"/>
      <c r="K18" s="2165"/>
    </row>
    <row r="19" spans="1:12">
      <c r="A19" s="2166" t="s">
        <v>1740</v>
      </c>
      <c r="B19" s="2167">
        <f t="shared" ref="B19:G19" si="2">SUM(B17:B18)</f>
        <v>2409949</v>
      </c>
      <c r="C19" s="2167">
        <f t="shared" si="2"/>
        <v>2786099</v>
      </c>
      <c r="D19" s="2167">
        <f t="shared" si="2"/>
        <v>3841405</v>
      </c>
      <c r="E19" s="2167">
        <f t="shared" si="2"/>
        <v>621564</v>
      </c>
      <c r="F19" s="2167">
        <f t="shared" si="2"/>
        <v>2738371</v>
      </c>
      <c r="G19" s="2167">
        <f t="shared" si="2"/>
        <v>3298707.27</v>
      </c>
      <c r="H19" s="2689"/>
      <c r="I19" s="2790">
        <f>SUM(I17:I18)</f>
        <v>883053.83499999996</v>
      </c>
      <c r="J19" s="2790">
        <f>SUM(J17:J18)</f>
        <v>1836568.6642125</v>
      </c>
      <c r="K19" s="2790">
        <f>SUM(K17:K18)</f>
        <v>953514.82921250002</v>
      </c>
    </row>
    <row r="20" spans="1:12">
      <c r="A20" s="2790"/>
      <c r="B20" s="2787"/>
      <c r="C20" s="2787"/>
      <c r="D20" s="2787"/>
      <c r="E20" s="2787"/>
      <c r="F20" s="2787"/>
      <c r="G20" s="2787"/>
      <c r="H20" s="2689"/>
      <c r="I20" s="2787"/>
      <c r="J20" s="2787"/>
      <c r="K20" s="2787"/>
    </row>
    <row r="21" spans="1:12">
      <c r="A21" s="2797" t="s">
        <v>24</v>
      </c>
      <c r="B21" s="2168">
        <f t="shared" ref="B21:G21" si="3">+B14</f>
        <v>2017</v>
      </c>
      <c r="C21" s="2168">
        <f t="shared" si="3"/>
        <v>2018</v>
      </c>
      <c r="D21" s="2168">
        <f t="shared" si="3"/>
        <v>2019</v>
      </c>
      <c r="E21" s="2168">
        <f t="shared" si="3"/>
        <v>2020</v>
      </c>
      <c r="F21" s="2168">
        <f t="shared" si="3"/>
        <v>2021</v>
      </c>
      <c r="G21" s="2168">
        <f t="shared" si="3"/>
        <v>2022</v>
      </c>
      <c r="H21" s="2689"/>
      <c r="I21" s="3841" t="s">
        <v>1760</v>
      </c>
      <c r="J21" s="3842"/>
      <c r="K21" s="2171">
        <f>K12+K19</f>
        <v>2479345.551022538</v>
      </c>
    </row>
    <row r="22" spans="1:12">
      <c r="A22" s="2787" t="s">
        <v>1761</v>
      </c>
      <c r="B22" s="2790">
        <f t="shared" ref="B22:G22" si="4">B6+B15</f>
        <v>11553254.09</v>
      </c>
      <c r="C22" s="2790">
        <f t="shared" si="4"/>
        <v>11725321</v>
      </c>
      <c r="D22" s="2790">
        <f t="shared" si="4"/>
        <v>12541900</v>
      </c>
      <c r="E22" s="2790">
        <f t="shared" si="4"/>
        <v>13514185</v>
      </c>
      <c r="F22" s="2790">
        <f t="shared" si="4"/>
        <v>14097692</v>
      </c>
      <c r="G22" s="2790">
        <f t="shared" si="4"/>
        <v>14138405</v>
      </c>
      <c r="H22" s="2689"/>
      <c r="I22" s="2787"/>
      <c r="J22" s="2787"/>
      <c r="K22" s="2787"/>
    </row>
    <row r="23" spans="1:12" ht="15.75" thickBot="1">
      <c r="A23" s="2798" t="s">
        <v>1762</v>
      </c>
      <c r="B23" s="2799">
        <f t="shared" ref="B23:G23" si="5">B12+B19</f>
        <v>14043201.67</v>
      </c>
      <c r="C23" s="2799">
        <f t="shared" si="5"/>
        <v>14116679.079226976</v>
      </c>
      <c r="D23" s="2799">
        <f t="shared" si="5"/>
        <v>11695111</v>
      </c>
      <c r="E23" s="2799">
        <f t="shared" si="5"/>
        <v>5956612.9999999991</v>
      </c>
      <c r="F23" s="2799">
        <f t="shared" si="5"/>
        <v>16006555</v>
      </c>
      <c r="G23" s="2799">
        <f t="shared" si="5"/>
        <v>11292457.550000001</v>
      </c>
      <c r="H23" s="2689"/>
      <c r="I23" s="2174" t="s">
        <v>538</v>
      </c>
      <c r="J23" s="2175">
        <v>0.70111999999999997</v>
      </c>
      <c r="K23" s="2176"/>
    </row>
    <row r="24" spans="1:12" ht="16.5" thickTop="1" thickBot="1">
      <c r="A24" s="2798"/>
      <c r="B24" s="2788"/>
      <c r="C24" s="2177"/>
      <c r="D24" s="2798"/>
      <c r="E24" s="2788"/>
      <c r="F24" s="2788"/>
      <c r="G24" s="2788"/>
      <c r="H24" s="2689"/>
      <c r="I24" s="2178" t="s">
        <v>1764</v>
      </c>
      <c r="J24" s="2179">
        <v>0.66942999999999997</v>
      </c>
      <c r="K24" s="2180">
        <f>K21*J23*J24</f>
        <v>1163682.7226419998</v>
      </c>
      <c r="L24" s="2190"/>
    </row>
    <row r="25" spans="1:12" ht="15.75" thickTop="1">
      <c r="B25" s="2800"/>
      <c r="C25" s="2185"/>
      <c r="E25" s="2800"/>
      <c r="F25" s="2800"/>
      <c r="G25" s="2800"/>
      <c r="H25" s="2689"/>
      <c r="I25" s="2178"/>
      <c r="J25" s="2175"/>
      <c r="K25" s="2186"/>
      <c r="L25" s="2190"/>
    </row>
    <row r="26" spans="1:12" ht="15.75" thickBot="1">
      <c r="A26" s="2138"/>
      <c r="B26" s="2800"/>
      <c r="C26" s="2185"/>
      <c r="E26" s="2800"/>
      <c r="F26" s="2800"/>
      <c r="G26" s="2800"/>
      <c r="H26" s="2689"/>
      <c r="I26" s="2178" t="s">
        <v>1104</v>
      </c>
      <c r="J26" s="2175">
        <v>0.20707999999999999</v>
      </c>
      <c r="K26" s="2176"/>
      <c r="L26" s="2190"/>
    </row>
    <row r="27" spans="1:12" ht="16.5" thickTop="1" thickBot="1">
      <c r="A27" s="2138"/>
      <c r="B27" s="2800"/>
      <c r="C27" s="2185"/>
      <c r="E27" s="2800"/>
      <c r="F27" s="2800"/>
      <c r="G27" s="2800"/>
      <c r="H27" s="2689"/>
      <c r="I27" s="2178" t="s">
        <v>1764</v>
      </c>
      <c r="J27" s="2179">
        <v>0.71745999999999999</v>
      </c>
      <c r="K27" s="2180">
        <f>K21*J26*J27</f>
        <v>368360.37712130533</v>
      </c>
      <c r="L27" s="2190"/>
    </row>
    <row r="28" spans="1:12" ht="15.75" thickTop="1">
      <c r="A28" s="2733" t="s">
        <v>1766</v>
      </c>
      <c r="B28" s="2800"/>
      <c r="C28" s="2185"/>
      <c r="E28" s="2800"/>
      <c r="F28" s="2800"/>
      <c r="G28" s="2800"/>
      <c r="H28" s="2689"/>
      <c r="I28" s="2188"/>
      <c r="J28" s="2189"/>
      <c r="K28" s="2190"/>
      <c r="L28" s="2190"/>
    </row>
    <row r="29" spans="1:12">
      <c r="A29" s="2733" t="s">
        <v>1767</v>
      </c>
      <c r="B29" s="2800"/>
      <c r="C29" s="2185"/>
      <c r="E29" s="2800"/>
      <c r="F29" s="2800"/>
      <c r="G29" s="2800"/>
      <c r="H29" s="2689"/>
      <c r="I29" s="2191"/>
      <c r="J29" s="2192"/>
      <c r="K29" s="2192"/>
      <c r="L29" s="2190"/>
    </row>
    <row r="30" spans="1:12">
      <c r="A30" s="2733" t="s">
        <v>1768</v>
      </c>
      <c r="H30" s="2689"/>
      <c r="I30" s="2191"/>
      <c r="J30" s="2192"/>
      <c r="K30" s="2192"/>
      <c r="L30" s="2192"/>
    </row>
    <row r="31" spans="1:12">
      <c r="I31" s="2191"/>
      <c r="J31" s="2192"/>
      <c r="K31" s="2192"/>
      <c r="L31" s="2192"/>
    </row>
    <row r="32" spans="1:12">
      <c r="I32" s="2801" t="s">
        <v>155</v>
      </c>
      <c r="J32" s="2802" t="s">
        <v>14</v>
      </c>
      <c r="K32" s="2192"/>
      <c r="L32" s="2192"/>
    </row>
    <row r="33" spans="7:12">
      <c r="G33" s="2803" t="s">
        <v>1610</v>
      </c>
      <c r="I33" s="2804">
        <f>I12+I19</f>
        <v>6273475.1527252458</v>
      </c>
      <c r="J33" s="2804">
        <f>J12+J19</f>
        <v>8752820.7037477847</v>
      </c>
      <c r="K33" s="2192"/>
      <c r="L33" s="2192"/>
    </row>
    <row r="34" spans="7:12">
      <c r="G34" s="2775" t="s">
        <v>2148</v>
      </c>
      <c r="I34" s="2805">
        <f>I33*$J$23*$J$24</f>
        <v>2944460.34081027</v>
      </c>
      <c r="J34" s="2805">
        <f>J33*$J$23*$J$24</f>
        <v>4108143.0634522703</v>
      </c>
      <c r="K34" s="2190"/>
      <c r="L34" s="2192"/>
    </row>
    <row r="35" spans="7:12">
      <c r="G35" s="2775" t="s">
        <v>2149</v>
      </c>
      <c r="I35" s="2805">
        <f>I33*$J$26*$J$27</f>
        <v>932060.34639501653</v>
      </c>
      <c r="J35" s="2805">
        <f>J33*$J$26*$J$27</f>
        <v>1300420.723516322</v>
      </c>
      <c r="K35" s="2190"/>
      <c r="L35" s="2192"/>
    </row>
    <row r="38" spans="7:12">
      <c r="I38" s="2138"/>
    </row>
  </sheetData>
  <mergeCells count="1">
    <mergeCell ref="I21:J2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BECA-3C62-47F7-A481-8A9DE9F19E81}">
  <dimension ref="A1:N23"/>
  <sheetViews>
    <sheetView workbookViewId="0"/>
  </sheetViews>
  <sheetFormatPr defaultColWidth="8.85546875" defaultRowHeight="12.75"/>
  <cols>
    <col min="1" max="1" width="12.5703125" style="2141" customWidth="1"/>
    <col min="2" max="2" width="20.7109375" style="2141" customWidth="1"/>
    <col min="3" max="3" width="12" style="2141" customWidth="1"/>
    <col min="4" max="4" width="45.42578125" style="2141" customWidth="1"/>
    <col min="5" max="5" width="28.28515625" style="2141" bestFit="1" customWidth="1"/>
    <col min="6" max="6" width="11.28515625" style="2141" customWidth="1"/>
    <col min="7" max="8" width="17" style="2141" customWidth="1"/>
    <col min="9" max="11" width="16" style="2141" customWidth="1"/>
    <col min="12" max="13" width="16.5703125" style="2141" customWidth="1"/>
    <col min="14" max="14" width="8.140625" style="2141" bestFit="1" customWidth="1"/>
    <col min="15" max="16384" width="8.85546875" style="2141"/>
  </cols>
  <sheetData>
    <row r="1" spans="1:14" ht="19.5" thickBot="1">
      <c r="A1" s="2806" t="s">
        <v>2487</v>
      </c>
      <c r="B1" s="2807"/>
      <c r="C1" s="2807"/>
      <c r="D1" s="2807"/>
      <c r="E1" s="2807"/>
      <c r="F1" s="2807"/>
      <c r="G1" s="2807"/>
      <c r="H1" s="2807"/>
      <c r="I1" s="2807"/>
      <c r="J1" s="2807"/>
      <c r="K1" s="2807"/>
      <c r="L1" s="2807"/>
      <c r="M1" s="2807"/>
      <c r="N1" s="2808"/>
    </row>
    <row r="2" spans="1:14" ht="19.5" thickBot="1">
      <c r="A2" s="2809" t="s">
        <v>2488</v>
      </c>
      <c r="B2" s="2808"/>
      <c r="C2" s="2808"/>
      <c r="D2" s="2808"/>
      <c r="E2" s="2808"/>
      <c r="F2" s="2808"/>
      <c r="G2" s="2808"/>
      <c r="H2" s="2808"/>
      <c r="I2" s="2808"/>
      <c r="J2" s="2808"/>
      <c r="K2" s="2808"/>
      <c r="L2" s="2808"/>
      <c r="M2" s="2808"/>
      <c r="N2" s="2808"/>
    </row>
    <row r="3" spans="1:14" ht="15">
      <c r="A3" s="3897" t="s">
        <v>2489</v>
      </c>
      <c r="B3" s="3899" t="s">
        <v>2490</v>
      </c>
      <c r="C3" s="3893" t="s">
        <v>2491</v>
      </c>
      <c r="D3" s="3899" t="s">
        <v>2492</v>
      </c>
      <c r="E3" s="3899" t="s">
        <v>2492</v>
      </c>
      <c r="F3" s="3893" t="s">
        <v>2493</v>
      </c>
      <c r="G3" s="3903" t="s">
        <v>2494</v>
      </c>
      <c r="H3" s="3893" t="s">
        <v>2495</v>
      </c>
      <c r="I3" s="3893" t="s">
        <v>2496</v>
      </c>
      <c r="J3" s="3893" t="s">
        <v>2497</v>
      </c>
      <c r="K3" s="3893" t="s">
        <v>2498</v>
      </c>
      <c r="L3" s="3895" t="s">
        <v>2499</v>
      </c>
      <c r="M3" s="3896"/>
      <c r="N3" s="2810"/>
    </row>
    <row r="4" spans="1:14" ht="15">
      <c r="A4" s="3898"/>
      <c r="B4" s="3900"/>
      <c r="C4" s="3894"/>
      <c r="D4" s="3900"/>
      <c r="E4" s="3900"/>
      <c r="F4" s="3894"/>
      <c r="G4" s="3904"/>
      <c r="H4" s="3894"/>
      <c r="I4" s="3894"/>
      <c r="J4" s="3894"/>
      <c r="K4" s="3894"/>
      <c r="L4" s="2811" t="s">
        <v>2500</v>
      </c>
      <c r="M4" s="2811" t="s">
        <v>132</v>
      </c>
      <c r="N4" s="2811"/>
    </row>
    <row r="5" spans="1:14" ht="15">
      <c r="A5" s="2812" t="s">
        <v>2501</v>
      </c>
      <c r="B5" s="2813" t="s">
        <v>2475</v>
      </c>
      <c r="C5" s="2814">
        <v>1</v>
      </c>
      <c r="D5" s="2815" t="s">
        <v>2502</v>
      </c>
      <c r="E5" s="2815" t="s">
        <v>2503</v>
      </c>
      <c r="F5" s="2816">
        <v>44835</v>
      </c>
      <c r="G5" s="2817">
        <v>44969.599999999999</v>
      </c>
      <c r="H5" s="2817">
        <f t="shared" ref="H5:H15" si="0">+G5*1.06</f>
        <v>47667.775999999998</v>
      </c>
      <c r="I5" s="2818">
        <f t="shared" ref="I5:K15" si="1">+H5*1.04</f>
        <v>49574.48704</v>
      </c>
      <c r="J5" s="2818">
        <f t="shared" si="1"/>
        <v>51557.466521599999</v>
      </c>
      <c r="K5" s="2818">
        <f t="shared" si="1"/>
        <v>53619.765182463998</v>
      </c>
      <c r="L5" s="2819">
        <v>3</v>
      </c>
      <c r="M5" s="2820">
        <f t="shared" ref="M5:M15" si="2">+J5/12*L5</f>
        <v>12889.3666304</v>
      </c>
      <c r="N5" s="2821"/>
    </row>
    <row r="6" spans="1:14" ht="15">
      <c r="A6" s="2812" t="s">
        <v>2501</v>
      </c>
      <c r="B6" s="2813" t="s">
        <v>2475</v>
      </c>
      <c r="C6" s="2814">
        <v>2</v>
      </c>
      <c r="D6" s="2815" t="s">
        <v>2502</v>
      </c>
      <c r="E6" s="2815" t="s">
        <v>2504</v>
      </c>
      <c r="F6" s="2816">
        <v>44835</v>
      </c>
      <c r="G6" s="2817">
        <v>64147.199999999997</v>
      </c>
      <c r="H6" s="2817">
        <f t="shared" si="0"/>
        <v>67996.032000000007</v>
      </c>
      <c r="I6" s="2818">
        <f t="shared" si="1"/>
        <v>70715.873280000014</v>
      </c>
      <c r="J6" s="2818">
        <f t="shared" si="1"/>
        <v>73544.508211200024</v>
      </c>
      <c r="K6" s="2818">
        <f t="shared" si="1"/>
        <v>76486.288539648027</v>
      </c>
      <c r="L6" s="2819">
        <v>3</v>
      </c>
      <c r="M6" s="2820">
        <f t="shared" si="2"/>
        <v>18386.127052800006</v>
      </c>
      <c r="N6" s="2821"/>
    </row>
    <row r="7" spans="1:14" ht="15">
      <c r="A7" s="2812" t="s">
        <v>2501</v>
      </c>
      <c r="B7" s="2813" t="s">
        <v>2475</v>
      </c>
      <c r="C7" s="2814">
        <v>3</v>
      </c>
      <c r="D7" s="2815" t="s">
        <v>2502</v>
      </c>
      <c r="E7" s="2815" t="s">
        <v>2505</v>
      </c>
      <c r="F7" s="2816">
        <v>44835</v>
      </c>
      <c r="G7" s="2817">
        <v>52956.800000000003</v>
      </c>
      <c r="H7" s="2817">
        <f t="shared" si="0"/>
        <v>56134.208000000006</v>
      </c>
      <c r="I7" s="2818">
        <f t="shared" si="1"/>
        <v>58379.576320000007</v>
      </c>
      <c r="J7" s="2818">
        <f t="shared" si="1"/>
        <v>60714.759372800007</v>
      </c>
      <c r="K7" s="2818">
        <f t="shared" si="1"/>
        <v>63143.349747712011</v>
      </c>
      <c r="L7" s="2819">
        <v>3</v>
      </c>
      <c r="M7" s="2820">
        <f t="shared" si="2"/>
        <v>15178.689843200002</v>
      </c>
      <c r="N7" s="2821"/>
    </row>
    <row r="8" spans="1:14" ht="15">
      <c r="A8" s="2812" t="s">
        <v>2501</v>
      </c>
      <c r="B8" s="2813" t="s">
        <v>2475</v>
      </c>
      <c r="C8" s="2814">
        <v>4</v>
      </c>
      <c r="D8" s="2815" t="s">
        <v>2502</v>
      </c>
      <c r="E8" s="2815" t="s">
        <v>2503</v>
      </c>
      <c r="F8" s="2816">
        <v>44835</v>
      </c>
      <c r="G8" s="2817">
        <v>44969.599999999999</v>
      </c>
      <c r="H8" s="2817">
        <f t="shared" si="0"/>
        <v>47667.775999999998</v>
      </c>
      <c r="I8" s="2818">
        <f t="shared" si="1"/>
        <v>49574.48704</v>
      </c>
      <c r="J8" s="2818">
        <f t="shared" si="1"/>
        <v>51557.466521599999</v>
      </c>
      <c r="K8" s="2818">
        <f t="shared" si="1"/>
        <v>53619.765182463998</v>
      </c>
      <c r="L8" s="2819">
        <v>3</v>
      </c>
      <c r="M8" s="2820">
        <f t="shared" si="2"/>
        <v>12889.3666304</v>
      </c>
      <c r="N8" s="2821"/>
    </row>
    <row r="9" spans="1:14" ht="15">
      <c r="A9" s="2812" t="s">
        <v>2501</v>
      </c>
      <c r="B9" s="2813" t="s">
        <v>2475</v>
      </c>
      <c r="C9" s="2814">
        <v>5</v>
      </c>
      <c r="D9" s="2815" t="s">
        <v>2502</v>
      </c>
      <c r="E9" s="2815" t="s">
        <v>2506</v>
      </c>
      <c r="F9" s="2816">
        <v>44835</v>
      </c>
      <c r="G9" s="2817">
        <v>49025.599999999999</v>
      </c>
      <c r="H9" s="2817">
        <f t="shared" si="0"/>
        <v>51967.135999999999</v>
      </c>
      <c r="I9" s="2818">
        <f t="shared" si="1"/>
        <v>54045.82144</v>
      </c>
      <c r="J9" s="2818">
        <f t="shared" si="1"/>
        <v>56207.654297599998</v>
      </c>
      <c r="K9" s="2818">
        <f t="shared" si="1"/>
        <v>58455.960469504003</v>
      </c>
      <c r="L9" s="2819">
        <v>3</v>
      </c>
      <c r="M9" s="2820">
        <f t="shared" si="2"/>
        <v>14051.913574400001</v>
      </c>
      <c r="N9" s="2821"/>
    </row>
    <row r="10" spans="1:14" ht="15">
      <c r="A10" s="2812" t="s">
        <v>2501</v>
      </c>
      <c r="B10" s="2813" t="s">
        <v>2475</v>
      </c>
      <c r="C10" s="2814">
        <v>6</v>
      </c>
      <c r="D10" s="2815" t="s">
        <v>2502</v>
      </c>
      <c r="E10" s="2815" t="s">
        <v>2506</v>
      </c>
      <c r="F10" s="2816">
        <v>45017</v>
      </c>
      <c r="G10" s="2817">
        <v>49025.599999999999</v>
      </c>
      <c r="H10" s="2817">
        <f t="shared" si="0"/>
        <v>51967.135999999999</v>
      </c>
      <c r="I10" s="2818">
        <f t="shared" si="1"/>
        <v>54045.82144</v>
      </c>
      <c r="J10" s="2818">
        <f t="shared" si="1"/>
        <v>56207.654297599998</v>
      </c>
      <c r="K10" s="2818">
        <f t="shared" si="1"/>
        <v>58455.960469504003</v>
      </c>
      <c r="L10" s="2819">
        <v>9</v>
      </c>
      <c r="M10" s="2820">
        <f t="shared" si="2"/>
        <v>42155.740723200004</v>
      </c>
      <c r="N10" s="2821"/>
    </row>
    <row r="11" spans="1:14" ht="15">
      <c r="A11" s="2812" t="s">
        <v>2501</v>
      </c>
      <c r="B11" s="2813" t="s">
        <v>2475</v>
      </c>
      <c r="C11" s="2814">
        <v>7</v>
      </c>
      <c r="D11" s="2815" t="s">
        <v>2502</v>
      </c>
      <c r="E11" s="2815" t="s">
        <v>2503</v>
      </c>
      <c r="F11" s="2816">
        <v>45017</v>
      </c>
      <c r="G11" s="2817">
        <v>44969.599999999999</v>
      </c>
      <c r="H11" s="2817">
        <f t="shared" si="0"/>
        <v>47667.775999999998</v>
      </c>
      <c r="I11" s="2818">
        <f t="shared" si="1"/>
        <v>49574.48704</v>
      </c>
      <c r="J11" s="2818">
        <f t="shared" si="1"/>
        <v>51557.466521599999</v>
      </c>
      <c r="K11" s="2818">
        <f t="shared" si="1"/>
        <v>53619.765182463998</v>
      </c>
      <c r="L11" s="2819">
        <v>9</v>
      </c>
      <c r="M11" s="2820">
        <f t="shared" si="2"/>
        <v>38668.0998912</v>
      </c>
      <c r="N11" s="2821"/>
    </row>
    <row r="12" spans="1:14" ht="15">
      <c r="A12" s="2812" t="s">
        <v>2501</v>
      </c>
      <c r="B12" s="2813" t="s">
        <v>2475</v>
      </c>
      <c r="C12" s="2814">
        <v>8</v>
      </c>
      <c r="D12" s="2815" t="s">
        <v>2502</v>
      </c>
      <c r="E12" s="2815" t="s">
        <v>2506</v>
      </c>
      <c r="F12" s="2816">
        <v>45017</v>
      </c>
      <c r="G12" s="2817">
        <v>49025.599999999999</v>
      </c>
      <c r="H12" s="2817">
        <f t="shared" si="0"/>
        <v>51967.135999999999</v>
      </c>
      <c r="I12" s="2818">
        <f t="shared" si="1"/>
        <v>54045.82144</v>
      </c>
      <c r="J12" s="2818">
        <f t="shared" si="1"/>
        <v>56207.654297599998</v>
      </c>
      <c r="K12" s="2818">
        <f t="shared" si="1"/>
        <v>58455.960469504003</v>
      </c>
      <c r="L12" s="2819">
        <v>9</v>
      </c>
      <c r="M12" s="2820">
        <f t="shared" si="2"/>
        <v>42155.740723200004</v>
      </c>
      <c r="N12" s="2821"/>
    </row>
    <row r="13" spans="1:14" ht="15">
      <c r="A13" s="2812" t="s">
        <v>2501</v>
      </c>
      <c r="B13" s="2813" t="s">
        <v>2475</v>
      </c>
      <c r="C13" s="2814">
        <v>9</v>
      </c>
      <c r="D13" s="2815" t="s">
        <v>2502</v>
      </c>
      <c r="E13" s="2815" t="s">
        <v>2504</v>
      </c>
      <c r="F13" s="2816">
        <v>45017</v>
      </c>
      <c r="G13" s="2817">
        <v>64147.199999999997</v>
      </c>
      <c r="H13" s="2817">
        <f t="shared" si="0"/>
        <v>67996.032000000007</v>
      </c>
      <c r="I13" s="2818">
        <f t="shared" si="1"/>
        <v>70715.873280000014</v>
      </c>
      <c r="J13" s="2818">
        <f t="shared" si="1"/>
        <v>73544.508211200024</v>
      </c>
      <c r="K13" s="2818">
        <f t="shared" si="1"/>
        <v>76486.288539648027</v>
      </c>
      <c r="L13" s="2819">
        <v>9</v>
      </c>
      <c r="M13" s="2820">
        <f t="shared" si="2"/>
        <v>55158.381158400021</v>
      </c>
      <c r="N13" s="2821"/>
    </row>
    <row r="14" spans="1:14" ht="15">
      <c r="A14" s="2812" t="s">
        <v>2501</v>
      </c>
      <c r="B14" s="2813" t="s">
        <v>2475</v>
      </c>
      <c r="C14" s="2814">
        <v>10</v>
      </c>
      <c r="D14" s="2815" t="s">
        <v>2502</v>
      </c>
      <c r="E14" s="2815" t="s">
        <v>2503</v>
      </c>
      <c r="F14" s="2816">
        <v>45017</v>
      </c>
      <c r="G14" s="2817">
        <v>44969.599999999999</v>
      </c>
      <c r="H14" s="2817">
        <f t="shared" si="0"/>
        <v>47667.775999999998</v>
      </c>
      <c r="I14" s="2818">
        <f t="shared" si="1"/>
        <v>49574.48704</v>
      </c>
      <c r="J14" s="2818">
        <f t="shared" si="1"/>
        <v>51557.466521599999</v>
      </c>
      <c r="K14" s="2818">
        <f t="shared" si="1"/>
        <v>53619.765182463998</v>
      </c>
      <c r="L14" s="2819">
        <v>9</v>
      </c>
      <c r="M14" s="2820">
        <f t="shared" si="2"/>
        <v>38668.0998912</v>
      </c>
      <c r="N14" s="2821"/>
    </row>
    <row r="15" spans="1:14" ht="15">
      <c r="A15" s="2812" t="s">
        <v>2501</v>
      </c>
      <c r="B15" s="2813" t="s">
        <v>2475</v>
      </c>
      <c r="C15" s="2814">
        <v>11</v>
      </c>
      <c r="D15" s="2815" t="s">
        <v>2507</v>
      </c>
      <c r="E15" s="2815" t="s">
        <v>2508</v>
      </c>
      <c r="F15" s="2816">
        <v>45200</v>
      </c>
      <c r="G15" s="2818">
        <v>42931.199999999997</v>
      </c>
      <c r="H15" s="2817">
        <f t="shared" si="0"/>
        <v>45507.072</v>
      </c>
      <c r="I15" s="2818">
        <f t="shared" si="1"/>
        <v>47327.354879999999</v>
      </c>
      <c r="J15" s="2818">
        <f t="shared" si="1"/>
        <v>49220.449075199998</v>
      </c>
      <c r="K15" s="2818">
        <f t="shared" si="1"/>
        <v>51189.267038208003</v>
      </c>
      <c r="L15" s="2819">
        <v>12</v>
      </c>
      <c r="M15" s="2820">
        <f t="shared" si="2"/>
        <v>49220.449075199998</v>
      </c>
      <c r="N15" s="2821"/>
    </row>
    <row r="16" spans="1:14" ht="15.75" thickBot="1">
      <c r="A16" s="3901"/>
      <c r="B16" s="3902"/>
      <c r="C16" s="3902"/>
      <c r="D16" s="3902"/>
      <c r="E16" s="3902"/>
      <c r="F16" s="2822"/>
      <c r="G16" s="2823"/>
      <c r="H16" s="2823"/>
      <c r="I16" s="2823"/>
      <c r="J16" s="2823"/>
      <c r="K16" s="2823"/>
      <c r="L16" s="2824"/>
      <c r="M16" s="2825">
        <f>SUM(M5:M15)</f>
        <v>339421.97519360005</v>
      </c>
      <c r="N16" s="2826"/>
    </row>
    <row r="17" spans="1:14" ht="15.75" thickBot="1">
      <c r="A17" s="2192"/>
      <c r="B17" s="2192"/>
      <c r="C17" s="2192"/>
      <c r="D17" s="2192"/>
      <c r="E17" s="2192"/>
      <c r="F17" s="2192"/>
      <c r="L17" s="2827"/>
      <c r="M17" s="2827"/>
      <c r="N17" s="2828"/>
    </row>
    <row r="18" spans="1:14" ht="14.25" thickTop="1" thickBot="1">
      <c r="B18" s="2141" t="s">
        <v>2509</v>
      </c>
      <c r="K18" s="2829" t="s">
        <v>2245</v>
      </c>
      <c r="L18" s="2141">
        <v>920000</v>
      </c>
      <c r="M18" s="2830">
        <f>M16</f>
        <v>339421.97519360005</v>
      </c>
    </row>
    <row r="19" spans="1:14" ht="15.75" thickTop="1">
      <c r="B19" s="2141" t="s">
        <v>2510</v>
      </c>
      <c r="H19" s="2492"/>
      <c r="M19" s="2831"/>
    </row>
    <row r="20" spans="1:14" ht="15">
      <c r="H20" s="2492"/>
      <c r="L20" s="2192"/>
      <c r="M20" s="2192"/>
      <c r="N20" s="2737" t="s">
        <v>2511</v>
      </c>
    </row>
    <row r="21" spans="1:14">
      <c r="B21" s="2141" t="s">
        <v>2512</v>
      </c>
      <c r="L21" s="2141" t="s">
        <v>538</v>
      </c>
      <c r="M21" s="2163">
        <f>$M$18*N21</f>
        <v>261843.68854335084</v>
      </c>
      <c r="N21" s="2832">
        <v>0.77144000000000001</v>
      </c>
    </row>
    <row r="22" spans="1:14">
      <c r="B22" s="2141" t="s">
        <v>2513</v>
      </c>
      <c r="C22" s="2492"/>
      <c r="L22" s="2141" t="s">
        <v>2514</v>
      </c>
      <c r="M22" s="2163">
        <f>$M$18*N22</f>
        <v>77578.28665024924</v>
      </c>
      <c r="N22" s="2833">
        <v>0.22856000000000001</v>
      </c>
    </row>
    <row r="23" spans="1:14">
      <c r="C23" s="2492"/>
    </row>
  </sheetData>
  <mergeCells count="13">
    <mergeCell ref="A16:E16"/>
    <mergeCell ref="G3:G4"/>
    <mergeCell ref="H3:H4"/>
    <mergeCell ref="I3:I4"/>
    <mergeCell ref="J3:J4"/>
    <mergeCell ref="K3:K4"/>
    <mergeCell ref="L3:M3"/>
    <mergeCell ref="A3:A4"/>
    <mergeCell ref="B3:B4"/>
    <mergeCell ref="C3:C4"/>
    <mergeCell ref="D3:D4"/>
    <mergeCell ref="E3:E4"/>
    <mergeCell ref="F3:F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24DE-3DCD-4600-8BD2-8ED1B58D505A}">
  <dimension ref="A1:P18"/>
  <sheetViews>
    <sheetView workbookViewId="0"/>
  </sheetViews>
  <sheetFormatPr defaultColWidth="8.85546875" defaultRowHeight="12.75"/>
  <cols>
    <col min="1" max="1" width="12.5703125" style="2141" customWidth="1"/>
    <col min="2" max="2" width="20.7109375" style="2141" customWidth="1"/>
    <col min="3" max="3" width="12" style="2141" customWidth="1"/>
    <col min="4" max="4" width="45.42578125" style="2141" customWidth="1"/>
    <col min="5" max="5" width="14.28515625" style="2141" customWidth="1"/>
    <col min="6" max="6" width="17" style="2141" customWidth="1"/>
    <col min="7" max="9" width="16" style="2141" customWidth="1"/>
    <col min="10" max="10" width="8" style="2141" bestFit="1" customWidth="1"/>
    <col min="11" max="16" width="14.140625" style="2141" customWidth="1"/>
    <col min="17" max="16384" width="8.85546875" style="2141"/>
  </cols>
  <sheetData>
    <row r="1" spans="1:16" ht="19.5" thickBot="1">
      <c r="A1" s="2806" t="s">
        <v>2515</v>
      </c>
      <c r="B1" s="2807"/>
      <c r="C1" s="2807"/>
      <c r="D1" s="2807"/>
      <c r="E1" s="2807"/>
      <c r="F1" s="2807"/>
      <c r="G1" s="2807"/>
      <c r="H1" s="2807"/>
      <c r="I1" s="2807"/>
      <c r="J1" s="2807"/>
      <c r="K1" s="2807"/>
      <c r="L1" s="2807"/>
      <c r="M1" s="2807"/>
      <c r="N1" s="2807"/>
      <c r="O1" s="2807"/>
      <c r="P1" s="2807"/>
    </row>
    <row r="2" spans="1:16" ht="19.5" thickBot="1">
      <c r="A2" s="2809" t="s">
        <v>2488</v>
      </c>
      <c r="B2" s="2808"/>
      <c r="C2" s="2808"/>
      <c r="D2" s="2808"/>
      <c r="E2" s="2808"/>
      <c r="F2" s="2808"/>
      <c r="G2" s="2808"/>
      <c r="H2" s="2808"/>
      <c r="I2" s="2808"/>
      <c r="J2" s="2808"/>
      <c r="K2" s="2808"/>
      <c r="L2" s="2808"/>
      <c r="M2" s="2808"/>
      <c r="N2" s="2808"/>
      <c r="O2" s="2808"/>
      <c r="P2" s="2808"/>
    </row>
    <row r="3" spans="1:16" ht="15">
      <c r="A3" s="3897" t="s">
        <v>2489</v>
      </c>
      <c r="B3" s="3899" t="s">
        <v>2490</v>
      </c>
      <c r="C3" s="3893" t="s">
        <v>2491</v>
      </c>
      <c r="D3" s="3899" t="s">
        <v>2516</v>
      </c>
      <c r="E3" s="3893" t="s">
        <v>2517</v>
      </c>
      <c r="F3" s="3903" t="s">
        <v>2494</v>
      </c>
      <c r="G3" s="3893" t="s">
        <v>2496</v>
      </c>
      <c r="H3" s="3893" t="s">
        <v>2497</v>
      </c>
      <c r="I3" s="3893" t="s">
        <v>2498</v>
      </c>
      <c r="J3" s="3903" t="s">
        <v>937</v>
      </c>
      <c r="K3" s="3905">
        <v>2024</v>
      </c>
      <c r="L3" s="3906"/>
      <c r="M3" s="3895">
        <v>2025</v>
      </c>
      <c r="N3" s="3896"/>
      <c r="O3" s="3905" t="s">
        <v>2518</v>
      </c>
      <c r="P3" s="3906"/>
    </row>
    <row r="4" spans="1:16" ht="15">
      <c r="A4" s="3898"/>
      <c r="B4" s="3900"/>
      <c r="C4" s="3894"/>
      <c r="D4" s="3900"/>
      <c r="E4" s="3894"/>
      <c r="F4" s="3904"/>
      <c r="G4" s="3894"/>
      <c r="H4" s="3894"/>
      <c r="I4" s="3894"/>
      <c r="J4" s="3904"/>
      <c r="K4" s="2811" t="s">
        <v>2519</v>
      </c>
      <c r="L4" s="2811" t="s">
        <v>132</v>
      </c>
      <c r="M4" s="2811" t="s">
        <v>2519</v>
      </c>
      <c r="N4" s="2811" t="s">
        <v>132</v>
      </c>
      <c r="O4" s="2811" t="s">
        <v>2519</v>
      </c>
      <c r="P4" s="2811" t="s">
        <v>132</v>
      </c>
    </row>
    <row r="5" spans="1:16" ht="15">
      <c r="A5" s="2812" t="s">
        <v>2520</v>
      </c>
      <c r="B5" s="2813" t="s">
        <v>2521</v>
      </c>
      <c r="C5" s="2814">
        <v>1</v>
      </c>
      <c r="D5" s="2815" t="s">
        <v>2522</v>
      </c>
      <c r="E5" s="2834">
        <v>45474</v>
      </c>
      <c r="F5" s="2835">
        <v>125000</v>
      </c>
      <c r="G5" s="2818">
        <f>+F5</f>
        <v>125000</v>
      </c>
      <c r="H5" s="2818">
        <f t="shared" ref="H5:I8" si="0">+G5*1.04</f>
        <v>130000</v>
      </c>
      <c r="I5" s="2818">
        <f t="shared" si="0"/>
        <v>135200</v>
      </c>
      <c r="J5" s="2835" t="s">
        <v>958</v>
      </c>
      <c r="K5" s="2836">
        <v>6</v>
      </c>
      <c r="L5" s="2820">
        <f>+(G5/12)*K5</f>
        <v>62500</v>
      </c>
      <c r="M5" s="2819">
        <v>12</v>
      </c>
      <c r="N5" s="2820">
        <f>+(H5/12)*M5</f>
        <v>130000</v>
      </c>
      <c r="O5" s="2819">
        <v>12</v>
      </c>
      <c r="P5" s="2820">
        <f>+((I5/12)*O5)-N5</f>
        <v>5200</v>
      </c>
    </row>
    <row r="6" spans="1:16" ht="15">
      <c r="A6" s="2812" t="s">
        <v>2520</v>
      </c>
      <c r="B6" s="2813" t="s">
        <v>2521</v>
      </c>
      <c r="C6" s="2814">
        <v>2</v>
      </c>
      <c r="D6" s="2815" t="s">
        <v>2523</v>
      </c>
      <c r="E6" s="2834">
        <v>45505</v>
      </c>
      <c r="F6" s="2835">
        <v>125000</v>
      </c>
      <c r="G6" s="2818">
        <f>+F6</f>
        <v>125000</v>
      </c>
      <c r="H6" s="2818">
        <f t="shared" si="0"/>
        <v>130000</v>
      </c>
      <c r="I6" s="2818">
        <f t="shared" si="0"/>
        <v>135200</v>
      </c>
      <c r="J6" s="2835" t="s">
        <v>958</v>
      </c>
      <c r="K6" s="2836">
        <v>5</v>
      </c>
      <c r="L6" s="2820">
        <f>+(G6/12)*K6</f>
        <v>52083.333333333328</v>
      </c>
      <c r="M6" s="2819">
        <v>12</v>
      </c>
      <c r="N6" s="2820">
        <f>+(H6/12)*M6</f>
        <v>130000</v>
      </c>
      <c r="O6" s="2819">
        <v>12</v>
      </c>
      <c r="P6" s="2820">
        <f>+((I6/12)*O6)-N6</f>
        <v>5200</v>
      </c>
    </row>
    <row r="7" spans="1:16" ht="15">
      <c r="A7" s="2812" t="s">
        <v>2520</v>
      </c>
      <c r="B7" s="2813" t="s">
        <v>2521</v>
      </c>
      <c r="C7" s="2814">
        <v>3</v>
      </c>
      <c r="D7" s="2815" t="s">
        <v>2524</v>
      </c>
      <c r="E7" s="2834">
        <v>45352</v>
      </c>
      <c r="F7" s="2835">
        <v>125000</v>
      </c>
      <c r="G7" s="2818">
        <f>+F7</f>
        <v>125000</v>
      </c>
      <c r="H7" s="2818">
        <f t="shared" si="0"/>
        <v>130000</v>
      </c>
      <c r="I7" s="2818">
        <f t="shared" si="0"/>
        <v>135200</v>
      </c>
      <c r="J7" s="2835" t="s">
        <v>958</v>
      </c>
      <c r="K7" s="2836">
        <v>10</v>
      </c>
      <c r="L7" s="2820">
        <f>+(G7/12)*K7</f>
        <v>104166.66666666666</v>
      </c>
      <c r="M7" s="2819">
        <v>12</v>
      </c>
      <c r="N7" s="2820">
        <f>+(H7/12)*M7</f>
        <v>130000</v>
      </c>
      <c r="O7" s="2819">
        <v>12</v>
      </c>
      <c r="P7" s="2820">
        <f>+((I7/12)*O7)-N7</f>
        <v>5200</v>
      </c>
    </row>
    <row r="8" spans="1:16" ht="15">
      <c r="A8" s="2812" t="s">
        <v>2525</v>
      </c>
      <c r="B8" s="2813" t="s">
        <v>2526</v>
      </c>
      <c r="C8" s="2814">
        <v>4</v>
      </c>
      <c r="D8" s="2815" t="s">
        <v>2527</v>
      </c>
      <c r="E8" s="2834">
        <v>45597</v>
      </c>
      <c r="F8" s="2818">
        <v>100000</v>
      </c>
      <c r="G8" s="2818">
        <f>+F8</f>
        <v>100000</v>
      </c>
      <c r="H8" s="2818">
        <f t="shared" si="0"/>
        <v>104000</v>
      </c>
      <c r="I8" s="2818">
        <f t="shared" si="0"/>
        <v>108160</v>
      </c>
      <c r="J8" s="2835" t="s">
        <v>958</v>
      </c>
      <c r="K8" s="2836">
        <v>2</v>
      </c>
      <c r="L8" s="2820">
        <f>+(G8/12)*K8</f>
        <v>16666.666666666668</v>
      </c>
      <c r="M8" s="2819">
        <v>12</v>
      </c>
      <c r="N8" s="2820">
        <f>+(H8/12)*M8</f>
        <v>104000</v>
      </c>
      <c r="O8" s="2819">
        <v>12</v>
      </c>
      <c r="P8" s="2820">
        <f>+((I8/12)*O8)-N8</f>
        <v>4160</v>
      </c>
    </row>
    <row r="9" spans="1:16" ht="15.75" thickBot="1">
      <c r="A9" s="3901" t="s">
        <v>24</v>
      </c>
      <c r="B9" s="3902"/>
      <c r="C9" s="3902"/>
      <c r="D9" s="3902"/>
      <c r="E9" s="3902"/>
      <c r="F9" s="2823">
        <f>SUM(F5:F8)</f>
        <v>475000</v>
      </c>
      <c r="G9" s="2823">
        <f>SUM(G5:G8)</f>
        <v>475000</v>
      </c>
      <c r="H9" s="2823">
        <f>SUM(H5:H8)</f>
        <v>494000</v>
      </c>
      <c r="I9" s="2823">
        <f>SUM(I5:I8)</f>
        <v>513760</v>
      </c>
      <c r="J9" s="2823"/>
      <c r="K9" s="2837"/>
      <c r="L9" s="2838">
        <f>SUM(L5:L8)</f>
        <v>235416.66666666666</v>
      </c>
      <c r="M9" s="2837"/>
      <c r="N9" s="2825">
        <f>SUM(N5:N8)</f>
        <v>494000</v>
      </c>
      <c r="O9" s="2837"/>
      <c r="P9" s="2839">
        <f>SUM(P5:P8)</f>
        <v>19760</v>
      </c>
    </row>
    <row r="10" spans="1:16" ht="15.75" thickBot="1">
      <c r="A10" s="2840" t="s">
        <v>2528</v>
      </c>
      <c r="B10" s="2192"/>
      <c r="C10" s="2192"/>
      <c r="D10" s="2192"/>
      <c r="E10" s="2192"/>
      <c r="G10" s="2841"/>
      <c r="I10" s="2827"/>
      <c r="J10" s="2827"/>
      <c r="K10" s="2842"/>
      <c r="L10" s="2842"/>
      <c r="M10" s="2842"/>
      <c r="N10" s="2842"/>
      <c r="O10" s="2842"/>
      <c r="P10" s="2842"/>
    </row>
    <row r="11" spans="1:16" ht="14.25" thickTop="1" thickBot="1">
      <c r="K11" s="2829" t="s">
        <v>2245</v>
      </c>
      <c r="L11" s="2141">
        <v>920000</v>
      </c>
      <c r="N11" s="2830">
        <f>N9</f>
        <v>494000</v>
      </c>
      <c r="P11" s="2843">
        <f>P9</f>
        <v>19760</v>
      </c>
    </row>
    <row r="12" spans="1:16" ht="13.5" thickTop="1">
      <c r="K12" s="2831"/>
      <c r="L12" s="2831"/>
      <c r="M12" s="2831"/>
      <c r="O12" s="2831"/>
    </row>
    <row r="13" spans="1:16">
      <c r="K13" s="2831"/>
      <c r="L13" s="2831"/>
      <c r="M13" s="2831"/>
      <c r="O13" s="2831"/>
      <c r="P13" s="2829" t="s">
        <v>2529</v>
      </c>
    </row>
    <row r="14" spans="1:16">
      <c r="I14" s="2163"/>
      <c r="K14" s="2831"/>
      <c r="L14" s="2831"/>
      <c r="M14" s="2831"/>
      <c r="O14" s="2831"/>
    </row>
    <row r="15" spans="1:16" ht="15.75" thickBot="1">
      <c r="K15" s="2831"/>
      <c r="L15" s="2192"/>
      <c r="M15" s="2192" t="s">
        <v>2511</v>
      </c>
      <c r="N15" s="2844" t="s">
        <v>517</v>
      </c>
      <c r="O15" s="2192"/>
    </row>
    <row r="16" spans="1:16">
      <c r="L16" s="2141" t="s">
        <v>538</v>
      </c>
      <c r="M16" s="2845">
        <v>0.77144000000000001</v>
      </c>
      <c r="N16" s="2846">
        <f>$N$11*M16</f>
        <v>381091.36</v>
      </c>
    </row>
    <row r="17" spans="3:14" ht="13.5" thickBot="1">
      <c r="C17" s="2492"/>
      <c r="L17" s="2141" t="s">
        <v>2514</v>
      </c>
      <c r="M17" s="2847">
        <v>0.22856000000000001</v>
      </c>
      <c r="N17" s="2848">
        <f>$N$11*M17</f>
        <v>112908.64</v>
      </c>
    </row>
    <row r="18" spans="3:14">
      <c r="C18" s="2492"/>
    </row>
  </sheetData>
  <mergeCells count="14">
    <mergeCell ref="O3:P3"/>
    <mergeCell ref="A9:E9"/>
    <mergeCell ref="G3:G4"/>
    <mergeCell ref="H3:H4"/>
    <mergeCell ref="I3:I4"/>
    <mergeCell ref="J3:J4"/>
    <mergeCell ref="K3:L3"/>
    <mergeCell ref="M3:N3"/>
    <mergeCell ref="A3:A4"/>
    <mergeCell ref="B3:B4"/>
    <mergeCell ref="C3:C4"/>
    <mergeCell ref="D3:D4"/>
    <mergeCell ref="E3:E4"/>
    <mergeCell ref="F3:F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AB6BD-4BB9-42E4-ABDD-568898ACDA96}">
  <dimension ref="A1:BC70"/>
  <sheetViews>
    <sheetView workbookViewId="0">
      <selection sqref="A1:F1"/>
    </sheetView>
  </sheetViews>
  <sheetFormatPr defaultColWidth="8.85546875" defaultRowHeight="12.75"/>
  <cols>
    <col min="1" max="1" width="36.7109375" style="1009" customWidth="1"/>
    <col min="2" max="2" width="4.5703125" style="1009" bestFit="1" customWidth="1"/>
    <col min="3" max="3" width="8.85546875" style="1009"/>
    <col min="4" max="4" width="3.140625" style="1009" customWidth="1"/>
    <col min="5" max="5" width="11.140625" style="1009" customWidth="1"/>
    <col min="6" max="6" width="15.5703125" style="1009" customWidth="1"/>
    <col min="7" max="7" width="12.7109375" style="1009" bestFit="1" customWidth="1"/>
    <col min="8" max="8" width="3" style="1009" customWidth="1"/>
    <col min="9" max="9" width="2.42578125" style="1009" customWidth="1"/>
    <col min="10" max="10" width="15.7109375" style="1009" customWidth="1"/>
    <col min="11" max="11" width="4.5703125" style="1009" customWidth="1"/>
    <col min="12" max="12" width="2.7109375" style="1009" customWidth="1"/>
    <col min="13" max="13" width="12.28515625" style="1009" hidden="1" customWidth="1"/>
    <col min="14" max="14" width="12.140625" style="1009" hidden="1" customWidth="1"/>
    <col min="15" max="15" width="3" style="1009" hidden="1" customWidth="1"/>
    <col min="16" max="16" width="1.85546875" style="1009" hidden="1" customWidth="1"/>
    <col min="17" max="17" width="13.7109375" style="1009" hidden="1" customWidth="1"/>
    <col min="18" max="18" width="8.85546875" style="1009"/>
    <col min="19" max="19" width="12.7109375" style="1009" bestFit="1" customWidth="1"/>
    <col min="20" max="20" width="18.140625" style="1009" customWidth="1"/>
    <col min="21" max="21" width="17.28515625" style="1009" customWidth="1"/>
    <col min="22" max="22" width="8.85546875" style="2141"/>
    <col min="23" max="23" width="1.7109375" style="2142" customWidth="1"/>
    <col min="24" max="24" width="8.85546875" style="2141"/>
    <col min="25" max="25" width="27.42578125" style="2871" customWidth="1"/>
    <col min="26" max="26" width="6.85546875" style="2871" customWidth="1"/>
    <col min="27" max="27" width="11.140625" style="2871" customWidth="1"/>
    <col min="28" max="28" width="13.28515625" style="2871" customWidth="1"/>
    <col min="29" max="29" width="7" style="2871" customWidth="1"/>
    <col min="30" max="30" width="13.7109375" style="2871" customWidth="1"/>
    <col min="31" max="31" width="11.42578125" style="2871" customWidth="1"/>
    <col min="32" max="32" width="7.7109375" style="2871" customWidth="1"/>
    <col min="33" max="33" width="2.7109375" style="2871" customWidth="1"/>
    <col min="34" max="34" width="14" style="2871" customWidth="1"/>
    <col min="35" max="35" width="10.7109375" style="2871" bestFit="1" customWidth="1"/>
    <col min="36" max="36" width="8.140625" style="2871" customWidth="1"/>
    <col min="37" max="37" width="10" style="2871" customWidth="1"/>
    <col min="38" max="38" width="14.42578125" style="2871" bestFit="1" customWidth="1"/>
    <col min="39" max="40" width="5.7109375" style="2871" bestFit="1" customWidth="1"/>
    <col min="41" max="41" width="14.5703125" style="2871" customWidth="1"/>
    <col min="42" max="42" width="13.140625" style="2871" customWidth="1"/>
    <col min="43" max="43" width="11" style="2871" customWidth="1"/>
    <col min="44" max="44" width="5.7109375" style="2871" customWidth="1"/>
    <col min="45" max="45" width="15.42578125" style="2871" customWidth="1"/>
    <col min="46" max="46" width="11.140625" style="2871" customWidth="1"/>
    <col min="47" max="47" width="11.85546875" style="2871" customWidth="1"/>
    <col min="48" max="48" width="10.42578125" style="2871" customWidth="1"/>
    <col min="49" max="49" width="14.42578125" style="2871" customWidth="1"/>
    <col min="50" max="50" width="19.140625" style="2871" customWidth="1"/>
    <col min="51" max="51" width="11.140625" style="2871" customWidth="1"/>
    <col min="52" max="52" width="5.85546875" style="2871" customWidth="1"/>
    <col min="53" max="53" width="15" style="2871" customWidth="1"/>
    <col min="54" max="54" width="12.28515625" style="2871" customWidth="1"/>
    <col min="55" max="55" width="10.42578125" style="2871" bestFit="1" customWidth="1"/>
    <col min="56" max="16384" width="8.85546875" style="2141"/>
  </cols>
  <sheetData>
    <row r="1" spans="1:55" ht="15">
      <c r="A1" s="3907" t="s">
        <v>1204</v>
      </c>
      <c r="B1" s="3907"/>
      <c r="C1" s="3907"/>
      <c r="D1" s="3907"/>
      <c r="E1" s="3907"/>
      <c r="F1" s="3907"/>
      <c r="J1" s="2849"/>
      <c r="K1" s="2849"/>
      <c r="L1" s="2849"/>
      <c r="M1" s="2849"/>
      <c r="N1" s="2849"/>
      <c r="O1" s="2849"/>
      <c r="P1" s="2849"/>
      <c r="Q1" s="2849"/>
      <c r="R1" s="2849"/>
      <c r="S1" s="2849"/>
      <c r="T1" s="2849"/>
      <c r="Y1" s="2850" t="s">
        <v>1204</v>
      </c>
      <c r="Z1" s="2850"/>
      <c r="AA1" s="2850"/>
      <c r="AB1" s="2850"/>
      <c r="AC1" s="2850"/>
      <c r="AD1" s="2850"/>
      <c r="AE1" s="2850"/>
      <c r="AF1" s="2850"/>
      <c r="AG1" s="2850"/>
      <c r="AH1" s="2850"/>
      <c r="AI1" s="2850"/>
      <c r="AJ1" s="2850"/>
      <c r="AK1" s="2850"/>
      <c r="AL1" s="2850"/>
      <c r="AM1" s="2850"/>
      <c r="AN1" s="2850"/>
      <c r="AO1" s="2850"/>
      <c r="AP1" s="2850"/>
      <c r="AQ1" s="2850"/>
      <c r="AR1" s="2850"/>
      <c r="AS1" s="2850"/>
      <c r="AT1" s="2850"/>
      <c r="AU1" s="2850"/>
      <c r="AV1" s="2850"/>
      <c r="AW1" s="2850"/>
      <c r="AX1" s="2851"/>
      <c r="AY1" s="2851"/>
      <c r="AZ1" s="2851"/>
      <c r="BA1" s="2851"/>
      <c r="BB1" s="2851"/>
      <c r="BC1" s="2851"/>
    </row>
    <row r="2" spans="1:55" ht="15">
      <c r="A2" s="3907" t="s">
        <v>2530</v>
      </c>
      <c r="B2" s="3907"/>
      <c r="C2" s="3907"/>
      <c r="D2" s="3907"/>
      <c r="E2" s="3907"/>
      <c r="F2" s="3907"/>
      <c r="Y2" s="2850" t="s">
        <v>80</v>
      </c>
      <c r="Z2" s="2850"/>
      <c r="AA2" s="2850"/>
      <c r="AB2" s="2850"/>
      <c r="AC2" s="2850"/>
      <c r="AD2" s="2850"/>
      <c r="AE2" s="2850"/>
      <c r="AF2" s="2850"/>
      <c r="AG2" s="2852"/>
      <c r="AH2" s="2852"/>
      <c r="AI2" s="2852"/>
      <c r="AJ2" s="2850"/>
      <c r="AK2" s="2852"/>
      <c r="AL2" s="2852"/>
      <c r="AM2" s="2852"/>
      <c r="AN2" s="2850"/>
      <c r="AO2" s="3908" t="s">
        <v>2531</v>
      </c>
      <c r="AP2" s="3908"/>
      <c r="AQ2" s="3908"/>
      <c r="AR2" s="3908"/>
      <c r="AS2" s="3908"/>
      <c r="AT2" s="2850">
        <f>20-2.7</f>
        <v>17.3</v>
      </c>
      <c r="AU2" s="2850"/>
      <c r="AV2" s="2850"/>
      <c r="AW2" s="2850"/>
      <c r="AX2" s="2851"/>
      <c r="AY2" s="2851"/>
      <c r="AZ2" s="2851"/>
      <c r="BA2" s="2851"/>
      <c r="BB2" s="2851"/>
      <c r="BC2" s="2851"/>
    </row>
    <row r="3" spans="1:55" ht="39.75" thickBot="1">
      <c r="A3" s="3907" t="s">
        <v>2532</v>
      </c>
      <c r="B3" s="3907"/>
      <c r="C3" s="3907"/>
      <c r="D3" s="3907"/>
      <c r="E3" s="3907"/>
      <c r="F3" s="3907"/>
      <c r="Y3" s="2850" t="s">
        <v>2533</v>
      </c>
      <c r="Z3" s="2850"/>
      <c r="AA3" s="2850"/>
      <c r="AB3" s="2850"/>
      <c r="AC3" s="2850"/>
      <c r="AD3" s="2850"/>
      <c r="AE3" s="2850"/>
      <c r="AF3" s="2850"/>
      <c r="AG3" s="2852"/>
      <c r="AH3" s="2852"/>
      <c r="AI3" s="2852"/>
      <c r="AJ3" s="2850"/>
      <c r="AK3" s="2852"/>
      <c r="AL3" s="2853"/>
      <c r="AM3" s="2852"/>
      <c r="AN3" s="2850"/>
      <c r="AO3" s="3908"/>
      <c r="AP3" s="3908"/>
      <c r="AQ3" s="3908"/>
      <c r="AR3" s="3908"/>
      <c r="AS3" s="3908"/>
      <c r="AT3" s="2853"/>
      <c r="AU3" s="2850"/>
      <c r="AV3" s="2850"/>
      <c r="AW3" s="2853"/>
      <c r="AX3" s="2851"/>
      <c r="AY3" s="2851"/>
      <c r="AZ3" s="2851"/>
      <c r="BA3" s="2853"/>
      <c r="BB3" s="2851"/>
      <c r="BC3" s="2851"/>
    </row>
    <row r="4" spans="1:55" ht="27.75">
      <c r="A4" s="2854"/>
      <c r="B4" s="2854"/>
      <c r="C4" s="2851"/>
      <c r="D4" s="2851"/>
      <c r="E4" s="3909"/>
      <c r="F4" s="3909"/>
      <c r="K4" s="2855"/>
      <c r="Y4" s="2850" t="s">
        <v>2534</v>
      </c>
      <c r="Z4" s="2850"/>
      <c r="AA4" s="2850"/>
      <c r="AB4" s="2850"/>
      <c r="AC4" s="2850"/>
      <c r="AD4" s="2850"/>
      <c r="AE4" s="2850"/>
      <c r="AF4" s="2850"/>
      <c r="AG4" s="2852"/>
      <c r="AH4" s="3910" t="s">
        <v>2535</v>
      </c>
      <c r="AI4" s="3911"/>
      <c r="AJ4" s="2856"/>
      <c r="AK4" s="2857"/>
      <c r="AL4" s="2853"/>
      <c r="AM4" s="2852"/>
      <c r="AN4" s="2850"/>
      <c r="AO4" s="2858">
        <v>15534129</v>
      </c>
      <c r="AP4" s="2859" t="s">
        <v>2148</v>
      </c>
      <c r="AQ4" s="2860">
        <v>8271330.3067396097</v>
      </c>
      <c r="AR4" s="2853"/>
      <c r="AS4" s="2861">
        <f>(20000000-AL11)/AL11</f>
        <v>1.3002808235240391</v>
      </c>
      <c r="AT4" s="2862">
        <f>(20000000-AA11)/AA11</f>
        <v>6.2737641829221644</v>
      </c>
      <c r="AU4" s="2863"/>
      <c r="AV4" s="2850"/>
      <c r="AW4" s="2853"/>
      <c r="AX4" s="2851"/>
      <c r="AY4" s="2851"/>
      <c r="AZ4" s="2851"/>
      <c r="BA4" s="2853"/>
      <c r="BB4" s="2851"/>
      <c r="BC4" s="2851"/>
    </row>
    <row r="5" spans="1:55" ht="16.5" thickBot="1">
      <c r="A5" s="2854"/>
      <c r="B5" s="2864"/>
      <c r="C5" s="2864"/>
      <c r="D5" s="2851"/>
      <c r="E5" s="2851"/>
      <c r="F5" s="2865"/>
      <c r="K5" s="2855"/>
      <c r="M5" s="2865">
        <v>9.2024000000000008</v>
      </c>
      <c r="Y5" s="2866"/>
      <c r="Z5" s="2866"/>
      <c r="AA5" s="3912"/>
      <c r="AB5" s="3912"/>
      <c r="AC5" s="3912"/>
      <c r="AD5" s="2867"/>
      <c r="AE5" s="2867"/>
      <c r="AF5" s="2867"/>
      <c r="AG5" s="2852"/>
      <c r="AH5" s="2868"/>
      <c r="AI5" s="3913" t="s">
        <v>2536</v>
      </c>
      <c r="AJ5" s="2869">
        <f>(AL11-AA11)/AA11</f>
        <v>2.162120080529442</v>
      </c>
      <c r="AK5" s="2870"/>
      <c r="AL5" s="2853"/>
      <c r="AM5" s="2852"/>
      <c r="AO5" s="2872"/>
      <c r="AP5" s="2873" t="s">
        <v>2149</v>
      </c>
      <c r="AQ5" s="2874">
        <v>1745966.9614898348</v>
      </c>
      <c r="AR5" s="2853"/>
      <c r="AS5" s="3908" t="s">
        <v>2537</v>
      </c>
      <c r="AT5" s="3908"/>
      <c r="AU5" s="3915"/>
      <c r="AW5" s="2853"/>
      <c r="BA5" s="2853"/>
    </row>
    <row r="6" spans="1:55" ht="30.75" thickBot="1">
      <c r="A6" s="2875" t="s">
        <v>2538</v>
      </c>
      <c r="B6" s="2876"/>
      <c r="C6" s="2877"/>
      <c r="D6" s="2878"/>
      <c r="E6" s="2879" t="s">
        <v>2539</v>
      </c>
      <c r="F6" s="2880">
        <f>'G-3.12 PF Ins'!AL26</f>
        <v>14587489.671450399</v>
      </c>
      <c r="G6" s="2881"/>
      <c r="H6" s="2882"/>
      <c r="K6" s="2855"/>
      <c r="M6" s="2883">
        <f>F8</f>
        <v>23634725.956748988</v>
      </c>
      <c r="O6" s="2882"/>
      <c r="U6" s="2884"/>
      <c r="Y6" s="2885" t="s">
        <v>2540</v>
      </c>
      <c r="Z6" s="2866"/>
      <c r="AA6" s="2866"/>
      <c r="AB6" s="2866"/>
      <c r="AC6" s="2866"/>
      <c r="AD6" s="2866"/>
      <c r="AE6" s="2866"/>
      <c r="AF6" s="2866"/>
      <c r="AG6" s="2866"/>
      <c r="AH6" s="2886"/>
      <c r="AI6" s="3914"/>
      <c r="AJ6" s="2887"/>
      <c r="AK6" s="2888"/>
      <c r="AL6" s="2866"/>
      <c r="AM6" s="2866"/>
      <c r="AN6" s="2866"/>
      <c r="AO6" s="2866"/>
      <c r="AP6" s="2866"/>
      <c r="AQ6" s="2866"/>
      <c r="AR6" s="2866"/>
      <c r="AS6" s="3908"/>
      <c r="AT6" s="3908"/>
      <c r="AU6" s="3915"/>
      <c r="AV6" s="2885"/>
      <c r="AW6" s="2866"/>
      <c r="AX6" s="2866"/>
      <c r="AY6" s="2866"/>
      <c r="AZ6" s="2866"/>
      <c r="BA6" s="2866"/>
      <c r="BB6" s="2866"/>
      <c r="BC6" s="2866"/>
    </row>
    <row r="7" spans="1:55" ht="15">
      <c r="A7" s="2875"/>
      <c r="B7" s="2876"/>
      <c r="C7" s="2889"/>
      <c r="D7" s="2878"/>
      <c r="E7" s="2851"/>
      <c r="F7" s="2851"/>
      <c r="H7" s="2878"/>
      <c r="K7" s="2855"/>
      <c r="O7" s="2878"/>
      <c r="U7" s="2884"/>
      <c r="Y7" s="2866"/>
      <c r="Z7" s="2866"/>
      <c r="AA7" s="2890"/>
      <c r="AB7" s="2890"/>
      <c r="AC7" s="2890"/>
      <c r="AD7" s="2890"/>
      <c r="AE7" s="2890"/>
      <c r="AF7" s="2890"/>
      <c r="AG7" s="2891"/>
      <c r="AH7" s="2866"/>
      <c r="AI7" s="2866"/>
      <c r="AJ7" s="2866"/>
      <c r="AK7" s="2891"/>
      <c r="AL7" s="2866"/>
      <c r="AM7" s="2866"/>
      <c r="AN7" s="2866"/>
      <c r="AO7" s="2866" t="s">
        <v>2541</v>
      </c>
      <c r="AP7" s="2866"/>
      <c r="AQ7" s="2892">
        <v>45214</v>
      </c>
      <c r="AR7" s="2891"/>
      <c r="AS7" s="2866" t="s">
        <v>2541</v>
      </c>
      <c r="AT7" s="2866"/>
      <c r="AU7" s="2892">
        <v>45214</v>
      </c>
      <c r="AV7" s="2866"/>
      <c r="AW7" s="2866" t="s">
        <v>2541</v>
      </c>
      <c r="AX7" s="2866"/>
      <c r="AY7" s="2892">
        <v>45214</v>
      </c>
      <c r="AZ7" s="2866"/>
      <c r="BA7" s="2866" t="s">
        <v>2541</v>
      </c>
      <c r="BB7" s="2866"/>
      <c r="BC7" s="2892">
        <v>45214</v>
      </c>
    </row>
    <row r="8" spans="1:55" ht="15.75">
      <c r="A8" s="2875" t="s">
        <v>2542</v>
      </c>
      <c r="B8" s="2876"/>
      <c r="C8" s="2893"/>
      <c r="D8" s="2878"/>
      <c r="E8" s="2894" t="s">
        <v>2543</v>
      </c>
      <c r="F8" s="2895">
        <f>'G-3.12 PF Ins'!AW26</f>
        <v>23634725.956748988</v>
      </c>
      <c r="G8" s="2881"/>
      <c r="H8" s="2896"/>
      <c r="K8" s="2855"/>
      <c r="M8" s="2897">
        <f>'G-3.12 PF Ins'!AT27</f>
        <v>21470999.575468473</v>
      </c>
      <c r="O8" s="2896"/>
      <c r="U8" s="2883"/>
      <c r="Y8" s="2866"/>
      <c r="Z8" s="2866"/>
      <c r="AA8" s="3916" t="s">
        <v>2544</v>
      </c>
      <c r="AB8" s="3917"/>
      <c r="AC8" s="3918"/>
      <c r="AD8" s="3916" t="s">
        <v>2545</v>
      </c>
      <c r="AE8" s="3917"/>
      <c r="AF8" s="3918"/>
      <c r="AG8" s="2898"/>
      <c r="AH8" s="2899">
        <v>44926</v>
      </c>
      <c r="AI8" s="2899"/>
      <c r="AJ8" s="2899"/>
      <c r="AK8" s="2898"/>
      <c r="AL8" s="2899">
        <v>45107</v>
      </c>
      <c r="AM8" s="2899"/>
      <c r="AN8" s="2899"/>
      <c r="AO8" s="3919" t="s">
        <v>2546</v>
      </c>
      <c r="AP8" s="3920"/>
      <c r="AQ8" s="3921"/>
      <c r="AR8" s="2900"/>
      <c r="AS8" s="3919" t="s">
        <v>2547</v>
      </c>
      <c r="AT8" s="3920"/>
      <c r="AU8" s="3921"/>
      <c r="AV8" s="2901"/>
      <c r="AW8" s="3919" t="s">
        <v>2548</v>
      </c>
      <c r="AX8" s="3920"/>
      <c r="AY8" s="3921"/>
      <c r="AZ8" s="2866"/>
      <c r="BA8" s="3919" t="s">
        <v>2549</v>
      </c>
      <c r="BB8" s="3920"/>
      <c r="BC8" s="3921"/>
    </row>
    <row r="9" spans="1:55" ht="24.75">
      <c r="A9" s="2854"/>
      <c r="B9" s="2876"/>
      <c r="C9" s="2889"/>
      <c r="D9" s="2878"/>
      <c r="E9" s="2851"/>
      <c r="F9" s="2851"/>
      <c r="H9" s="2878"/>
      <c r="K9" s="2855"/>
      <c r="O9" s="2878"/>
      <c r="Y9" s="2902" t="s">
        <v>2550</v>
      </c>
      <c r="Z9" s="2902"/>
      <c r="AA9" s="2903" t="s">
        <v>2551</v>
      </c>
      <c r="AB9" s="2904" t="s">
        <v>2552</v>
      </c>
      <c r="AC9" s="2905" t="s">
        <v>2553</v>
      </c>
      <c r="AD9" s="2903" t="s">
        <v>2551</v>
      </c>
      <c r="AE9" s="2906" t="s">
        <v>2552</v>
      </c>
      <c r="AF9" s="2907" t="s">
        <v>2553</v>
      </c>
      <c r="AG9" s="2907"/>
      <c r="AH9" s="2903" t="s">
        <v>2551</v>
      </c>
      <c r="AI9" s="2906"/>
      <c r="AJ9" s="2906"/>
      <c r="AK9" s="2907"/>
      <c r="AL9" s="2908" t="s">
        <v>2551</v>
      </c>
      <c r="AM9" s="2906"/>
      <c r="AN9" s="2906"/>
      <c r="AO9" s="2903" t="s">
        <v>2551</v>
      </c>
      <c r="AP9" s="2904" t="s">
        <v>2552</v>
      </c>
      <c r="AQ9" s="2905" t="s">
        <v>2553</v>
      </c>
      <c r="AR9" s="2907"/>
      <c r="AS9" s="2903" t="s">
        <v>2551</v>
      </c>
      <c r="AT9" s="2906" t="s">
        <v>2552</v>
      </c>
      <c r="AU9" s="2907" t="s">
        <v>2553</v>
      </c>
      <c r="AV9" s="2909"/>
      <c r="AW9" s="2908" t="s">
        <v>2551</v>
      </c>
      <c r="AX9" s="2904" t="s">
        <v>2552</v>
      </c>
      <c r="AY9" s="2905" t="s">
        <v>2553</v>
      </c>
      <c r="AZ9" s="2901"/>
      <c r="BA9" s="2903" t="s">
        <v>2551</v>
      </c>
      <c r="BB9" s="2904" t="s">
        <v>2552</v>
      </c>
      <c r="BC9" s="2905" t="s">
        <v>2553</v>
      </c>
    </row>
    <row r="10" spans="1:55" ht="15.75" thickBot="1">
      <c r="A10" s="2854" t="s">
        <v>2554</v>
      </c>
      <c r="B10" s="2876"/>
      <c r="C10" s="2889"/>
      <c r="D10" s="2878"/>
      <c r="E10" s="2851"/>
      <c r="F10" s="2910">
        <f>F8-F6</f>
        <v>9047236.2852985896</v>
      </c>
      <c r="H10" s="2896"/>
      <c r="K10" s="2855"/>
      <c r="M10" s="2910">
        <f>M8-M6</f>
        <v>-2163726.3812805153</v>
      </c>
      <c r="O10" s="2896"/>
      <c r="U10" s="2883"/>
      <c r="AA10" s="2867"/>
      <c r="AB10" s="2867"/>
      <c r="AC10" s="2867"/>
      <c r="AD10" s="2911"/>
      <c r="AE10" s="2911"/>
      <c r="AF10" s="2911"/>
      <c r="AG10" s="2911"/>
      <c r="AK10" s="2911"/>
      <c r="AS10" s="2912"/>
      <c r="AT10" s="2912"/>
      <c r="AU10" s="2912"/>
    </row>
    <row r="11" spans="1:55" ht="15">
      <c r="A11" s="2854"/>
      <c r="B11" s="2854"/>
      <c r="C11" s="2851"/>
      <c r="D11" s="2878"/>
      <c r="E11" s="2851"/>
      <c r="F11" s="2851"/>
      <c r="H11" s="2878"/>
      <c r="K11" s="2855"/>
      <c r="O11" s="2878"/>
      <c r="U11" s="2883"/>
      <c r="Y11" s="2866" t="s">
        <v>2535</v>
      </c>
      <c r="Z11" s="2866"/>
      <c r="AA11" s="2913">
        <v>2749607.9742256906</v>
      </c>
      <c r="AB11" s="2914">
        <v>2981117.1661600005</v>
      </c>
      <c r="AC11" s="2915" t="s">
        <v>1740</v>
      </c>
      <c r="AD11" s="2913">
        <v>5551297.6332862293</v>
      </c>
      <c r="AE11" s="2914">
        <v>5806260.457470228</v>
      </c>
      <c r="AF11" s="2915" t="s">
        <v>1740</v>
      </c>
      <c r="AG11" s="2915"/>
      <c r="AH11" s="2913">
        <v>8552657.184728371</v>
      </c>
      <c r="AI11" s="2914" t="s">
        <v>1740</v>
      </c>
      <c r="AJ11" s="2916">
        <f>(AO11-AH11)/AH11</f>
        <v>6.532367853200384E-2</v>
      </c>
      <c r="AK11" s="2915"/>
      <c r="AL11" s="2913">
        <v>8694590.5888829362</v>
      </c>
      <c r="AM11" s="2914" t="s">
        <v>1740</v>
      </c>
      <c r="AN11" s="2916">
        <f>(AS11-AL11)/AL11</f>
        <v>0.67486800678563508</v>
      </c>
      <c r="AO11" s="2913">
        <v>9111348.2132580001</v>
      </c>
      <c r="AP11" s="2914">
        <v>9360680.1660639998</v>
      </c>
      <c r="AQ11" s="2917" t="s">
        <v>1740</v>
      </c>
      <c r="AR11" s="2916">
        <f>(AS11-AO11)/AO11</f>
        <v>0.59825870645902768</v>
      </c>
      <c r="AS11" s="2918">
        <v>14562291.609419504</v>
      </c>
      <c r="AT11" s="2919">
        <v>14822938.225620503</v>
      </c>
      <c r="AU11" s="2915" t="s">
        <v>2555</v>
      </c>
      <c r="AV11" s="2916">
        <f>(AW11-AS11)/AS11</f>
        <v>0.11279518967343687</v>
      </c>
      <c r="AW11" s="2920">
        <v>16204848.053583875</v>
      </c>
      <c r="AX11" s="2921">
        <v>16465495.512782231</v>
      </c>
      <c r="AY11" s="2871" t="s">
        <v>2555</v>
      </c>
      <c r="AZ11" s="2916">
        <f>(BA11-AW11)/AW11</f>
        <v>9.9070230324310574E-2</v>
      </c>
      <c r="BA11" s="2920">
        <v>17810266.082622886</v>
      </c>
      <c r="BB11" s="2921">
        <v>18070912.698823884</v>
      </c>
      <c r="BC11" s="2871" t="s">
        <v>2555</v>
      </c>
    </row>
    <row r="12" spans="1:55" ht="75.75" thickBot="1">
      <c r="A12" s="2922"/>
      <c r="B12" s="2922"/>
      <c r="C12" s="2923"/>
      <c r="D12" s="2924"/>
      <c r="E12" s="2922"/>
      <c r="F12" s="2925" t="s">
        <v>2556</v>
      </c>
      <c r="G12" s="2925" t="s">
        <v>2557</v>
      </c>
      <c r="H12" s="2926"/>
      <c r="J12" s="2925" t="s">
        <v>2558</v>
      </c>
      <c r="K12" s="2927"/>
      <c r="L12" s="1861"/>
      <c r="M12" s="2925" t="s">
        <v>2559</v>
      </c>
      <c r="N12" s="2928" t="s">
        <v>2557</v>
      </c>
      <c r="O12" s="2926"/>
      <c r="Q12" s="2925" t="s">
        <v>2560</v>
      </c>
      <c r="AA12" s="2867"/>
      <c r="AB12" s="2867"/>
      <c r="AC12" s="2867"/>
      <c r="AD12" s="2911"/>
      <c r="AE12" s="2911"/>
      <c r="AF12" s="2911"/>
      <c r="AG12" s="2911"/>
      <c r="AK12" s="2911"/>
      <c r="AR12" s="2929"/>
      <c r="AV12" s="2929"/>
      <c r="AW12" s="2921"/>
      <c r="AZ12" s="2929"/>
    </row>
    <row r="13" spans="1:55" ht="15.75" thickBot="1">
      <c r="A13" s="2930" t="s">
        <v>2561</v>
      </c>
      <c r="B13" s="2930"/>
      <c r="C13" s="2931"/>
      <c r="D13" s="2932"/>
      <c r="E13" s="2931"/>
      <c r="F13" s="2933">
        <f>F10-G13</f>
        <v>4023092.0644489527</v>
      </c>
      <c r="G13" s="2934">
        <f>'G-3.12 PF Ins'!AY30</f>
        <v>5024144.2208496369</v>
      </c>
      <c r="H13" s="2935"/>
      <c r="J13" s="2936">
        <f>F13+G13</f>
        <v>9047236.2852985896</v>
      </c>
      <c r="K13" s="2937"/>
      <c r="L13" s="2883"/>
      <c r="M13" s="2883">
        <f>'G-3.12 PF Ins'!AU32</f>
        <v>0</v>
      </c>
      <c r="N13" s="2938">
        <f>'G-3.12 PF Ins'!AU30</f>
        <v>0</v>
      </c>
      <c r="O13" s="2935"/>
      <c r="Q13" s="2936">
        <f>M13+N13</f>
        <v>0</v>
      </c>
      <c r="Y13" s="2866" t="s">
        <v>2562</v>
      </c>
      <c r="Z13" s="2866"/>
      <c r="AA13" s="2913">
        <v>894645.61195616436</v>
      </c>
      <c r="AB13" s="2914">
        <v>1279676.3480219177</v>
      </c>
      <c r="AC13" s="2915" t="s">
        <v>1740</v>
      </c>
      <c r="AD13" s="2913">
        <v>1041330.8357008218</v>
      </c>
      <c r="AE13" s="2914">
        <v>1391964.4578378082</v>
      </c>
      <c r="AF13" s="2915" t="s">
        <v>1740</v>
      </c>
      <c r="AG13" s="2915"/>
      <c r="AH13" s="2913">
        <v>1195577.7276346576</v>
      </c>
      <c r="AI13" s="2914" t="s">
        <v>1740</v>
      </c>
      <c r="AJ13" s="2916">
        <f>(AO13-AH13)/AH13</f>
        <v>-2.4395654700474571E-4</v>
      </c>
      <c r="AK13" s="2915"/>
      <c r="AL13" s="2913">
        <v>1195504.8103811303</v>
      </c>
      <c r="AM13" s="2914" t="s">
        <v>1740</v>
      </c>
      <c r="AN13" s="2916">
        <f>(AS13-AL13)/AL13</f>
        <v>8.4161848457784075E-3</v>
      </c>
      <c r="AO13" s="2913">
        <v>1195286.0586205481</v>
      </c>
      <c r="AP13" s="2914">
        <v>1438518.1805383561</v>
      </c>
      <c r="AQ13" s="2917" t="s">
        <v>1740</v>
      </c>
      <c r="AR13" s="2916">
        <f>(AS13-AO13)/AO13</f>
        <v>8.6007371663243265E-3</v>
      </c>
      <c r="AS13" s="2918">
        <v>1205566.3998493152</v>
      </c>
      <c r="AT13" s="2919">
        <v>1450965.285671233</v>
      </c>
      <c r="AU13" s="2915" t="s">
        <v>2555</v>
      </c>
      <c r="AV13" s="2916">
        <f>(AW13-AS13)/AS13</f>
        <v>-5.3895199491848971E-3</v>
      </c>
      <c r="AW13" s="2920">
        <v>1199068.9756872603</v>
      </c>
      <c r="AX13" s="2921">
        <v>1435762.4122180822</v>
      </c>
      <c r="AY13" s="2871" t="s">
        <v>2555</v>
      </c>
      <c r="AZ13" s="2916">
        <f>(BA13-AW13)/AW13</f>
        <v>-5.3355377274102479E-3</v>
      </c>
      <c r="BA13" s="2920">
        <v>1192671.2979297137</v>
      </c>
      <c r="BB13" s="2921">
        <v>1421094.5576339946</v>
      </c>
      <c r="BC13" s="2871" t="s">
        <v>2555</v>
      </c>
    </row>
    <row r="14" spans="1:55" ht="15.75" thickTop="1">
      <c r="A14" s="2939" t="s">
        <v>2563</v>
      </c>
      <c r="B14" s="2931"/>
      <c r="C14" s="2931"/>
      <c r="D14" s="2932"/>
      <c r="E14" s="2931"/>
      <c r="F14" s="2931"/>
      <c r="G14" s="2938"/>
      <c r="H14" s="2932"/>
      <c r="K14" s="2855"/>
      <c r="O14" s="2932"/>
      <c r="AA14" s="2867"/>
      <c r="AB14" s="2867"/>
      <c r="AC14" s="2867"/>
      <c r="AD14" s="2911"/>
      <c r="AE14" s="2911"/>
      <c r="AF14" s="2911"/>
      <c r="AG14" s="2911"/>
      <c r="AK14" s="2911"/>
      <c r="AR14" s="2929"/>
      <c r="AV14" s="2929"/>
      <c r="AW14" s="2921"/>
      <c r="AZ14" s="2929"/>
    </row>
    <row r="15" spans="1:55" ht="15">
      <c r="A15" s="2940" t="s">
        <v>2470</v>
      </c>
      <c r="B15" s="2940"/>
      <c r="C15" s="2931"/>
      <c r="D15" s="2932"/>
      <c r="E15" s="2931"/>
      <c r="F15" s="2931"/>
      <c r="G15" s="2938"/>
      <c r="H15" s="2932"/>
      <c r="K15" s="2855"/>
      <c r="O15" s="2932"/>
      <c r="Y15" s="2866" t="s">
        <v>10</v>
      </c>
      <c r="Z15" s="2866"/>
      <c r="AA15" s="2913">
        <v>1762594.7502783902</v>
      </c>
      <c r="AB15" s="2914">
        <v>1792894.2931367236</v>
      </c>
      <c r="AC15" s="2915" t="s">
        <v>1740</v>
      </c>
      <c r="AD15" s="2913">
        <v>2210376.3658224167</v>
      </c>
      <c r="AE15" s="2914">
        <v>2265607.1283510835</v>
      </c>
      <c r="AF15" s="2915" t="s">
        <v>1740</v>
      </c>
      <c r="AG15" s="2915"/>
      <c r="AH15" s="2913">
        <v>2709827.2793219676</v>
      </c>
      <c r="AI15" s="2914" t="s">
        <v>1740</v>
      </c>
      <c r="AJ15" s="2916">
        <f>(AO15-AH15)/AH15</f>
        <v>0.10154149694526476</v>
      </c>
      <c r="AK15" s="2915"/>
      <c r="AL15" s="2913">
        <v>2853718.3493644134</v>
      </c>
      <c r="AM15" s="2914" t="s">
        <v>1740</v>
      </c>
      <c r="AN15" s="2916">
        <f>(AS15-AL15)/AL15</f>
        <v>0.25728226954070088</v>
      </c>
      <c r="AO15" s="2913">
        <v>2984987.1977274343</v>
      </c>
      <c r="AP15" s="2914">
        <v>3110559.8384863511</v>
      </c>
      <c r="AQ15" s="2917" t="s">
        <v>1740</v>
      </c>
      <c r="AR15" s="2916">
        <f>(AS15-AO15)/AO15</f>
        <v>0.20199158162233904</v>
      </c>
      <c r="AS15" s="2918">
        <v>3587929.4829188325</v>
      </c>
      <c r="AT15" s="2919">
        <v>3674844.4829188325</v>
      </c>
      <c r="AU15" s="2941" t="s">
        <v>2555</v>
      </c>
      <c r="AV15" s="2916">
        <f>(AW15-AS15)/AS15</f>
        <v>0.10148639070459049</v>
      </c>
      <c r="AW15" s="2920">
        <v>3952055.4962428524</v>
      </c>
      <c r="AX15" s="2921">
        <v>4038970.4962428524</v>
      </c>
      <c r="AY15" s="2871" t="s">
        <v>2555</v>
      </c>
      <c r="AZ15" s="2916">
        <f>(BA15-AW15)/AW15</f>
        <v>6.882149002577978E-2</v>
      </c>
      <c r="BA15" s="2920">
        <v>4224041.8441588581</v>
      </c>
      <c r="BB15" s="2921">
        <v>4310956.8441588581</v>
      </c>
      <c r="BC15" s="2871" t="s">
        <v>2555</v>
      </c>
    </row>
    <row r="16" spans="1:55" ht="15.75" thickBot="1">
      <c r="A16" s="2930">
        <v>0.70111999999999997</v>
      </c>
      <c r="B16" s="2930"/>
      <c r="C16" s="2931" t="s">
        <v>2398</v>
      </c>
      <c r="D16" s="2932"/>
      <c r="E16" s="2931"/>
      <c r="F16" s="2931"/>
      <c r="G16" s="2938"/>
      <c r="H16" s="2932"/>
      <c r="K16" s="2855"/>
      <c r="O16" s="2932"/>
      <c r="U16" s="2942"/>
      <c r="AA16" s="2867"/>
      <c r="AB16" s="2867"/>
      <c r="AC16" s="2867"/>
      <c r="AD16" s="2911"/>
      <c r="AE16" s="2911"/>
      <c r="AF16" s="2911"/>
      <c r="AG16" s="2911"/>
      <c r="AK16" s="2911"/>
      <c r="AR16" s="2929"/>
      <c r="AV16" s="2929"/>
      <c r="AW16" s="2921"/>
      <c r="AZ16" s="2929"/>
    </row>
    <row r="17" spans="1:55" ht="15.75" thickBot="1">
      <c r="A17" s="2943">
        <v>0.66942999999999997</v>
      </c>
      <c r="B17" s="2930"/>
      <c r="C17" s="2931" t="s">
        <v>2399</v>
      </c>
      <c r="D17" s="2932"/>
      <c r="E17" s="2931"/>
      <c r="F17" s="2944">
        <f>((F13)*$A$16*$A$17)</f>
        <v>1888241.324436032</v>
      </c>
      <c r="G17" s="2945">
        <f>'G-3.12 PF Ins'!AY28</f>
        <v>3371334.4525925973</v>
      </c>
      <c r="H17" s="2946"/>
      <c r="J17" s="2947">
        <f>F17+G17</f>
        <v>5259575.7770286296</v>
      </c>
      <c r="K17" s="2937"/>
      <c r="L17" s="2883"/>
      <c r="M17" s="2938">
        <f>M13*A16*A17</f>
        <v>0</v>
      </c>
      <c r="N17" s="2938">
        <f>'G-3.12 PF Ins'!AU28</f>
        <v>0</v>
      </c>
      <c r="O17" s="2946"/>
      <c r="Q17" s="2883">
        <f>M17+N17</f>
        <v>0</v>
      </c>
      <c r="T17" s="2948"/>
      <c r="U17" s="2942"/>
      <c r="Y17" s="2866" t="s">
        <v>2564</v>
      </c>
      <c r="Z17" s="2866"/>
      <c r="AA17" s="2913">
        <v>331524.54666666669</v>
      </c>
      <c r="AB17" s="2914">
        <v>331524.54666666669</v>
      </c>
      <c r="AC17" s="2915" t="s">
        <v>1740</v>
      </c>
      <c r="AD17" s="2913">
        <v>415425.53038251365</v>
      </c>
      <c r="AE17" s="2914">
        <v>415425.53038251365</v>
      </c>
      <c r="AF17" s="2915" t="s">
        <v>1740</v>
      </c>
      <c r="AG17" s="2915"/>
      <c r="AH17" s="2913">
        <v>643833.78244299721</v>
      </c>
      <c r="AI17" s="2914" t="s">
        <v>1740</v>
      </c>
      <c r="AJ17" s="2916">
        <f>(AO17-AH17)/AH17</f>
        <v>0.2541363626353107</v>
      </c>
      <c r="AK17" s="2915"/>
      <c r="AL17" s="2913">
        <v>742959.38282191788</v>
      </c>
      <c r="AM17" s="2914" t="s">
        <v>1740</v>
      </c>
      <c r="AN17" s="2916">
        <f>(AS17-AL17)/AL17</f>
        <v>0.12009587617688439</v>
      </c>
      <c r="AO17" s="2913">
        <v>807455.35805479449</v>
      </c>
      <c r="AP17" s="2914">
        <v>807455.35805479449</v>
      </c>
      <c r="AQ17" s="2917" t="s">
        <v>1740</v>
      </c>
      <c r="AR17" s="2916">
        <f>(AS17-AO17)/AO17</f>
        <v>3.0627554284283629E-2</v>
      </c>
      <c r="AS17" s="2918">
        <v>832185.74086575338</v>
      </c>
      <c r="AT17" s="2919">
        <v>834885.74086575338</v>
      </c>
      <c r="AU17" s="2941" t="s">
        <v>2555</v>
      </c>
      <c r="AV17" s="2916">
        <f>(AW17-AS17)/AS17</f>
        <v>3.0000000000000072E-2</v>
      </c>
      <c r="AW17" s="2920">
        <v>857151.31309172604</v>
      </c>
      <c r="AX17" s="2921">
        <v>859851.31309172604</v>
      </c>
      <c r="AY17" s="2871" t="s">
        <v>2555</v>
      </c>
      <c r="AZ17" s="2916">
        <f>(BA17-AW17)/AW17</f>
        <v>2.9999999999999971E-2</v>
      </c>
      <c r="BA17" s="2920">
        <v>882865.8524844778</v>
      </c>
      <c r="BB17" s="2921">
        <v>885565.8524844778</v>
      </c>
      <c r="BC17" s="2871" t="s">
        <v>2555</v>
      </c>
    </row>
    <row r="18" spans="1:55" ht="16.5" thickTop="1" thickBot="1">
      <c r="A18" s="2931"/>
      <c r="B18" s="2931"/>
      <c r="C18" s="2931"/>
      <c r="D18" s="2932"/>
      <c r="E18" s="2931"/>
      <c r="F18" s="2931"/>
      <c r="G18" s="2938"/>
      <c r="H18" s="2932"/>
      <c r="K18" s="2855"/>
      <c r="O18" s="2932"/>
      <c r="T18" s="2881"/>
      <c r="AA18" s="2867"/>
      <c r="AB18" s="2867"/>
      <c r="AC18" s="2867"/>
      <c r="AD18" s="2911"/>
      <c r="AE18" s="2911"/>
      <c r="AF18" s="2911"/>
      <c r="AG18" s="2911"/>
      <c r="AK18" s="2911"/>
      <c r="AR18" s="2929"/>
      <c r="AV18" s="2929"/>
      <c r="AW18" s="2921"/>
      <c r="AZ18" s="2929"/>
    </row>
    <row r="19" spans="1:55" ht="15.75" thickBot="1">
      <c r="A19" s="2940" t="s">
        <v>2476</v>
      </c>
      <c r="B19" s="2940"/>
      <c r="C19" s="2931"/>
      <c r="D19" s="2932"/>
      <c r="E19" s="2931"/>
      <c r="F19" s="2931"/>
      <c r="G19" s="2938"/>
      <c r="H19" s="2932"/>
      <c r="K19" s="2855"/>
      <c r="O19" s="2932"/>
      <c r="S19" s="2949" t="s">
        <v>2565</v>
      </c>
      <c r="T19" s="2950" t="s">
        <v>2566</v>
      </c>
      <c r="U19" s="2951" t="s">
        <v>2567</v>
      </c>
      <c r="Y19" s="2866" t="s">
        <v>2568</v>
      </c>
      <c r="Z19" s="2866"/>
      <c r="AA19" s="2913">
        <v>630847.47</v>
      </c>
      <c r="AB19" s="2914">
        <v>630847.47</v>
      </c>
      <c r="AC19" s="2915" t="s">
        <v>1740</v>
      </c>
      <c r="AD19" s="2913">
        <v>673609.96000000008</v>
      </c>
      <c r="AE19" s="2914">
        <v>673609.96000000008</v>
      </c>
      <c r="AF19" s="2915" t="s">
        <v>1740</v>
      </c>
      <c r="AG19" s="2915"/>
      <c r="AH19" s="2913">
        <v>798869.4</v>
      </c>
      <c r="AI19" s="2914" t="s">
        <v>1740</v>
      </c>
      <c r="AJ19" s="2916">
        <f>(AO19-AH19)/AH19</f>
        <v>6.6182031756382093E-3</v>
      </c>
      <c r="AK19" s="2915"/>
      <c r="AL19" s="2913">
        <v>756855.54</v>
      </c>
      <c r="AM19" s="2914" t="s">
        <v>1740</v>
      </c>
      <c r="AN19" s="2916">
        <f>(AS19-AL19)/AL19</f>
        <v>0.20062122079465802</v>
      </c>
      <c r="AO19" s="2913">
        <v>804156.48000000021</v>
      </c>
      <c r="AP19" s="2914">
        <v>804156.48000000021</v>
      </c>
      <c r="AQ19" s="2917" t="s">
        <v>2555</v>
      </c>
      <c r="AR19" s="2916">
        <f>(AS19-AO19)/AO19</f>
        <v>0.12999999999999992</v>
      </c>
      <c r="AS19" s="2918">
        <v>908696.82240000018</v>
      </c>
      <c r="AT19" s="2919">
        <v>908696.82240000018</v>
      </c>
      <c r="AU19" s="2941" t="s">
        <v>2555</v>
      </c>
      <c r="AV19" s="2916">
        <f>(AW19-AS19)/AS19</f>
        <v>0.12999999999999995</v>
      </c>
      <c r="AW19" s="2920">
        <v>1026827.4093120001</v>
      </c>
      <c r="AX19" s="2921">
        <v>1026827.4093120001</v>
      </c>
      <c r="AY19" s="2871" t="s">
        <v>2555</v>
      </c>
      <c r="AZ19" s="2916">
        <f>(BA19-AW19)/AW19</f>
        <v>-0.59768857331458436</v>
      </c>
      <c r="BA19" s="2920">
        <v>413104.40000000008</v>
      </c>
      <c r="BB19" s="2921">
        <v>413104.40000000008</v>
      </c>
      <c r="BC19" s="2871" t="s">
        <v>2555</v>
      </c>
    </row>
    <row r="20" spans="1:55" ht="15.75" thickBot="1">
      <c r="A20" s="2943">
        <v>0.20707999999999999</v>
      </c>
      <c r="B20" s="2930"/>
      <c r="C20" s="2931" t="s">
        <v>2398</v>
      </c>
      <c r="D20" s="2932"/>
      <c r="E20" s="2931"/>
      <c r="F20" s="2931"/>
      <c r="G20" s="2938"/>
      <c r="H20" s="2932"/>
      <c r="K20" s="2855"/>
      <c r="O20" s="2932"/>
      <c r="S20" s="2952" t="s">
        <v>2148</v>
      </c>
      <c r="T20" s="2953">
        <f>'G-3.12 PF Ins'!AX36</f>
        <v>12795273.282893196</v>
      </c>
      <c r="U20" s="2954" t="s">
        <v>2569</v>
      </c>
      <c r="AA20" s="2867"/>
      <c r="AB20" s="2867"/>
      <c r="AC20" s="2867"/>
      <c r="AD20" s="2911"/>
      <c r="AE20" s="2911"/>
      <c r="AF20" s="2911"/>
      <c r="AG20" s="2911"/>
      <c r="AK20" s="2911"/>
      <c r="AR20" s="2929"/>
      <c r="AV20" s="2929"/>
      <c r="AW20" s="2921"/>
      <c r="AZ20" s="2929"/>
    </row>
    <row r="21" spans="1:55" ht="15.75" thickBot="1">
      <c r="A21" s="2930">
        <v>0.71745999999999999</v>
      </c>
      <c r="B21" s="2930"/>
      <c r="C21" s="2931" t="s">
        <v>2399</v>
      </c>
      <c r="D21" s="2932"/>
      <c r="E21" s="2931"/>
      <c r="F21" s="2944">
        <f>((F13)*$A$20*$A$21)</f>
        <v>597717.29255043063</v>
      </c>
      <c r="G21" s="2938"/>
      <c r="H21" s="2946"/>
      <c r="J21" s="2947">
        <f>F21+G21</f>
        <v>597717.29255043063</v>
      </c>
      <c r="K21" s="2937"/>
      <c r="L21" s="2883"/>
      <c r="M21" s="2883">
        <f>$M$13*A20*A21</f>
        <v>0</v>
      </c>
      <c r="O21" s="2946"/>
      <c r="Q21" s="2883">
        <f>M21+N21</f>
        <v>0</v>
      </c>
      <c r="S21" s="2952" t="s">
        <v>2149</v>
      </c>
      <c r="T21" s="2953">
        <f>'G-3.12 PF Ins'!AX37</f>
        <v>2247385.4286230444</v>
      </c>
      <c r="U21" s="2954" t="s">
        <v>2569</v>
      </c>
      <c r="Y21" s="2866" t="s">
        <v>2570</v>
      </c>
      <c r="Z21" s="2866"/>
      <c r="AA21" s="2913">
        <v>374790</v>
      </c>
      <c r="AB21" s="2914">
        <v>379166</v>
      </c>
      <c r="AC21" s="2915" t="s">
        <v>1740</v>
      </c>
      <c r="AD21" s="2913">
        <v>434338</v>
      </c>
      <c r="AE21" s="2914">
        <v>441017.5</v>
      </c>
      <c r="AF21" s="2915" t="s">
        <v>1740</v>
      </c>
      <c r="AG21" s="2915"/>
      <c r="AH21" s="2913">
        <v>414652</v>
      </c>
      <c r="AI21" s="2914" t="s">
        <v>1740</v>
      </c>
      <c r="AJ21" s="2916">
        <f>(AO21-AH21)/AH21</f>
        <v>9.4951911482399703E-2</v>
      </c>
      <c r="AK21" s="2915"/>
      <c r="AL21" s="2913">
        <v>434338</v>
      </c>
      <c r="AM21" s="2914" t="s">
        <v>1740</v>
      </c>
      <c r="AN21" s="2916">
        <f>(AS21-AL21)/AL21</f>
        <v>0.13940332183691051</v>
      </c>
      <c r="AO21" s="2913">
        <v>454024</v>
      </c>
      <c r="AP21" s="2914">
        <v>461199</v>
      </c>
      <c r="AQ21" s="2917" t="s">
        <v>2555</v>
      </c>
      <c r="AR21" s="2916">
        <f>(AS21-AO21)/AO21</f>
        <v>9.0000000000000066E-2</v>
      </c>
      <c r="AS21" s="2918">
        <v>494886.16000000003</v>
      </c>
      <c r="AT21" s="2919">
        <v>502706.91000000003</v>
      </c>
      <c r="AU21" s="2941" t="s">
        <v>2555</v>
      </c>
      <c r="AV21" s="2916">
        <f>(AW21-AS21)/AS21</f>
        <v>4.0000000000000029E-2</v>
      </c>
      <c r="AW21" s="2920">
        <v>514681.60640000005</v>
      </c>
      <c r="AX21" s="2921">
        <v>522815.18640000006</v>
      </c>
      <c r="AY21" s="2871" t="s">
        <v>2555</v>
      </c>
      <c r="AZ21" s="2916">
        <f>(BA21-AW21)/AW21</f>
        <v>4.0000000000000098E-2</v>
      </c>
      <c r="BA21" s="2920">
        <v>535268.8706560001</v>
      </c>
      <c r="BB21" s="2921">
        <v>543727.79385600006</v>
      </c>
      <c r="BC21" s="2871" t="s">
        <v>2555</v>
      </c>
    </row>
    <row r="22" spans="1:55" ht="15.75" thickTop="1">
      <c r="A22" s="2931"/>
      <c r="B22" s="2931"/>
      <c r="C22" s="2931"/>
      <c r="D22" s="2932"/>
      <c r="E22" s="2931"/>
      <c r="F22" s="2931"/>
      <c r="G22" s="2938"/>
      <c r="H22" s="2932"/>
      <c r="K22" s="2855"/>
      <c r="O22" s="2932"/>
      <c r="AA22" s="2867"/>
      <c r="AB22" s="2867"/>
      <c r="AC22" s="2867"/>
      <c r="AD22" s="2911"/>
      <c r="AE22" s="2911"/>
      <c r="AF22" s="2911"/>
      <c r="AG22" s="2911"/>
      <c r="AK22" s="2911"/>
    </row>
    <row r="23" spans="1:55" ht="15">
      <c r="A23" s="2940" t="s">
        <v>2402</v>
      </c>
      <c r="B23" s="2940"/>
      <c r="C23" s="2931"/>
      <c r="D23" s="2932"/>
      <c r="E23" s="2931"/>
      <c r="F23" s="2931"/>
      <c r="G23" s="2938"/>
      <c r="H23" s="2932"/>
      <c r="K23" s="2855"/>
      <c r="O23" s="2932"/>
      <c r="Y23" s="2866" t="s">
        <v>2571</v>
      </c>
      <c r="Z23" s="2866"/>
      <c r="AA23" s="2955">
        <f>SUM(AA11:AA21)</f>
        <v>6744010.3531269114</v>
      </c>
      <c r="AB23" s="2956">
        <f>SUM(AB11:AB21)</f>
        <v>7395225.8239853084</v>
      </c>
      <c r="AC23" s="2867"/>
      <c r="AD23" s="2955">
        <f>SUM(AD11:AD21)</f>
        <v>10326378.325191982</v>
      </c>
      <c r="AE23" s="2956">
        <f>SUM(AE11:AE21)</f>
        <v>10993885.034041634</v>
      </c>
      <c r="AF23" s="2911"/>
      <c r="AG23" s="2911"/>
      <c r="AH23" s="2955">
        <f>SUM(AH11:AH21)</f>
        <v>14315417.374127993</v>
      </c>
      <c r="AI23" s="2955"/>
      <c r="AJ23" s="2955"/>
      <c r="AK23" s="2911"/>
      <c r="AL23" s="2955">
        <f>SUM(AL11:AL21)</f>
        <v>14677966.671450399</v>
      </c>
      <c r="AM23" s="2955"/>
      <c r="AN23" s="2955"/>
      <c r="AO23" s="2957">
        <f>SUM(AO11:AO21)</f>
        <v>15357257.307660777</v>
      </c>
      <c r="AP23" s="2956">
        <f>SUM(AP11:AP21)</f>
        <v>15982569.023143502</v>
      </c>
      <c r="AQ23" s="2958"/>
      <c r="AS23" s="2957">
        <f>SUM(AS11:AS21)</f>
        <v>21591556.215453405</v>
      </c>
      <c r="AT23" s="2956">
        <f>SUM(AT11:AT21)</f>
        <v>22195037.46747632</v>
      </c>
      <c r="AW23" s="2959">
        <f>SUM(AW11:AW21)</f>
        <v>23754632.854317714</v>
      </c>
      <c r="AX23" s="2956">
        <f>SUM(AX11:AX21)</f>
        <v>24349722.330046888</v>
      </c>
      <c r="BA23" s="2955">
        <f>SUM(BA11:BA21)</f>
        <v>25058218.347851936</v>
      </c>
      <c r="BB23" s="2956">
        <f>SUM(BB11:BB21)</f>
        <v>25645362.146957215</v>
      </c>
    </row>
    <row r="24" spans="1:55" ht="15.75" thickBot="1">
      <c r="A24" s="2930">
        <v>0.70111999999999997</v>
      </c>
      <c r="B24" s="2930"/>
      <c r="C24" s="2931" t="s">
        <v>2398</v>
      </c>
      <c r="D24" s="2932"/>
      <c r="E24" s="2931"/>
      <c r="F24" s="2931"/>
      <c r="G24" s="2938"/>
      <c r="H24" s="2932"/>
      <c r="K24" s="2855"/>
      <c r="O24" s="2932"/>
      <c r="AA24" s="2960"/>
      <c r="AB24" s="2960"/>
      <c r="AC24" s="2867"/>
      <c r="AD24" s="2961"/>
      <c r="AE24" s="2961"/>
      <c r="AF24" s="2911"/>
      <c r="AG24" s="2911"/>
      <c r="AH24" s="2960"/>
      <c r="AI24" s="2961"/>
      <c r="AJ24" s="2961"/>
      <c r="AK24" s="2911"/>
      <c r="AL24" s="2960" t="s">
        <v>2572</v>
      </c>
      <c r="AM24" s="2961"/>
      <c r="AN24" s="2961"/>
      <c r="AQ24" s="3924" t="s">
        <v>2573</v>
      </c>
      <c r="AR24" s="3924"/>
      <c r="AU24" s="3924" t="s">
        <v>2573</v>
      </c>
      <c r="AV24" s="3924"/>
      <c r="AW24" s="2960" t="s">
        <v>2572</v>
      </c>
      <c r="AY24" s="3924" t="s">
        <v>2573</v>
      </c>
      <c r="AZ24" s="3924"/>
      <c r="BA24" s="2960" t="s">
        <v>2572</v>
      </c>
    </row>
    <row r="25" spans="1:55" ht="15.75" thickBot="1">
      <c r="A25" s="2943">
        <v>0.33056999999999997</v>
      </c>
      <c r="B25" s="2930"/>
      <c r="C25" s="2931" t="s">
        <v>2399</v>
      </c>
      <c r="D25" s="2932"/>
      <c r="E25" s="2931"/>
      <c r="F25" s="2938">
        <f>((F13)*$A$24*$A$25)</f>
        <v>932428.98379041732</v>
      </c>
      <c r="G25" s="2938">
        <f>'G-3.12 PF Ins'!AY29</f>
        <v>1652809.7682570391</v>
      </c>
      <c r="H25" s="2946"/>
      <c r="J25" s="2938">
        <f>F25+G25</f>
        <v>2585238.7520474563</v>
      </c>
      <c r="K25" s="2855"/>
      <c r="M25" s="2962">
        <f>$M$13*A24*A25</f>
        <v>0</v>
      </c>
      <c r="N25" s="2962">
        <f>'G-3.12 PF Ins'!AU29</f>
        <v>0</v>
      </c>
      <c r="O25" s="2946"/>
      <c r="Q25" s="2963">
        <f>M25+N25</f>
        <v>0</v>
      </c>
      <c r="Z25" s="2964">
        <v>0.1</v>
      </c>
      <c r="AA25" s="2965">
        <f>-AA13*0.1</f>
        <v>-89464.561195616436</v>
      </c>
      <c r="AB25" s="2960"/>
      <c r="AC25" s="2867"/>
      <c r="AD25" s="2960"/>
      <c r="AE25" s="2960"/>
      <c r="AF25" s="2867"/>
      <c r="AK25" s="2966" t="s">
        <v>2574</v>
      </c>
      <c r="AL25" s="2967">
        <v>-90477</v>
      </c>
      <c r="AM25" s="2968"/>
      <c r="AO25" s="2967">
        <f>-AO13*0.1</f>
        <v>-119528.60586205481</v>
      </c>
      <c r="AQ25" s="3924"/>
      <c r="AR25" s="3924"/>
      <c r="AS25" s="2967">
        <f>-AS13*0.1</f>
        <v>-120556.63998493152</v>
      </c>
      <c r="AU25" s="3924"/>
      <c r="AV25" s="3924"/>
      <c r="AW25" s="2967">
        <f>-AW13*0.1</f>
        <v>-119906.89756872604</v>
      </c>
      <c r="AX25" s="2969" t="s">
        <v>2575</v>
      </c>
      <c r="AY25" s="3924"/>
      <c r="AZ25" s="3924"/>
      <c r="BA25" s="2967">
        <f>-BA13*0.1</f>
        <v>-119267.12979297138</v>
      </c>
    </row>
    <row r="26" spans="1:55" ht="16.5" thickTop="1" thickBot="1">
      <c r="A26" s="2931"/>
      <c r="B26" s="2931"/>
      <c r="C26" s="2931"/>
      <c r="D26" s="2932"/>
      <c r="E26" s="2931"/>
      <c r="F26" s="2931"/>
      <c r="G26" s="2938"/>
      <c r="H26" s="2932"/>
      <c r="K26" s="2855"/>
      <c r="O26" s="2932"/>
      <c r="AA26" s="2970">
        <f>AA23+AA25</f>
        <v>6654545.7919312948</v>
      </c>
      <c r="AB26" s="2960"/>
      <c r="AC26" s="2867"/>
      <c r="AD26" s="2960"/>
      <c r="AE26" s="2960"/>
      <c r="AF26" s="2867"/>
      <c r="AK26" s="2966"/>
      <c r="AL26" s="2971">
        <f>AL23+AL25</f>
        <v>14587489.671450399</v>
      </c>
      <c r="AO26" s="2972">
        <f>AO23+AO25</f>
        <v>15237728.701798722</v>
      </c>
      <c r="AS26" s="2972">
        <f>AS23+AS25</f>
        <v>21470999.575468473</v>
      </c>
      <c r="AW26" s="2971">
        <f>AW23+AW25</f>
        <v>23634725.956748988</v>
      </c>
      <c r="AX26" s="2973">
        <f>AW26-AL26</f>
        <v>9047236.2852985896</v>
      </c>
      <c r="BA26" s="2972">
        <f>BA23+BA25</f>
        <v>24938951.218058966</v>
      </c>
    </row>
    <row r="27" spans="1:55" ht="15.75" thickBot="1">
      <c r="A27" s="2940" t="s">
        <v>2403</v>
      </c>
      <c r="B27" s="2940"/>
      <c r="C27" s="2931"/>
      <c r="D27" s="2932"/>
      <c r="E27" s="2931"/>
      <c r="F27" s="2931"/>
      <c r="G27" s="2938"/>
      <c r="H27" s="2932"/>
      <c r="K27" s="2855"/>
      <c r="O27" s="2932"/>
      <c r="AJ27" s="2974"/>
      <c r="AN27" s="2974"/>
      <c r="AO27" s="2887"/>
      <c r="AP27" s="2975">
        <f>AO26</f>
        <v>15237728.701798722</v>
      </c>
      <c r="AQ27" s="2976"/>
      <c r="AR27" s="2977"/>
      <c r="AS27" s="2978"/>
      <c r="AT27" s="2979">
        <f>AS26</f>
        <v>21470999.575468473</v>
      </c>
      <c r="AU27" s="2976"/>
      <c r="AW27" s="2978" t="s">
        <v>2576</v>
      </c>
      <c r="AX27" s="2980">
        <f>AW26</f>
        <v>23634725.956748988</v>
      </c>
      <c r="AY27" s="2976" t="s">
        <v>2577</v>
      </c>
      <c r="BA27" s="2978" t="s">
        <v>2578</v>
      </c>
      <c r="BB27" s="2980">
        <f>BA26</f>
        <v>24938951.218058966</v>
      </c>
      <c r="BC27" s="2976" t="s">
        <v>2577</v>
      </c>
    </row>
    <row r="28" spans="1:55" ht="15.75" thickBot="1">
      <c r="A28" s="2943">
        <v>0.20707999999999999</v>
      </c>
      <c r="B28" s="2930"/>
      <c r="C28" s="2931" t="s">
        <v>2398</v>
      </c>
      <c r="D28" s="2932"/>
      <c r="E28" s="2931"/>
      <c r="F28" s="2931"/>
      <c r="G28" s="2938"/>
      <c r="H28" s="2932"/>
      <c r="K28" s="2855"/>
      <c r="O28" s="2932"/>
      <c r="AC28" s="2974"/>
      <c r="AD28" s="2974"/>
      <c r="AE28" s="2974"/>
      <c r="AF28" s="2974"/>
      <c r="AH28" s="2974" t="s">
        <v>2579</v>
      </c>
      <c r="AI28" s="2967">
        <v>2169057.2662500003</v>
      </c>
      <c r="AJ28" s="2974"/>
      <c r="AK28" s="2974" t="s">
        <v>2579</v>
      </c>
      <c r="AL28" s="2967">
        <f>(AI28/2)+(AP28/2)</f>
        <v>2324251.2503175</v>
      </c>
      <c r="AM28" s="2974"/>
      <c r="AN28" s="2974"/>
      <c r="AO28" s="2871" t="s">
        <v>2579</v>
      </c>
      <c r="AP28" s="2981">
        <v>2479445.2343850001</v>
      </c>
      <c r="AQ28" s="2982"/>
      <c r="AR28" s="2983"/>
      <c r="AS28" s="2871" t="s">
        <v>2579</v>
      </c>
      <c r="AT28" s="2981">
        <v>5042593.8866040064</v>
      </c>
      <c r="AU28" s="2982"/>
      <c r="AW28" s="2871" t="s">
        <v>2579</v>
      </c>
      <c r="AX28" s="2981">
        <v>5695585.7029100973</v>
      </c>
      <c r="AY28" s="2982">
        <f>AX28-AL28</f>
        <v>3371334.4525925973</v>
      </c>
      <c r="BA28" s="2871" t="s">
        <v>2579</v>
      </c>
      <c r="BB28" s="2981">
        <v>6318089.9021992534</v>
      </c>
      <c r="BC28" s="2982">
        <f>BB28-AX28</f>
        <v>622504.19928915612</v>
      </c>
    </row>
    <row r="29" spans="1:55" ht="15.75" thickBot="1">
      <c r="A29" s="2930">
        <v>0.28254000000000001</v>
      </c>
      <c r="B29" s="2930"/>
      <c r="C29" s="2931" t="s">
        <v>2399</v>
      </c>
      <c r="D29" s="2932"/>
      <c r="E29" s="2931"/>
      <c r="F29" s="2938">
        <f>((F13)*$A$28*$A$29)</f>
        <v>235384.61215565843</v>
      </c>
      <c r="G29" s="2938"/>
      <c r="H29" s="2946"/>
      <c r="J29" s="2938">
        <f>F29+G29</f>
        <v>235384.61215565843</v>
      </c>
      <c r="K29" s="2855"/>
      <c r="M29" s="2962">
        <f>$M$13*A28*A29</f>
        <v>0</v>
      </c>
      <c r="N29" s="2938"/>
      <c r="O29" s="2946"/>
      <c r="Q29" s="2963">
        <f>M29+N29</f>
        <v>0</v>
      </c>
      <c r="AC29" s="2974"/>
      <c r="AD29" s="2974"/>
      <c r="AE29" s="2974"/>
      <c r="AF29" s="2974"/>
      <c r="AH29" s="2871" t="s">
        <v>2580</v>
      </c>
      <c r="AI29" s="2965">
        <v>1092682.9837500001</v>
      </c>
      <c r="AJ29" s="2974"/>
      <c r="AK29" s="2871" t="s">
        <v>2580</v>
      </c>
      <c r="AL29" s="2965">
        <f>(AI29/2)+(AP29/2)</f>
        <v>1159716.9571825</v>
      </c>
      <c r="AM29" s="2974"/>
      <c r="AN29" s="2974"/>
      <c r="AO29" s="2871" t="s">
        <v>2580</v>
      </c>
      <c r="AP29" s="2984">
        <v>1226750.930615</v>
      </c>
      <c r="AQ29" s="2985"/>
      <c r="AR29" s="2983"/>
      <c r="AS29" s="2871" t="s">
        <v>2580</v>
      </c>
      <c r="AT29" s="2984">
        <v>2490074.0347679164</v>
      </c>
      <c r="AU29" s="2985"/>
      <c r="AW29" s="2871" t="s">
        <v>2580</v>
      </c>
      <c r="AX29" s="2984">
        <v>2812526.7254395392</v>
      </c>
      <c r="AY29" s="2985">
        <f>AX29-AL29</f>
        <v>1652809.7682570391</v>
      </c>
      <c r="BA29" s="2871" t="s">
        <v>2580</v>
      </c>
      <c r="BB29" s="2984">
        <v>3119924.3818920678</v>
      </c>
      <c r="BC29" s="2982">
        <f>BB29-AX29</f>
        <v>307397.65645252867</v>
      </c>
    </row>
    <row r="30" spans="1:55" ht="15.75" thickTop="1">
      <c r="A30" s="2930"/>
      <c r="B30" s="2930"/>
      <c r="C30" s="2931"/>
      <c r="D30" s="2932"/>
      <c r="E30" s="2931"/>
      <c r="F30" s="2986"/>
      <c r="G30" s="2938"/>
      <c r="H30" s="2946"/>
      <c r="K30" s="2855"/>
      <c r="O30" s="2946"/>
      <c r="AC30" s="2974"/>
      <c r="AD30" s="2974"/>
      <c r="AE30" s="2974"/>
      <c r="AF30" s="2974"/>
      <c r="AH30" s="2974"/>
      <c r="AI30" s="2987">
        <f>SUM(AI28:AI29)</f>
        <v>3261740.2500000005</v>
      </c>
      <c r="AJ30" s="2974"/>
      <c r="AK30" s="2974"/>
      <c r="AL30" s="2987">
        <f>SUM(AL28:AL29)</f>
        <v>3483968.2075</v>
      </c>
      <c r="AM30" s="2974"/>
      <c r="AN30" s="2974"/>
      <c r="AP30" s="2988">
        <f>SUM(AP28:AP29)</f>
        <v>3706196.165</v>
      </c>
      <c r="AQ30" s="2982"/>
      <c r="AR30" s="2983"/>
      <c r="AT30" s="2983">
        <f>SUM(AT28:AT29)</f>
        <v>7532667.9213719228</v>
      </c>
      <c r="AU30" s="2982"/>
      <c r="AV30" s="2989"/>
      <c r="AX30" s="2988">
        <f>SUM(AX28:AX29)</f>
        <v>8508112.4283496365</v>
      </c>
      <c r="AY30" s="2982">
        <f>SUM(AY28:AY29)</f>
        <v>5024144.2208496369</v>
      </c>
      <c r="BB30" s="2988">
        <f>SUM(BB28:BB29)</f>
        <v>9438014.2840913218</v>
      </c>
      <c r="BC30" s="2982">
        <f>SUM(BC28:BC29)</f>
        <v>929901.85574168479</v>
      </c>
    </row>
    <row r="31" spans="1:55" ht="15">
      <c r="A31" s="2940" t="s">
        <v>2404</v>
      </c>
      <c r="B31" s="2940"/>
      <c r="C31" s="2931"/>
      <c r="D31" s="2932"/>
      <c r="E31" s="2931"/>
      <c r="F31" s="2986"/>
      <c r="G31" s="2938"/>
      <c r="H31" s="2946"/>
      <c r="K31" s="2855"/>
      <c r="O31" s="2946"/>
      <c r="AC31" s="2974"/>
      <c r="AD31" s="2974"/>
      <c r="AE31" s="2974"/>
      <c r="AF31" s="2974"/>
      <c r="AH31" s="2974"/>
      <c r="AI31" s="2974"/>
      <c r="AJ31" s="2974"/>
      <c r="AK31" s="2974"/>
      <c r="AL31" s="2974"/>
      <c r="AM31" s="2974"/>
      <c r="AN31" s="2974"/>
      <c r="AQ31" s="2982"/>
      <c r="AU31" s="2990"/>
      <c r="AY31" s="2990"/>
      <c r="BC31" s="2990"/>
    </row>
    <row r="32" spans="1:55" ht="15">
      <c r="A32" s="2930">
        <v>9.1800000000000007E-2</v>
      </c>
      <c r="B32" s="2930"/>
      <c r="C32" s="2931" t="s">
        <v>2398</v>
      </c>
      <c r="D32" s="2932"/>
      <c r="E32" s="2931"/>
      <c r="F32" s="2986">
        <f>((F13)*$A$32)</f>
        <v>369319.85151641391</v>
      </c>
      <c r="H32" s="2946"/>
      <c r="J32" s="2883">
        <f>F32+G32</f>
        <v>369319.85151641391</v>
      </c>
      <c r="K32" s="2855"/>
      <c r="M32" s="2883">
        <f>$M$13*A32</f>
        <v>0</v>
      </c>
      <c r="O32" s="2946"/>
      <c r="Q32" s="2883">
        <f>M32+N32</f>
        <v>0</v>
      </c>
      <c r="AC32" s="2974"/>
      <c r="AD32" s="2974"/>
      <c r="AE32" s="2974"/>
      <c r="AH32" s="2974" t="s">
        <v>2581</v>
      </c>
      <c r="AI32" s="2991">
        <f>AH23-AI30</f>
        <v>11053677.124127993</v>
      </c>
      <c r="AJ32" s="2974"/>
      <c r="AK32" s="2974"/>
      <c r="AL32" s="2991">
        <f>AL26-AL30</f>
        <v>11103521.463950399</v>
      </c>
      <c r="AM32" s="2974"/>
      <c r="AN32" s="2974"/>
      <c r="AO32" s="2871" t="s">
        <v>2582</v>
      </c>
      <c r="AP32" s="2992">
        <f>AP27-AP30</f>
        <v>11531532.536798723</v>
      </c>
      <c r="AQ32" s="2993"/>
      <c r="AR32" s="2958"/>
      <c r="AS32" s="2871" t="s">
        <v>2582</v>
      </c>
      <c r="AT32" s="2992">
        <f>AT27-AT30</f>
        <v>13938331.654096551</v>
      </c>
      <c r="AU32" s="2993"/>
      <c r="AV32" s="2994"/>
      <c r="AW32" s="2871" t="s">
        <v>2582</v>
      </c>
      <c r="AX32" s="2995">
        <f>AX27-AX30</f>
        <v>15126613.528399352</v>
      </c>
      <c r="AY32" s="2993">
        <f>AX32-AL32</f>
        <v>4023092.0644489527</v>
      </c>
      <c r="BA32" s="2871" t="s">
        <v>2582</v>
      </c>
      <c r="BB32" s="2995">
        <f>BB27-BB30</f>
        <v>15500936.933967644</v>
      </c>
      <c r="BC32" s="2993"/>
    </row>
    <row r="33" spans="1:55" ht="15">
      <c r="A33" s="2930"/>
      <c r="B33" s="2930"/>
      <c r="C33" s="2931"/>
      <c r="D33" s="2932"/>
      <c r="E33" s="2931"/>
      <c r="F33" s="2931"/>
      <c r="H33" s="2932"/>
      <c r="K33" s="2855"/>
      <c r="O33" s="2932"/>
      <c r="Y33" s="2940" t="s">
        <v>2470</v>
      </c>
      <c r="Z33" s="2940"/>
      <c r="AA33" s="2931"/>
      <c r="AC33" s="2974"/>
      <c r="AD33" s="2974"/>
      <c r="AE33" s="2974"/>
      <c r="AF33" s="2974"/>
      <c r="AH33" s="2974" t="s">
        <v>2583</v>
      </c>
      <c r="AI33" s="2987">
        <f>AI32*Y34*Y35</f>
        <v>5188051.7766899709</v>
      </c>
      <c r="AJ33" s="2974"/>
      <c r="AK33" s="2974" t="s">
        <v>2583</v>
      </c>
      <c r="AL33" s="2987">
        <f>AL32*Y34*Y35</f>
        <v>5211446.2555470662</v>
      </c>
      <c r="AM33" s="2974"/>
      <c r="AN33" s="2974"/>
      <c r="AO33" s="2974" t="s">
        <v>2583</v>
      </c>
      <c r="AP33" s="2958">
        <f>AP32*Y34*Y35</f>
        <v>5412333.5785616599</v>
      </c>
      <c r="AQ33" s="2990"/>
      <c r="AS33" s="2974" t="s">
        <v>2583</v>
      </c>
      <c r="AT33" s="2958">
        <f>AT32*Y34*Y35</f>
        <v>6541966.5772836031</v>
      </c>
      <c r="AU33" s="2990"/>
      <c r="AV33" s="2958"/>
      <c r="AW33" s="2974" t="s">
        <v>2583</v>
      </c>
      <c r="AX33" s="2958">
        <f>AX32*Y34*Y35</f>
        <v>7099687.5799830984</v>
      </c>
      <c r="AY33" s="2982">
        <f>AX33-AL33</f>
        <v>1888241.3244360322</v>
      </c>
      <c r="BA33" s="2974" t="s">
        <v>2583</v>
      </c>
      <c r="BB33" s="2958">
        <f>BB32*Y34*Y35</f>
        <v>7275376.5554712825</v>
      </c>
      <c r="BC33" s="2993">
        <f>BB33-AX33</f>
        <v>175688.97548818402</v>
      </c>
    </row>
    <row r="34" spans="1:55" ht="15">
      <c r="A34" s="2930"/>
      <c r="B34" s="2930"/>
      <c r="C34" s="2931" t="s">
        <v>1189</v>
      </c>
      <c r="D34" s="2932"/>
      <c r="E34" s="2931"/>
      <c r="F34" s="2996">
        <f>F17+F21+F25+F29+F32-F13</f>
        <v>0</v>
      </c>
      <c r="H34" s="2997"/>
      <c r="K34" s="2855"/>
      <c r="O34" s="2997"/>
      <c r="Y34" s="2930">
        <v>0.70111999999999997</v>
      </c>
      <c r="Z34" s="2931" t="s">
        <v>2398</v>
      </c>
      <c r="AC34" s="2974"/>
      <c r="AD34" s="2974"/>
      <c r="AE34" s="2974"/>
      <c r="AF34" s="2974"/>
      <c r="AH34" s="2974" t="s">
        <v>2584</v>
      </c>
      <c r="AI34" s="2987">
        <f>AI32*Y38*Y39</f>
        <v>1642262.6819168702</v>
      </c>
      <c r="AJ34" s="2974"/>
      <c r="AK34" s="2974" t="s">
        <v>2584</v>
      </c>
      <c r="AL34" s="2987">
        <f>AL32*Y38*Y39</f>
        <v>1649668.1360726135</v>
      </c>
      <c r="AM34" s="2974"/>
      <c r="AN34" s="2974"/>
      <c r="AO34" s="2974" t="s">
        <v>2584</v>
      </c>
      <c r="AP34" s="2958">
        <f>AP32*Y38*Y39</f>
        <v>1713258.4331739917</v>
      </c>
      <c r="AQ34" s="2990"/>
      <c r="AS34" s="2974" t="s">
        <v>2584</v>
      </c>
      <c r="AT34" s="2958">
        <f>AT32*Y38*Y39</f>
        <v>2070840.4693437428</v>
      </c>
      <c r="AU34" s="2990"/>
      <c r="AV34" s="2958"/>
      <c r="AW34" s="2974" t="s">
        <v>2584</v>
      </c>
      <c r="AX34" s="2958">
        <f>AX32*Y38*Y39</f>
        <v>2247385.4286230444</v>
      </c>
      <c r="AY34" s="2982">
        <f>AX34-AL34</f>
        <v>597717.29255043087</v>
      </c>
      <c r="BA34" s="2974" t="s">
        <v>2584</v>
      </c>
      <c r="BB34" s="2958">
        <f>BB32*Y38*Y39</f>
        <v>2302999.2621944076</v>
      </c>
      <c r="BC34" s="2993">
        <f>BB34-AX34</f>
        <v>55613.83357136324</v>
      </c>
    </row>
    <row r="35" spans="1:55" ht="15.75" thickBot="1">
      <c r="A35" s="2930"/>
      <c r="B35" s="2930"/>
      <c r="C35" s="2931"/>
      <c r="D35" s="2932"/>
      <c r="E35" s="2931"/>
      <c r="F35" s="2996"/>
      <c r="H35" s="2997"/>
      <c r="K35" s="2855"/>
      <c r="O35" s="2997"/>
      <c r="Y35" s="2943">
        <v>0.66942999999999997</v>
      </c>
      <c r="Z35" s="2931" t="s">
        <v>2399</v>
      </c>
      <c r="AA35" s="2998">
        <f>1-Y35</f>
        <v>0.33057000000000003</v>
      </c>
      <c r="AC35" s="2974"/>
      <c r="AD35" s="2974"/>
      <c r="AE35" s="2974"/>
      <c r="AF35" s="2974"/>
      <c r="AH35" s="2974"/>
      <c r="AI35" s="2974"/>
      <c r="AJ35" s="2974"/>
      <c r="AK35" s="2974"/>
      <c r="AL35" s="2974"/>
      <c r="AM35" s="2974"/>
      <c r="AN35" s="2974"/>
      <c r="AU35" s="2990"/>
      <c r="AY35" s="2999" t="s">
        <v>2577</v>
      </c>
      <c r="BB35" s="3000"/>
      <c r="BC35" s="3001" t="s">
        <v>2585</v>
      </c>
    </row>
    <row r="36" spans="1:55" ht="15">
      <c r="A36" s="2930"/>
      <c r="B36" s="2930"/>
      <c r="C36" s="2931"/>
      <c r="D36" s="3002"/>
      <c r="E36" s="3003"/>
      <c r="H36" s="3004"/>
      <c r="J36" s="3005" t="s">
        <v>729</v>
      </c>
      <c r="K36" s="2855"/>
      <c r="O36" s="3004"/>
      <c r="Q36" s="3006" t="s">
        <v>729</v>
      </c>
      <c r="Y36" s="2931"/>
      <c r="Z36" s="2931"/>
      <c r="AC36" s="2974"/>
      <c r="AD36" s="2974"/>
      <c r="AE36" s="2974"/>
      <c r="AF36" s="2974"/>
      <c r="AH36" s="3007" t="s">
        <v>2586</v>
      </c>
      <c r="AI36" s="3008">
        <f>AI28+AI33</f>
        <v>7357109.0429399712</v>
      </c>
      <c r="AJ36" s="2974"/>
      <c r="AK36" s="3007" t="s">
        <v>2586</v>
      </c>
      <c r="AL36" s="3008">
        <f>AL28+AL33</f>
        <v>7535697.5058645662</v>
      </c>
      <c r="AM36" s="2974"/>
      <c r="AN36" s="2974"/>
      <c r="AO36" s="3009" t="s">
        <v>2586</v>
      </c>
      <c r="AP36" s="3010">
        <f>AP28+AP33</f>
        <v>7891778.8129466604</v>
      </c>
      <c r="AQ36" s="2983"/>
      <c r="AR36" s="2983"/>
      <c r="AS36" s="3009" t="s">
        <v>2586</v>
      </c>
      <c r="AT36" s="3010">
        <f>AT28+AT33</f>
        <v>11584560.46388761</v>
      </c>
      <c r="AU36" s="3011"/>
      <c r="AW36" s="3007" t="s">
        <v>2586</v>
      </c>
      <c r="AX36" s="3012">
        <f>AX28+AX33</f>
        <v>12795273.282893196</v>
      </c>
      <c r="AY36" s="3013">
        <f>AX36-AL36</f>
        <v>5259575.7770286296</v>
      </c>
      <c r="BA36" s="3007" t="s">
        <v>2586</v>
      </c>
      <c r="BB36" s="3014">
        <f>BB28+BB33</f>
        <v>13593466.457670536</v>
      </c>
      <c r="BC36" s="3013">
        <f>BB36-AX36</f>
        <v>798193.17477734014</v>
      </c>
    </row>
    <row r="37" spans="1:55" ht="15.75" thickBot="1">
      <c r="A37" s="2931"/>
      <c r="B37" s="3015">
        <v>0.7</v>
      </c>
      <c r="C37" s="2931" t="s">
        <v>2587</v>
      </c>
      <c r="D37" s="2932"/>
      <c r="E37" s="2931"/>
      <c r="H37" s="3016"/>
      <c r="J37" s="3017">
        <f>J17*B37</f>
        <v>3681703.0439200406</v>
      </c>
      <c r="K37" s="2855"/>
      <c r="O37" s="3016"/>
      <c r="Q37" s="3018">
        <f>Q25*B37</f>
        <v>0</v>
      </c>
      <c r="Y37" s="2940" t="s">
        <v>2476</v>
      </c>
      <c r="Z37" s="2931"/>
      <c r="AH37" s="2886" t="s">
        <v>2588</v>
      </c>
      <c r="AI37" s="3019">
        <f>AI34</f>
        <v>1642262.6819168702</v>
      </c>
      <c r="AK37" s="2886" t="s">
        <v>2588</v>
      </c>
      <c r="AL37" s="3019">
        <f>AL34</f>
        <v>1649668.1360726135</v>
      </c>
      <c r="AO37" s="3020" t="s">
        <v>2588</v>
      </c>
      <c r="AP37" s="3021">
        <f>AP34</f>
        <v>1713258.4331739917</v>
      </c>
      <c r="AQ37" s="2983"/>
      <c r="AR37" s="2983"/>
      <c r="AS37" s="3020" t="s">
        <v>2588</v>
      </c>
      <c r="AT37" s="3021">
        <f>AT34</f>
        <v>2070840.4693437428</v>
      </c>
      <c r="AU37" s="3022"/>
      <c r="AW37" s="2886" t="s">
        <v>2588</v>
      </c>
      <c r="AX37" s="3023">
        <f>AX34</f>
        <v>2247385.4286230444</v>
      </c>
      <c r="AY37" s="3024">
        <f>AX37-AL37</f>
        <v>597717.29255043087</v>
      </c>
      <c r="BA37" s="2886" t="s">
        <v>2588</v>
      </c>
      <c r="BB37" s="3025">
        <f>BB34</f>
        <v>2302999.2621944076</v>
      </c>
      <c r="BC37" s="3024">
        <f>BB37-AX37</f>
        <v>55613.83357136324</v>
      </c>
    </row>
    <row r="38" spans="1:55" ht="15.75" thickBot="1">
      <c r="A38" s="2931"/>
      <c r="B38" s="3015">
        <v>0.3</v>
      </c>
      <c r="C38" s="2931" t="s">
        <v>2589</v>
      </c>
      <c r="D38" s="2932"/>
      <c r="E38" s="2931"/>
      <c r="H38" s="3016"/>
      <c r="J38" s="3017">
        <f>J17*B38</f>
        <v>1577872.7331085887</v>
      </c>
      <c r="K38" s="2855"/>
      <c r="O38" s="3016"/>
      <c r="Q38" s="3018">
        <f>Q25*B38</f>
        <v>0</v>
      </c>
      <c r="Y38" s="2943">
        <v>0.20707999999999999</v>
      </c>
      <c r="Z38" s="2931" t="s">
        <v>2398</v>
      </c>
      <c r="AO38" s="3026" t="s">
        <v>2590</v>
      </c>
      <c r="AP38" s="3027">
        <f>AP36-AQ4</f>
        <v>-379551.49379294924</v>
      </c>
      <c r="AQ38" s="3028"/>
      <c r="AR38" s="3029" t="s">
        <v>2148</v>
      </c>
      <c r="AS38" s="3030">
        <f>AS26-AO4</f>
        <v>5936870.5754684731</v>
      </c>
      <c r="AT38" s="3030">
        <f>AT36-AQ4</f>
        <v>3313230.1571479999</v>
      </c>
      <c r="AX38" s="3925" t="s">
        <v>2591</v>
      </c>
      <c r="AY38" s="3925"/>
      <c r="BB38" s="3927" t="s">
        <v>2592</v>
      </c>
      <c r="BC38" s="3927"/>
    </row>
    <row r="39" spans="1:55" ht="16.5" thickTop="1" thickBot="1">
      <c r="A39" s="2931"/>
      <c r="B39" s="2931"/>
      <c r="C39" s="2931"/>
      <c r="D39" s="2932"/>
      <c r="E39" s="2931"/>
      <c r="H39" s="2946"/>
      <c r="J39" s="3031">
        <f>SUM(J37:J38)</f>
        <v>5259575.7770286296</v>
      </c>
      <c r="K39" s="2855"/>
      <c r="O39" s="2946"/>
      <c r="Q39" s="3032">
        <f>SUM(Q37:Q38)</f>
        <v>0</v>
      </c>
      <c r="Y39" s="2930">
        <v>0.71745999999999999</v>
      </c>
      <c r="Z39" s="2931" t="s">
        <v>2399</v>
      </c>
      <c r="AA39" s="2998">
        <f>1-Y39</f>
        <v>0.28254000000000001</v>
      </c>
      <c r="AO39" s="3033" t="s">
        <v>2593</v>
      </c>
      <c r="AP39" s="3034">
        <f>AP37-AQ5</f>
        <v>-32708.528315843083</v>
      </c>
      <c r="AQ39" s="3028"/>
      <c r="AR39" s="3035" t="s">
        <v>2149</v>
      </c>
      <c r="AS39" s="3029"/>
      <c r="AT39" s="3036">
        <f>AT37-AQ5</f>
        <v>324873.507853908</v>
      </c>
      <c r="AX39" s="3926"/>
      <c r="AY39" s="3926"/>
      <c r="BB39" s="3928"/>
      <c r="BC39" s="3928"/>
    </row>
    <row r="40" spans="1:55" ht="15.75" thickTop="1">
      <c r="A40" s="2931"/>
      <c r="B40" s="2931"/>
      <c r="C40" s="2931"/>
      <c r="D40" s="2932"/>
      <c r="E40" s="2931"/>
      <c r="H40" s="2932"/>
      <c r="J40" s="3017"/>
      <c r="K40" s="2855"/>
      <c r="O40" s="2932"/>
      <c r="Q40" s="3037"/>
      <c r="AI40" s="3038">
        <v>44926</v>
      </c>
      <c r="AL40" s="3038">
        <v>45107</v>
      </c>
      <c r="AO40" s="3038">
        <v>45291</v>
      </c>
      <c r="AS40" s="3038">
        <v>45657</v>
      </c>
      <c r="AW40" s="3038">
        <v>46022</v>
      </c>
      <c r="BA40" s="3038">
        <v>46387</v>
      </c>
    </row>
    <row r="41" spans="1:55" ht="15">
      <c r="A41" s="2931"/>
      <c r="B41" s="2931"/>
      <c r="C41" s="2931"/>
      <c r="D41" s="2932"/>
      <c r="E41" s="2931"/>
      <c r="H41" s="3002"/>
      <c r="J41" s="3039" t="s">
        <v>787</v>
      </c>
      <c r="K41" s="2855"/>
      <c r="O41" s="3002"/>
      <c r="Q41" s="3040" t="s">
        <v>787</v>
      </c>
      <c r="AH41" s="2871" t="s">
        <v>2579</v>
      </c>
      <c r="AI41" s="2958">
        <f>AI28</f>
        <v>2169057.2662500003</v>
      </c>
      <c r="AJ41" s="2869">
        <f>AL41/AI41</f>
        <v>1.0715490487421795</v>
      </c>
      <c r="AK41" s="2871" t="s">
        <v>2579</v>
      </c>
      <c r="AL41" s="2958">
        <f>AL28</f>
        <v>2324251.2503175</v>
      </c>
      <c r="AN41" s="2869">
        <f>AO41/AL41</f>
        <v>1.0667716039934581</v>
      </c>
      <c r="AO41" s="2983">
        <f>AP28</f>
        <v>2479445.2343850001</v>
      </c>
      <c r="AP41" s="2871" t="s">
        <v>2579</v>
      </c>
      <c r="AR41" s="2869">
        <f>AS41/AO41</f>
        <v>2.0337589298901242</v>
      </c>
      <c r="AS41" s="2983">
        <f>AT28</f>
        <v>5042593.8866040064</v>
      </c>
      <c r="AT41" s="2983"/>
      <c r="AU41" s="2871" t="s">
        <v>2579</v>
      </c>
      <c r="AV41" s="2869">
        <f>AW41/AS41</f>
        <v>1.129495222298351</v>
      </c>
      <c r="AW41" s="2983">
        <f>AX28</f>
        <v>5695585.7029100973</v>
      </c>
      <c r="AY41" s="2871" t="s">
        <v>2579</v>
      </c>
      <c r="AZ41" s="2869">
        <f>BA41/AW41</f>
        <v>1.1092959059453875</v>
      </c>
      <c r="BA41" s="2983">
        <f>BB28</f>
        <v>6318089.9021992534</v>
      </c>
    </row>
    <row r="42" spans="1:55" ht="15">
      <c r="A42" s="2931"/>
      <c r="B42" s="3015">
        <v>0.7</v>
      </c>
      <c r="C42" s="2931" t="s">
        <v>2587</v>
      </c>
      <c r="D42" s="2932"/>
      <c r="E42" s="2931"/>
      <c r="H42" s="3016"/>
      <c r="J42" s="3017">
        <f>J21*B42</f>
        <v>418402.10478530143</v>
      </c>
      <c r="K42" s="2855"/>
      <c r="O42" s="3016"/>
      <c r="Q42" s="3018">
        <f>Q29*B42</f>
        <v>0</v>
      </c>
      <c r="AH42" s="2871" t="s">
        <v>2594</v>
      </c>
      <c r="AI42" s="2958">
        <f>AI33</f>
        <v>5188051.7766899709</v>
      </c>
      <c r="AJ42" s="2869">
        <f>AL42/AI42</f>
        <v>1.0045092994179834</v>
      </c>
      <c r="AK42" s="2871" t="s">
        <v>2594</v>
      </c>
      <c r="AL42" s="2958">
        <f>AL33</f>
        <v>5211446.2555470662</v>
      </c>
      <c r="AN42" s="2869">
        <f>AO42/AL42</f>
        <v>1.0385473270113394</v>
      </c>
      <c r="AO42" s="2958">
        <f>AP33</f>
        <v>5412333.5785616599</v>
      </c>
      <c r="AP42" s="2871" t="s">
        <v>2594</v>
      </c>
      <c r="AR42" s="2869">
        <f>AS42/AO42</f>
        <v>1.2087145927583691</v>
      </c>
      <c r="AS42" s="2958">
        <f>AT33</f>
        <v>6541966.5772836031</v>
      </c>
      <c r="AT42" s="2983"/>
      <c r="AU42" s="2871" t="s">
        <v>2594</v>
      </c>
      <c r="AV42" s="2869">
        <f>AW42/AS42</f>
        <v>1.0852528052705332</v>
      </c>
      <c r="AW42" s="2958">
        <f>AX33</f>
        <v>7099687.5799830984</v>
      </c>
      <c r="AY42" s="2871" t="s">
        <v>2594</v>
      </c>
      <c r="AZ42" s="2869">
        <f>BA42/AW42</f>
        <v>1.0247460150195231</v>
      </c>
      <c r="BA42" s="2958">
        <f>BB33</f>
        <v>7275376.5554712825</v>
      </c>
    </row>
    <row r="43" spans="1:55" ht="15.75" thickBot="1">
      <c r="A43" s="2931"/>
      <c r="B43" s="3015">
        <v>0.3</v>
      </c>
      <c r="C43" s="2931" t="s">
        <v>2589</v>
      </c>
      <c r="D43" s="2932"/>
      <c r="E43" s="2931"/>
      <c r="H43" s="3016"/>
      <c r="J43" s="3017">
        <f>J21*B43</f>
        <v>179315.18776512917</v>
      </c>
      <c r="K43" s="2855"/>
      <c r="O43" s="3016"/>
      <c r="Q43" s="3018">
        <f>Q29*B43</f>
        <v>0</v>
      </c>
      <c r="Y43" s="2998">
        <f>1-Y34-Y38</f>
        <v>9.1800000000000048E-2</v>
      </c>
      <c r="AH43" s="2871" t="s">
        <v>2595</v>
      </c>
      <c r="AI43" s="2958">
        <f>AI34</f>
        <v>1642262.6819168702</v>
      </c>
      <c r="AJ43" s="2869">
        <f>AL43/AI43</f>
        <v>1.0045092994179832</v>
      </c>
      <c r="AK43" s="2871" t="s">
        <v>2595</v>
      </c>
      <c r="AL43" s="2958">
        <f>AL34</f>
        <v>1649668.1360726135</v>
      </c>
      <c r="AN43" s="2869">
        <f>AO43/AL43</f>
        <v>1.0385473270113397</v>
      </c>
      <c r="AO43" s="2958">
        <f>AP34</f>
        <v>1713258.4331739917</v>
      </c>
      <c r="AP43" s="2871" t="s">
        <v>2595</v>
      </c>
      <c r="AR43" s="2869">
        <f>AS43/AO43</f>
        <v>1.2087145927583691</v>
      </c>
      <c r="AS43" s="2958">
        <f>AT34</f>
        <v>2070840.4693437428</v>
      </c>
      <c r="AT43" s="2983"/>
      <c r="AU43" s="2871" t="s">
        <v>2595</v>
      </c>
      <c r="AV43" s="2869">
        <f>AW43/AS43</f>
        <v>1.0852528052705332</v>
      </c>
      <c r="AW43" s="2958">
        <f>AX34</f>
        <v>2247385.4286230444</v>
      </c>
      <c r="AY43" s="2871" t="s">
        <v>2595</v>
      </c>
      <c r="AZ43" s="2869">
        <f>BA43/AW43</f>
        <v>1.0247460150195231</v>
      </c>
      <c r="BA43" s="2958">
        <f>BB34</f>
        <v>2302999.2621944076</v>
      </c>
    </row>
    <row r="44" spans="1:55" ht="16.5" thickTop="1" thickBot="1">
      <c r="A44" s="2931"/>
      <c r="B44" s="2931"/>
      <c r="C44" s="2931"/>
      <c r="D44" s="2932"/>
      <c r="E44" s="2931"/>
      <c r="H44" s="2946"/>
      <c r="J44" s="3031">
        <f>SUM(J42:J43)</f>
        <v>597717.29255043063</v>
      </c>
      <c r="K44" s="2855"/>
      <c r="O44" s="2946"/>
      <c r="Q44" s="3032">
        <f>SUM(Q42:Q43)</f>
        <v>0</v>
      </c>
    </row>
    <row r="45" spans="1:55" ht="13.5" thickTop="1">
      <c r="AL45" s="2958">
        <f>(AL13+AL17+AL19+AL21)*Y34*Y35</f>
        <v>1468907.2406261803</v>
      </c>
      <c r="AX45" s="3041" t="s">
        <v>2596</v>
      </c>
      <c r="AY45" s="3042"/>
      <c r="AZ45" s="3042"/>
      <c r="BA45" s="3043"/>
    </row>
    <row r="46" spans="1:55">
      <c r="AL46" s="3044">
        <f>(AL11-AL30)*Y34*Y35</f>
        <v>2445609.5831120866</v>
      </c>
      <c r="AX46" s="3045" t="s">
        <v>2597</v>
      </c>
      <c r="AY46" s="2871">
        <v>407459</v>
      </c>
      <c r="AZ46" s="2871" t="s">
        <v>2148</v>
      </c>
      <c r="BA46" s="3046">
        <v>127045</v>
      </c>
    </row>
    <row r="47" spans="1:55" ht="13.5" thickBot="1">
      <c r="AL47" s="2958">
        <f>AL28</f>
        <v>2324251.2503175</v>
      </c>
      <c r="AX47" s="3020"/>
      <c r="AY47" s="3047">
        <v>407459</v>
      </c>
      <c r="AZ47" s="3047" t="s">
        <v>2149</v>
      </c>
      <c r="BA47" s="3048">
        <v>8413</v>
      </c>
    </row>
    <row r="48" spans="1:55">
      <c r="F48" s="3049"/>
      <c r="G48" s="3049"/>
      <c r="H48" s="3049"/>
      <c r="I48" s="3049"/>
      <c r="J48" s="3049"/>
      <c r="K48" s="3049"/>
      <c r="L48" s="3049"/>
      <c r="M48" s="3049"/>
      <c r="N48" s="3049"/>
      <c r="AL48" s="2958">
        <f>SUM(AL45:AL47)</f>
        <v>6238768.0740557667</v>
      </c>
    </row>
    <row r="49" spans="6:54">
      <c r="G49" s="1478"/>
      <c r="J49" s="2883"/>
      <c r="M49" s="2883"/>
      <c r="AL49" s="2958">
        <v>552503</v>
      </c>
      <c r="AY49" s="3922" t="s">
        <v>2598</v>
      </c>
      <c r="BA49" s="3922" t="s">
        <v>2599</v>
      </c>
    </row>
    <row r="50" spans="6:54" ht="13.5" thickBot="1">
      <c r="G50" s="1478"/>
      <c r="J50" s="2883"/>
      <c r="M50" s="2883"/>
      <c r="AK50" s="2871" t="s">
        <v>538</v>
      </c>
      <c r="AX50" s="2866"/>
      <c r="AY50" s="3923"/>
      <c r="AZ50" s="2866"/>
      <c r="BA50" s="3923"/>
      <c r="BB50" s="3050" t="s">
        <v>2600</v>
      </c>
    </row>
    <row r="51" spans="6:54" ht="13.5" thickBot="1">
      <c r="G51" s="1478"/>
      <c r="AK51" s="2871" t="s">
        <v>2601</v>
      </c>
      <c r="AL51" s="3051">
        <f>AL15*Y34*Y35</f>
        <v>1339394.8806660823</v>
      </c>
      <c r="AM51" s="2871" t="s">
        <v>2602</v>
      </c>
      <c r="AX51" s="3052" t="s">
        <v>2148</v>
      </c>
      <c r="AY51" s="2981">
        <v>8271000</v>
      </c>
      <c r="AZ51" s="2981"/>
      <c r="BA51" s="3053">
        <f>AX36</f>
        <v>12795273.282893196</v>
      </c>
      <c r="BB51" s="3053">
        <f>BA51-AY51</f>
        <v>4524273.2828931957</v>
      </c>
    </row>
    <row r="52" spans="6:54">
      <c r="F52" s="3049"/>
      <c r="G52" s="3054"/>
      <c r="H52" s="3049"/>
      <c r="I52" s="3049"/>
      <c r="J52" s="3049"/>
      <c r="K52" s="3049"/>
      <c r="L52" s="3049"/>
      <c r="M52" s="3049"/>
      <c r="N52" s="3049"/>
      <c r="AK52" s="2871" t="s">
        <v>2579</v>
      </c>
      <c r="AL52" s="2958">
        <f>AL41</f>
        <v>2324251.2503175</v>
      </c>
      <c r="AX52" s="3052" t="s">
        <v>2149</v>
      </c>
      <c r="AY52" s="2981">
        <v>1746000</v>
      </c>
      <c r="AZ52" s="2981"/>
      <c r="BA52" s="3053">
        <f>AX37</f>
        <v>2247385.4286230444</v>
      </c>
      <c r="BB52" s="3053">
        <f>BA52-AY52</f>
        <v>501385.4286230444</v>
      </c>
    </row>
    <row r="53" spans="6:54">
      <c r="G53" s="1478"/>
      <c r="J53" s="2883"/>
      <c r="M53" s="2883"/>
      <c r="AK53" s="2871" t="s">
        <v>2594</v>
      </c>
      <c r="AL53" s="3055">
        <f>(AL13+AL17+AL19+AL21+AL11-AL30+AL25)*Y34*Y35</f>
        <v>3872051.3748809835</v>
      </c>
    </row>
    <row r="54" spans="6:54">
      <c r="G54" s="1478"/>
      <c r="J54" s="2883"/>
      <c r="M54" s="2883"/>
      <c r="AL54" s="2958">
        <f>SUM(AL52:AL53)</f>
        <v>6196302.6251984835</v>
      </c>
    </row>
    <row r="55" spans="6:54" ht="13.5" thickBot="1">
      <c r="AK55" s="2871" t="s">
        <v>2603</v>
      </c>
      <c r="AL55" s="2958">
        <v>552503</v>
      </c>
      <c r="BA55" s="2871" t="s">
        <v>2600</v>
      </c>
    </row>
    <row r="56" spans="6:54" ht="13.5" thickBot="1">
      <c r="AL56" s="3056">
        <f>SUM(AL54:AL55)</f>
        <v>6748805.6251984835</v>
      </c>
      <c r="AM56" s="2871" t="s">
        <v>2602</v>
      </c>
      <c r="BA56" s="3057" t="s">
        <v>2604</v>
      </c>
      <c r="BB56" s="3057">
        <v>2025</v>
      </c>
    </row>
    <row r="57" spans="6:54">
      <c r="AK57" s="2966" t="s">
        <v>538</v>
      </c>
      <c r="AL57" s="3044">
        <f>AL51+AL56</f>
        <v>8088200.5058645662</v>
      </c>
      <c r="AZ57" s="3052" t="s">
        <v>2148</v>
      </c>
      <c r="BA57" s="3058">
        <f>(AT36-AL36)*1.049862/1000</f>
        <v>4250.7473628359885</v>
      </c>
      <c r="BB57" s="3058">
        <f>(AX36-AT36)*1.049862/1000</f>
        <v>1271.081381586843</v>
      </c>
    </row>
    <row r="58" spans="6:54">
      <c r="AK58" s="2966"/>
      <c r="AL58" s="3044"/>
      <c r="AZ58" s="3052" t="s">
        <v>2149</v>
      </c>
      <c r="BA58" s="3058">
        <f>(AT37-AL37)*1.049862/1000</f>
        <v>442.17282815269436</v>
      </c>
      <c r="BB58" s="3058">
        <f>(AX37-AT37)*1.049862/1000</f>
        <v>185.34784403888614</v>
      </c>
    </row>
    <row r="59" spans="6:54" ht="13.5" thickBot="1">
      <c r="AK59" s="2871" t="s">
        <v>2605</v>
      </c>
      <c r="AL59" s="3059"/>
    </row>
    <row r="60" spans="6:54" ht="13.5" thickBot="1">
      <c r="AK60" s="2871" t="s">
        <v>2601</v>
      </c>
      <c r="AL60" s="3051">
        <f>AL15*Y38*Y39</f>
        <v>423981.5490568981</v>
      </c>
      <c r="AM60" s="2871" t="s">
        <v>2606</v>
      </c>
    </row>
    <row r="61" spans="6:54">
      <c r="AK61" s="2871" t="s">
        <v>2594</v>
      </c>
      <c r="AL61" s="3059">
        <f>(AL11+AL13+AL17+AL19+AL21+AL25-AL30)*Y38*Y39</f>
        <v>1225686.5870157152</v>
      </c>
    </row>
    <row r="62" spans="6:54" ht="13.5" thickBot="1">
      <c r="AK62" s="2871" t="s">
        <v>2603</v>
      </c>
      <c r="AL62" s="3060">
        <v>55582</v>
      </c>
    </row>
    <row r="63" spans="6:54" ht="13.5" thickBot="1">
      <c r="AK63" s="2966" t="s">
        <v>2605</v>
      </c>
      <c r="AL63" s="3051">
        <f>SUM(AL61:AL62)</f>
        <v>1281268.5870157152</v>
      </c>
      <c r="AM63" s="2871" t="s">
        <v>2606</v>
      </c>
    </row>
    <row r="65" spans="37:38">
      <c r="AK65" s="2871" t="s">
        <v>2580</v>
      </c>
      <c r="AL65" s="2958">
        <f>AL29</f>
        <v>1159716.9571825</v>
      </c>
    </row>
    <row r="66" spans="37:38">
      <c r="AK66" s="2871" t="s">
        <v>676</v>
      </c>
      <c r="AL66" s="2958">
        <f>AL32*Y43</f>
        <v>1019303.2703906472</v>
      </c>
    </row>
    <row r="67" spans="37:38">
      <c r="AK67" s="2871" t="s">
        <v>2607</v>
      </c>
      <c r="AL67" s="2958">
        <f>AL32*Y34*AA35</f>
        <v>2573454.7132578371</v>
      </c>
    </row>
    <row r="68" spans="37:38">
      <c r="AK68" s="2871" t="s">
        <v>2608</v>
      </c>
      <c r="AL68" s="2958">
        <f>AL32*Y38*AA39</f>
        <v>649649.08868223499</v>
      </c>
    </row>
    <row r="70" spans="37:38">
      <c r="AK70" s="2871" t="s">
        <v>24</v>
      </c>
      <c r="AL70" s="3044">
        <f>AL57+AL63+AL66+AL67+AL68+AL65-AL55-AL62-AL26+AL60</f>
        <v>-6.9849193096160889E-10</v>
      </c>
    </row>
  </sheetData>
  <mergeCells count="22">
    <mergeCell ref="AY49:AY50"/>
    <mergeCell ref="BA49:BA50"/>
    <mergeCell ref="AW8:AY8"/>
    <mergeCell ref="BA8:BC8"/>
    <mergeCell ref="AQ24:AR25"/>
    <mergeCell ref="AU24:AV25"/>
    <mergeCell ref="AY24:AZ25"/>
    <mergeCell ref="AX38:AY39"/>
    <mergeCell ref="BB38:BC39"/>
    <mergeCell ref="AA5:AC5"/>
    <mergeCell ref="AI5:AI6"/>
    <mergeCell ref="AS5:AU6"/>
    <mergeCell ref="AA8:AC8"/>
    <mergeCell ref="AD8:AF8"/>
    <mergeCell ref="AO8:AQ8"/>
    <mergeCell ref="AS8:AU8"/>
    <mergeCell ref="A1:F1"/>
    <mergeCell ref="A2:F2"/>
    <mergeCell ref="AO2:AS3"/>
    <mergeCell ref="A3:F3"/>
    <mergeCell ref="E4:F4"/>
    <mergeCell ref="AH4:AI4"/>
  </mergeCells>
  <pageMargins left="0.7" right="0.7" top="0.75" bottom="0.75" header="0.3" footer="0.3"/>
  <drawing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B0A5-6F37-48A4-8DD9-647AA1319CEA}">
  <dimension ref="A1:AA42"/>
  <sheetViews>
    <sheetView workbookViewId="0">
      <selection sqref="A1:S1"/>
    </sheetView>
  </sheetViews>
  <sheetFormatPr defaultColWidth="8.85546875" defaultRowHeight="15"/>
  <cols>
    <col min="1" max="1" width="41.42578125" style="2459" customWidth="1"/>
    <col min="2" max="2" width="8.28515625" style="2459" customWidth="1"/>
    <col min="3" max="3" width="15.7109375" style="2459" customWidth="1"/>
    <col min="4" max="4" width="6.7109375" style="2476" bestFit="1" customWidth="1"/>
    <col min="5" max="5" width="11.5703125" style="2459" customWidth="1"/>
    <col min="6" max="6" width="5.85546875" style="2476" customWidth="1"/>
    <col min="7" max="7" width="11.5703125" style="2459" customWidth="1"/>
    <col min="8" max="8" width="5.85546875" style="2476" customWidth="1"/>
    <col min="9" max="9" width="11.5703125" style="2459" customWidth="1"/>
    <col min="10" max="10" width="5.85546875" style="2476" customWidth="1"/>
    <col min="11" max="11" width="11.5703125" style="2459" customWidth="1"/>
    <col min="12" max="12" width="5.85546875" style="2476" customWidth="1"/>
    <col min="13" max="13" width="11.5703125" style="2459" customWidth="1"/>
    <col min="14" max="14" width="6.7109375" style="2476" bestFit="1" customWidth="1"/>
    <col min="15" max="15" width="11.5703125" style="2459" customWidth="1"/>
    <col min="16" max="16" width="6.7109375" style="2476" bestFit="1" customWidth="1"/>
    <col min="17" max="17" width="11.5703125" style="2459" customWidth="1"/>
    <col min="18" max="18" width="1.85546875" style="2459" customWidth="1"/>
    <col min="19" max="19" width="14.28515625" style="2459" bestFit="1" customWidth="1"/>
    <col min="20" max="20" width="8.85546875" style="2459"/>
    <col min="21" max="21" width="1.7109375" style="2142" customWidth="1"/>
    <col min="22" max="22" width="8.85546875" style="2141"/>
    <col min="23" max="23" width="11.140625" style="3062" bestFit="1" customWidth="1"/>
    <col min="24" max="24" width="9" style="3062" bestFit="1" customWidth="1"/>
    <col min="25" max="25" width="42.5703125" style="3062" bestFit="1" customWidth="1"/>
    <col min="26" max="26" width="24" style="3062" bestFit="1" customWidth="1"/>
    <col min="27" max="27" width="20.28515625" style="3062" bestFit="1" customWidth="1"/>
    <col min="28" max="16384" width="8.85546875" style="2141"/>
  </cols>
  <sheetData>
    <row r="1" spans="1:27">
      <c r="A1" s="3929" t="s">
        <v>1204</v>
      </c>
      <c r="B1" s="3929"/>
      <c r="C1" s="3929"/>
      <c r="D1" s="3930"/>
      <c r="E1" s="3929"/>
      <c r="F1" s="3929"/>
      <c r="G1" s="3929"/>
      <c r="H1" s="3929"/>
      <c r="I1" s="3929"/>
      <c r="J1" s="3929"/>
      <c r="K1" s="3929"/>
      <c r="L1" s="3930"/>
      <c r="M1" s="3929"/>
      <c r="N1" s="3929"/>
      <c r="O1" s="3929"/>
      <c r="P1" s="3929"/>
      <c r="Q1" s="3929"/>
      <c r="R1" s="3929"/>
      <c r="S1" s="3929"/>
      <c r="T1" s="3061"/>
    </row>
    <row r="2" spans="1:27">
      <c r="A2" s="3929" t="s">
        <v>2530</v>
      </c>
      <c r="B2" s="3929"/>
      <c r="C2" s="3929"/>
      <c r="D2" s="3930"/>
      <c r="E2" s="3929"/>
      <c r="F2" s="3929"/>
      <c r="G2" s="3929"/>
      <c r="H2" s="3929"/>
      <c r="I2" s="3929"/>
      <c r="J2" s="3929"/>
      <c r="K2" s="3929"/>
      <c r="L2" s="3930"/>
      <c r="M2" s="3929"/>
      <c r="N2" s="3929"/>
      <c r="O2" s="3929"/>
      <c r="P2" s="3929"/>
      <c r="Q2" s="3929"/>
      <c r="R2" s="3929"/>
      <c r="S2" s="3929"/>
      <c r="T2" s="3061"/>
      <c r="W2" s="3062" t="s">
        <v>2609</v>
      </c>
      <c r="X2" s="3062" t="s">
        <v>2610</v>
      </c>
      <c r="Y2" s="3062" t="s">
        <v>2611</v>
      </c>
      <c r="Z2" s="3063" t="s">
        <v>2612</v>
      </c>
      <c r="AA2" s="3063" t="s">
        <v>2613</v>
      </c>
    </row>
    <row r="3" spans="1:27">
      <c r="A3" s="3929" t="s">
        <v>2614</v>
      </c>
      <c r="B3" s="3929"/>
      <c r="C3" s="3929"/>
      <c r="D3" s="3930"/>
      <c r="E3" s="3929"/>
      <c r="F3" s="3929"/>
      <c r="G3" s="3929"/>
      <c r="H3" s="3929"/>
      <c r="I3" s="3929"/>
      <c r="J3" s="3929"/>
      <c r="K3" s="3929"/>
      <c r="L3" s="3930"/>
      <c r="M3" s="3929"/>
      <c r="N3" s="3929"/>
      <c r="O3" s="3929"/>
      <c r="P3" s="3929"/>
      <c r="Q3" s="3929"/>
      <c r="R3" s="3929"/>
      <c r="S3" s="3929"/>
      <c r="T3" s="3061"/>
      <c r="W3" s="3062" t="s">
        <v>682</v>
      </c>
      <c r="X3" s="3062" t="s">
        <v>678</v>
      </c>
      <c r="Y3" s="3062" t="s">
        <v>2615</v>
      </c>
      <c r="Z3" s="3064">
        <v>539116.37</v>
      </c>
      <c r="AA3" s="3064">
        <v>564158.51</v>
      </c>
    </row>
    <row r="4" spans="1:27">
      <c r="A4" s="3929" t="s">
        <v>2616</v>
      </c>
      <c r="B4" s="3929"/>
      <c r="C4" s="3929"/>
      <c r="D4" s="3930"/>
      <c r="E4" s="3929"/>
      <c r="F4" s="3929"/>
      <c r="G4" s="3929"/>
      <c r="H4" s="3929"/>
      <c r="I4" s="3929"/>
      <c r="J4" s="3929"/>
      <c r="K4" s="3929"/>
      <c r="L4" s="3930"/>
      <c r="M4" s="3929"/>
      <c r="N4" s="3929"/>
      <c r="O4" s="3929"/>
      <c r="P4" s="3929"/>
      <c r="Q4" s="3929"/>
      <c r="R4" s="3929"/>
      <c r="S4" s="3929"/>
      <c r="T4" s="3061"/>
      <c r="Y4" s="3062" t="s">
        <v>2617</v>
      </c>
      <c r="Z4" s="3064">
        <v>1713800.9500000002</v>
      </c>
      <c r="AA4" s="3064">
        <f>1033084.95+56343.82</f>
        <v>1089428.77</v>
      </c>
    </row>
    <row r="5" spans="1:27">
      <c r="A5" s="3065"/>
      <c r="B5" s="3065"/>
      <c r="C5" s="3065"/>
      <c r="D5" s="3066"/>
      <c r="E5" s="3065"/>
      <c r="F5" s="3066"/>
      <c r="G5" s="3065"/>
      <c r="H5" s="3066"/>
      <c r="I5" s="3065"/>
      <c r="J5" s="3066"/>
      <c r="K5" s="3065"/>
      <c r="L5" s="3066"/>
      <c r="M5" s="3065"/>
      <c r="N5" s="3066"/>
      <c r="O5" s="3065"/>
      <c r="P5" s="3066"/>
      <c r="Q5" s="3065"/>
      <c r="R5" s="3065"/>
      <c r="S5" s="3065"/>
      <c r="T5" s="3061"/>
      <c r="Y5" s="3062" t="s">
        <v>2618</v>
      </c>
      <c r="Z5" s="3064">
        <v>1108713.3800000001</v>
      </c>
      <c r="AA5" s="3064">
        <v>1030270.7199999999</v>
      </c>
    </row>
    <row r="6" spans="1:27">
      <c r="C6" s="3067" t="s">
        <v>723</v>
      </c>
      <c r="D6" s="3068"/>
      <c r="E6" s="3067" t="s">
        <v>721</v>
      </c>
      <c r="F6" s="3068"/>
      <c r="G6" s="3067" t="s">
        <v>2619</v>
      </c>
      <c r="H6" s="3068"/>
      <c r="I6" s="3067" t="s">
        <v>2620</v>
      </c>
      <c r="J6" s="3068"/>
      <c r="K6" s="3067" t="s">
        <v>2621</v>
      </c>
      <c r="L6" s="3068"/>
      <c r="M6" s="3067" t="s">
        <v>968</v>
      </c>
      <c r="N6" s="3068"/>
      <c r="O6" s="3067" t="s">
        <v>2622</v>
      </c>
      <c r="P6" s="3068"/>
      <c r="Q6" s="3067" t="s">
        <v>973</v>
      </c>
      <c r="R6" s="3067"/>
      <c r="S6" s="3067" t="s">
        <v>2623</v>
      </c>
      <c r="Y6" s="3062" t="s">
        <v>2624</v>
      </c>
      <c r="Z6" s="3064">
        <v>12450520.269999998</v>
      </c>
      <c r="AA6" s="3064">
        <f>9741487.94000001+3188949.53</f>
        <v>12930437.47000001</v>
      </c>
    </row>
    <row r="7" spans="1:27">
      <c r="A7" s="2459" t="s">
        <v>2625</v>
      </c>
      <c r="B7" s="3069" t="s">
        <v>2626</v>
      </c>
      <c r="C7" s="3070">
        <f>'G-3.13 PF IS-IT'!AA13</f>
        <v>169177.84000001103</v>
      </c>
      <c r="D7" s="3069" t="s">
        <v>2626</v>
      </c>
      <c r="E7" s="3070">
        <f>'G-3.13 PF IS-IT'!AA18</f>
        <v>-27774.5</v>
      </c>
      <c r="F7" s="3069"/>
      <c r="G7" s="3071">
        <f>0</f>
        <v>0</v>
      </c>
      <c r="H7" s="3069" t="s">
        <v>2626</v>
      </c>
      <c r="I7" s="3071">
        <v>0</v>
      </c>
      <c r="J7" s="3069" t="s">
        <v>2626</v>
      </c>
      <c r="K7" s="3070">
        <f>'G-3.13 PF IS-IT'!AA28</f>
        <v>1831.1800000001676</v>
      </c>
      <c r="L7" s="3069" t="s">
        <v>2626</v>
      </c>
      <c r="M7" s="3070">
        <f>'G-3.13 PF IS-IT'!AA33</f>
        <v>35195.94</v>
      </c>
      <c r="N7" s="3069"/>
      <c r="O7" s="3071">
        <v>0</v>
      </c>
      <c r="P7" s="3069"/>
      <c r="Q7" s="3071">
        <v>0</v>
      </c>
      <c r="R7" s="3072"/>
      <c r="S7" s="3070">
        <f>SUM(C7,E7,I7,G7,K7,M7,O7,Q7)</f>
        <v>178430.4600000112</v>
      </c>
      <c r="Y7" s="3062" t="s">
        <v>2627</v>
      </c>
      <c r="Z7" s="3064">
        <v>1380537.4199999997</v>
      </c>
      <c r="AA7" s="3064">
        <f>1428962.77+72960</f>
        <v>1501922.77</v>
      </c>
    </row>
    <row r="8" spans="1:27">
      <c r="A8" s="2459" t="s">
        <v>2628</v>
      </c>
      <c r="B8" s="3069" t="s">
        <v>2629</v>
      </c>
      <c r="C8" s="3073"/>
      <c r="D8" s="3069"/>
      <c r="E8" s="3074"/>
      <c r="F8" s="3069"/>
      <c r="G8" s="3075"/>
      <c r="H8" s="3069"/>
      <c r="I8" s="3075"/>
      <c r="J8" s="3069"/>
      <c r="K8" s="3075"/>
      <c r="L8" s="3069"/>
      <c r="M8" s="3075"/>
      <c r="N8" s="3069"/>
      <c r="O8" s="3074">
        <v>0</v>
      </c>
      <c r="P8" s="3069"/>
      <c r="Q8" s="3074">
        <v>0</v>
      </c>
      <c r="R8" s="3076"/>
      <c r="S8" s="3075">
        <f>SUM(C8,E8,G8,I8,K8,M8,O8,Q8)</f>
        <v>0</v>
      </c>
      <c r="Y8" s="3062" t="s">
        <v>2630</v>
      </c>
      <c r="Z8" s="3064">
        <v>2130866.8699999996</v>
      </c>
      <c r="AA8" s="3064">
        <v>2376514.8600000008</v>
      </c>
    </row>
    <row r="9" spans="1:27">
      <c r="A9" s="2459" t="s">
        <v>2631</v>
      </c>
      <c r="B9" s="3077"/>
      <c r="C9" s="3078">
        <f>SUM(C7:C8)</f>
        <v>169177.84000001103</v>
      </c>
      <c r="D9" s="3079"/>
      <c r="E9" s="3078">
        <f>SUM(E7:E8)</f>
        <v>-27774.5</v>
      </c>
      <c r="F9" s="3079"/>
      <c r="G9" s="3078">
        <f>SUM(G7:G8)</f>
        <v>0</v>
      </c>
      <c r="H9" s="3079"/>
      <c r="I9" s="3078">
        <f>SUM(I7:I8)</f>
        <v>0</v>
      </c>
      <c r="J9" s="3079"/>
      <c r="K9" s="3078">
        <f>SUM(K7:K8)</f>
        <v>1831.1800000001676</v>
      </c>
      <c r="L9" s="3079"/>
      <c r="M9" s="3078">
        <f>SUM(M7:M8)</f>
        <v>35195.94</v>
      </c>
      <c r="N9" s="3079"/>
      <c r="O9" s="3078">
        <f>SUM(O7:O8)</f>
        <v>0</v>
      </c>
      <c r="P9" s="3079"/>
      <c r="Q9" s="3078">
        <f>SUM(Q7:Q8)</f>
        <v>0</v>
      </c>
      <c r="R9" s="2895"/>
      <c r="S9" s="3080">
        <f>SUM(S7:S8)</f>
        <v>178430.4600000112</v>
      </c>
      <c r="Y9" s="3062" t="s">
        <v>24</v>
      </c>
      <c r="Z9" s="3081">
        <f>SUM(Z3:Z8)</f>
        <v>19323555.259999998</v>
      </c>
      <c r="AA9" s="3081">
        <f>SUM(AA3:AA8)</f>
        <v>19492733.100000009</v>
      </c>
    </row>
    <row r="10" spans="1:27">
      <c r="E10" s="3082"/>
      <c r="F10" s="3083"/>
      <c r="H10" s="3083"/>
      <c r="J10" s="3083"/>
      <c r="L10" s="3083"/>
      <c r="O10" s="3082"/>
      <c r="Q10" s="3082"/>
      <c r="R10" s="3082"/>
      <c r="Z10" s="3064"/>
      <c r="AA10" s="3064"/>
    </row>
    <row r="11" spans="1:27">
      <c r="A11" s="2931"/>
      <c r="B11" s="2931"/>
      <c r="C11" s="2931"/>
      <c r="D11" s="2930"/>
      <c r="E11" s="3084"/>
      <c r="F11" s="3085"/>
      <c r="G11" s="2931"/>
      <c r="H11" s="3085"/>
      <c r="I11" s="2931"/>
      <c r="J11" s="3085"/>
      <c r="K11" s="2931"/>
      <c r="L11" s="3085"/>
      <c r="M11" s="2931"/>
      <c r="N11" s="2930"/>
      <c r="O11" s="3084"/>
      <c r="P11" s="2930"/>
      <c r="Q11" s="3084"/>
      <c r="R11" s="3084"/>
      <c r="W11" s="3086"/>
      <c r="X11" s="3062" t="s">
        <v>2632</v>
      </c>
      <c r="Z11" s="3087">
        <f>SUM(Z3:Z8)</f>
        <v>19323555.259999998</v>
      </c>
      <c r="AA11" s="3087">
        <f>SUM(AA3:AA8)</f>
        <v>19492733.100000009</v>
      </c>
    </row>
    <row r="12" spans="1:27" ht="15.75" thickBot="1">
      <c r="A12" s="3088" t="s">
        <v>2470</v>
      </c>
      <c r="B12" s="2931"/>
      <c r="C12" s="2931"/>
      <c r="D12" s="2930"/>
      <c r="E12" s="3084"/>
      <c r="F12" s="3085"/>
      <c r="G12" s="2931"/>
      <c r="H12" s="3085"/>
      <c r="I12" s="2931"/>
      <c r="J12" s="3085"/>
      <c r="K12" s="2931"/>
      <c r="L12" s="3085"/>
      <c r="M12" s="2931"/>
      <c r="N12" s="2930"/>
      <c r="O12" s="3084"/>
      <c r="P12" s="2930"/>
      <c r="Q12" s="3084"/>
      <c r="R12" s="3084"/>
      <c r="Z12" s="3089"/>
      <c r="AA12" s="3089"/>
    </row>
    <row r="13" spans="1:27" ht="15.75" thickBot="1">
      <c r="A13" s="2476" t="s">
        <v>2633</v>
      </c>
      <c r="B13" s="3090">
        <v>0.77144000000000001</v>
      </c>
      <c r="C13" s="2931"/>
      <c r="E13" s="3084"/>
      <c r="F13" s="3085"/>
      <c r="G13" s="2931"/>
      <c r="H13" s="3085"/>
      <c r="I13" s="2931"/>
      <c r="J13" s="3085"/>
      <c r="K13" s="2931"/>
      <c r="L13" s="3085"/>
      <c r="M13" s="2931"/>
      <c r="O13" s="3084"/>
      <c r="Q13" s="3084"/>
      <c r="R13" s="3084"/>
      <c r="W13" s="3091" t="s">
        <v>682</v>
      </c>
      <c r="X13" s="3092" t="s">
        <v>678</v>
      </c>
      <c r="Y13" s="3063" t="s">
        <v>19</v>
      </c>
      <c r="Z13" s="3093"/>
      <c r="AA13" s="3094">
        <f>AA11-Z11</f>
        <v>169177.84000001103</v>
      </c>
    </row>
    <row r="14" spans="1:27">
      <c r="A14" s="2476" t="s">
        <v>2634</v>
      </c>
      <c r="B14" s="3090">
        <v>0.70111999999999997</v>
      </c>
      <c r="C14" s="2931"/>
      <c r="D14" s="2943"/>
      <c r="E14" s="3084"/>
      <c r="F14" s="3085"/>
      <c r="G14" s="2931"/>
      <c r="H14" s="3085"/>
      <c r="I14" s="2931"/>
      <c r="J14" s="3085"/>
      <c r="K14" s="2931"/>
      <c r="L14" s="3085"/>
      <c r="M14" s="2931"/>
      <c r="N14" s="2943"/>
      <c r="O14" s="3084"/>
      <c r="P14" s="2943"/>
      <c r="Q14" s="3084"/>
      <c r="R14" s="3084"/>
      <c r="W14" s="3095"/>
      <c r="Z14" s="3089"/>
      <c r="AA14" s="3089"/>
    </row>
    <row r="15" spans="1:27" ht="15.75" thickBot="1">
      <c r="A15" s="2476" t="s">
        <v>1499</v>
      </c>
      <c r="B15" s="3090">
        <v>0.66942999999999997</v>
      </c>
      <c r="C15" s="3096">
        <f>ROUND((C9)*$B$14*$B$15,0)</f>
        <v>79404</v>
      </c>
      <c r="D15" s="2943"/>
      <c r="E15" s="3096">
        <f>ROUND((E9)*$B$15*$B$13,0)</f>
        <v>-14343</v>
      </c>
      <c r="F15" s="3097"/>
      <c r="G15" s="3096">
        <f>ROUND((G9)*$B$13,0)</f>
        <v>0</v>
      </c>
      <c r="H15" s="3097"/>
      <c r="I15" s="3096">
        <v>0</v>
      </c>
      <c r="J15" s="3097"/>
      <c r="K15" s="3096">
        <f>ROUND((K9)*$B$15,0)</f>
        <v>1226</v>
      </c>
      <c r="L15" s="3097"/>
      <c r="M15" s="3096">
        <f>M9</f>
        <v>35195.94</v>
      </c>
      <c r="N15" s="2943"/>
      <c r="O15" s="3096">
        <v>0</v>
      </c>
      <c r="P15" s="2943"/>
      <c r="Q15" s="3096">
        <v>0</v>
      </c>
      <c r="R15" s="3098"/>
      <c r="S15" s="3099">
        <f>SUM(C15,E15,G15,I15,K15,M15,O15,Q15)</f>
        <v>101482.94</v>
      </c>
      <c r="W15" s="3095"/>
      <c r="X15" s="3062" t="s">
        <v>677</v>
      </c>
      <c r="Y15" s="3062" t="s">
        <v>2624</v>
      </c>
      <c r="Z15" s="3064">
        <v>76416.5</v>
      </c>
      <c r="AA15" s="3064">
        <v>48642</v>
      </c>
    </row>
    <row r="16" spans="1:27" ht="15.75" thickTop="1">
      <c r="A16" s="2930"/>
      <c r="B16" s="3100"/>
      <c r="C16" s="2931"/>
      <c r="D16" s="2943"/>
      <c r="E16" s="2931"/>
      <c r="F16" s="3085"/>
      <c r="G16" s="2931"/>
      <c r="H16" s="3085"/>
      <c r="I16" s="2931"/>
      <c r="J16" s="3085"/>
      <c r="K16" s="2931"/>
      <c r="L16" s="3085"/>
      <c r="M16" s="2931"/>
      <c r="N16" s="2943"/>
      <c r="O16" s="2931"/>
      <c r="P16" s="2943"/>
      <c r="Q16" s="2931"/>
      <c r="R16" s="3084"/>
      <c r="S16" s="2931"/>
      <c r="W16" s="3095"/>
      <c r="X16" s="3062" t="s">
        <v>2635</v>
      </c>
      <c r="Z16" s="3087">
        <f>SUM(Z15:Z15)</f>
        <v>76416.5</v>
      </c>
      <c r="AA16" s="3087">
        <f>SUM(AA15:AA15)</f>
        <v>48642</v>
      </c>
    </row>
    <row r="17" spans="1:27" ht="15.75" thickBot="1">
      <c r="A17" s="3088" t="s">
        <v>2476</v>
      </c>
      <c r="B17" s="3100"/>
      <c r="C17" s="2931"/>
      <c r="D17" s="2943"/>
      <c r="E17" s="2931"/>
      <c r="F17" s="3085"/>
      <c r="G17" s="2931"/>
      <c r="H17" s="3085"/>
      <c r="I17" s="2931"/>
      <c r="J17" s="3085"/>
      <c r="K17" s="2931"/>
      <c r="L17" s="3085"/>
      <c r="M17" s="2931"/>
      <c r="N17" s="2943"/>
      <c r="O17" s="2931"/>
      <c r="P17" s="2943"/>
      <c r="Q17" s="2931"/>
      <c r="R17" s="3084"/>
      <c r="S17" s="2931"/>
      <c r="W17" s="3095"/>
      <c r="Z17" s="3089"/>
      <c r="AA17" s="3089"/>
    </row>
    <row r="18" spans="1:27" ht="15.75" thickBot="1">
      <c r="A18" s="2476" t="s">
        <v>2633</v>
      </c>
      <c r="B18" s="3090">
        <v>0.22856000000000001</v>
      </c>
      <c r="C18" s="2931"/>
      <c r="E18" s="2931"/>
      <c r="F18" s="3085"/>
      <c r="G18" s="2931"/>
      <c r="H18" s="3085"/>
      <c r="I18" s="2931"/>
      <c r="J18" s="3085"/>
      <c r="K18" s="2931"/>
      <c r="L18" s="3085"/>
      <c r="M18" s="2931"/>
      <c r="O18" s="2931"/>
      <c r="Q18" s="2931"/>
      <c r="R18" s="3084"/>
      <c r="S18" s="2931"/>
      <c r="W18" s="3091" t="s">
        <v>682</v>
      </c>
      <c r="X18" s="3092" t="s">
        <v>677</v>
      </c>
      <c r="Y18" s="3063" t="s">
        <v>19</v>
      </c>
      <c r="Z18" s="3093"/>
      <c r="AA18" s="3094">
        <f>AA16-Z16</f>
        <v>-27774.5</v>
      </c>
    </row>
    <row r="19" spans="1:27">
      <c r="A19" s="2476" t="s">
        <v>2634</v>
      </c>
      <c r="B19" s="3090">
        <v>0.20707999999999999</v>
      </c>
      <c r="C19" s="2931"/>
      <c r="D19" s="2943"/>
      <c r="E19" s="2931"/>
      <c r="F19" s="3085"/>
      <c r="G19" s="2931"/>
      <c r="H19" s="3085"/>
      <c r="I19" s="2931"/>
      <c r="J19" s="3085"/>
      <c r="K19" s="2931"/>
      <c r="L19" s="3085"/>
      <c r="M19" s="2931"/>
      <c r="N19" s="2943"/>
      <c r="O19" s="2931"/>
      <c r="P19" s="2943"/>
      <c r="Q19" s="2931"/>
      <c r="R19" s="3084"/>
      <c r="S19" s="2931"/>
      <c r="W19" s="3095"/>
      <c r="Z19" s="3089"/>
      <c r="AA19" s="3089"/>
    </row>
    <row r="20" spans="1:27" ht="15.75" thickBot="1">
      <c r="A20" s="2476" t="s">
        <v>1499</v>
      </c>
      <c r="B20" s="3090">
        <v>0.71745999999999999</v>
      </c>
      <c r="C20" s="3096">
        <f>ROUND((C9)*$B$19*$B$20,0)</f>
        <v>25135</v>
      </c>
      <c r="D20" s="2943"/>
      <c r="E20" s="3096">
        <f>ROUND((E9)*$B$20*$B$18,0)</f>
        <v>-4555</v>
      </c>
      <c r="F20" s="3097"/>
      <c r="G20" s="3096">
        <f>ROUND((G9)*$B$18,0)</f>
        <v>0</v>
      </c>
      <c r="H20" s="3097"/>
      <c r="I20" s="3096">
        <v>0</v>
      </c>
      <c r="J20" s="3097"/>
      <c r="K20" s="3096">
        <v>0</v>
      </c>
      <c r="L20" s="3097"/>
      <c r="M20" s="3096">
        <v>0</v>
      </c>
      <c r="N20" s="2943"/>
      <c r="O20" s="3096">
        <f>ROUND((O9)*B20,0)</f>
        <v>0</v>
      </c>
      <c r="P20" s="2943"/>
      <c r="Q20" s="3096">
        <v>0</v>
      </c>
      <c r="R20" s="3098"/>
      <c r="S20" s="3099">
        <f>SUM(C20,E20,G20,I20,K20,M20,O20,Q20)</f>
        <v>20580</v>
      </c>
      <c r="W20" s="3062" t="s">
        <v>2268</v>
      </c>
      <c r="Z20" s="3101">
        <f>SUM(Z16,Z11)</f>
        <v>19399971.759999998</v>
      </c>
      <c r="AA20" s="3101">
        <f>SUM(AA16,AA11)</f>
        <v>19541375.100000009</v>
      </c>
    </row>
    <row r="21" spans="1:27" ht="15.75" thickTop="1">
      <c r="A21" s="2930"/>
      <c r="B21" s="3100"/>
      <c r="C21" s="2931"/>
      <c r="D21" s="2943"/>
      <c r="E21" s="2931"/>
      <c r="F21" s="3085"/>
      <c r="G21" s="2931"/>
      <c r="H21" s="3085"/>
      <c r="I21" s="2931"/>
      <c r="J21" s="3085"/>
      <c r="K21" s="2931"/>
      <c r="L21" s="3085"/>
      <c r="M21" s="2931"/>
      <c r="N21" s="2943"/>
      <c r="O21" s="2931"/>
      <c r="P21" s="2943"/>
      <c r="Q21" s="2931"/>
      <c r="R21" s="3084"/>
      <c r="S21" s="2931"/>
      <c r="Z21" s="3101"/>
      <c r="AA21" s="3101"/>
    </row>
    <row r="22" spans="1:27">
      <c r="A22" s="3088" t="s">
        <v>2402</v>
      </c>
      <c r="B22" s="3100"/>
      <c r="C22" s="2931"/>
      <c r="D22" s="2943"/>
      <c r="E22" s="2931"/>
      <c r="F22" s="3085"/>
      <c r="G22" s="2931"/>
      <c r="H22" s="3085"/>
      <c r="I22" s="2931"/>
      <c r="J22" s="3085"/>
      <c r="K22" s="2931"/>
      <c r="L22" s="3085"/>
      <c r="M22" s="2931"/>
      <c r="N22" s="2943"/>
      <c r="O22" s="2931"/>
      <c r="P22" s="2943"/>
      <c r="Q22" s="2931"/>
      <c r="R22" s="3084"/>
      <c r="S22" s="2931"/>
      <c r="W22" s="3062" t="s">
        <v>681</v>
      </c>
      <c r="X22" s="3062" t="s">
        <v>677</v>
      </c>
      <c r="Y22" s="3062" t="s">
        <v>2624</v>
      </c>
      <c r="Z22" s="3064">
        <v>1171290.7099999997</v>
      </c>
      <c r="AA22" s="3064">
        <f>1019925.16+157872.83</f>
        <v>1177797.99</v>
      </c>
    </row>
    <row r="23" spans="1:27">
      <c r="A23" s="2476" t="s">
        <v>2633</v>
      </c>
      <c r="B23" s="3100">
        <f>B13</f>
        <v>0.77144000000000001</v>
      </c>
      <c r="C23" s="2931"/>
      <c r="E23" s="2931"/>
      <c r="F23" s="3085"/>
      <c r="G23" s="2931"/>
      <c r="H23" s="3085"/>
      <c r="I23" s="2931"/>
      <c r="J23" s="3085"/>
      <c r="K23" s="2931"/>
      <c r="L23" s="3085"/>
      <c r="M23" s="2931"/>
      <c r="O23" s="2931"/>
      <c r="Q23" s="2931"/>
      <c r="R23" s="3084"/>
      <c r="S23" s="2931"/>
      <c r="Y23" s="3062" t="s">
        <v>2627</v>
      </c>
      <c r="Z23" s="3064">
        <v>17049.78</v>
      </c>
      <c r="AA23" s="3064">
        <v>12373.68</v>
      </c>
    </row>
    <row r="24" spans="1:27">
      <c r="A24" s="2476" t="s">
        <v>2634</v>
      </c>
      <c r="B24" s="3100">
        <f>B14</f>
        <v>0.70111999999999997</v>
      </c>
      <c r="C24" s="2931"/>
      <c r="D24" s="2943"/>
      <c r="E24" s="2931"/>
      <c r="F24" s="3085"/>
      <c r="G24" s="2931"/>
      <c r="H24" s="3085"/>
      <c r="I24" s="2931"/>
      <c r="J24" s="3085"/>
      <c r="K24" s="2931"/>
      <c r="L24" s="3085"/>
      <c r="M24" s="2931"/>
      <c r="N24" s="2943"/>
      <c r="O24" s="2931"/>
      <c r="P24" s="2943"/>
      <c r="Q24" s="2931"/>
      <c r="R24" s="3084"/>
      <c r="S24" s="2931"/>
      <c r="Y24" s="3062" t="s">
        <v>24</v>
      </c>
      <c r="Z24" s="3081">
        <f>SUM(Z22:Z23)</f>
        <v>1188340.4899999998</v>
      </c>
      <c r="AA24" s="3081">
        <f>SUM(AA22:AA23)</f>
        <v>1190171.67</v>
      </c>
    </row>
    <row r="25" spans="1:27" ht="15.75" thickBot="1">
      <c r="A25" s="2476" t="s">
        <v>1499</v>
      </c>
      <c r="B25" s="3100">
        <f>1-B15</f>
        <v>0.33057000000000003</v>
      </c>
      <c r="C25" s="3096">
        <f>ROUND((C9)*$B$24*$B$25,0)</f>
        <v>39210</v>
      </c>
      <c r="D25" s="2943"/>
      <c r="E25" s="3096">
        <f>ROUND((E9)*$B$25*$B$23,0)</f>
        <v>-7083</v>
      </c>
      <c r="F25" s="3097"/>
      <c r="G25" s="3096">
        <v>0</v>
      </c>
      <c r="H25" s="3097"/>
      <c r="I25" s="3096">
        <f>ROUND((I9)*$B$23,0)</f>
        <v>0</v>
      </c>
      <c r="J25" s="3097"/>
      <c r="K25" s="3096">
        <f>ROUND((K9)*$B$25,0)</f>
        <v>605</v>
      </c>
      <c r="L25" s="3097"/>
      <c r="M25" s="3096">
        <v>0</v>
      </c>
      <c r="N25" s="2943"/>
      <c r="O25" s="3096">
        <v>0</v>
      </c>
      <c r="P25" s="2943"/>
      <c r="Q25" s="3096">
        <v>0</v>
      </c>
      <c r="R25" s="3098"/>
      <c r="S25" s="3102">
        <f>SUM(C25,E25,G25,I25,K25,M25,O25,Q25)</f>
        <v>32732</v>
      </c>
      <c r="Z25" s="3064"/>
      <c r="AA25" s="3064"/>
    </row>
    <row r="26" spans="1:27" ht="15.75" thickTop="1">
      <c r="A26" s="2930"/>
      <c r="B26" s="3100"/>
      <c r="C26" s="2931"/>
      <c r="D26" s="2943"/>
      <c r="E26" s="2931"/>
      <c r="F26" s="3085"/>
      <c r="G26" s="2931"/>
      <c r="H26" s="3085"/>
      <c r="I26" s="2931"/>
      <c r="J26" s="3085"/>
      <c r="K26" s="2931"/>
      <c r="L26" s="3085"/>
      <c r="M26" s="2931"/>
      <c r="N26" s="2943"/>
      <c r="O26" s="2931"/>
      <c r="P26" s="2943"/>
      <c r="Q26" s="2931"/>
      <c r="R26" s="3084"/>
      <c r="S26" s="2931"/>
      <c r="W26" s="3086"/>
      <c r="X26" s="3062" t="s">
        <v>2635</v>
      </c>
      <c r="Z26" s="3087">
        <f>SUM(Z22,Z23)</f>
        <v>1188340.4899999998</v>
      </c>
      <c r="AA26" s="3087">
        <f>SUM(AA22,AA23)</f>
        <v>1190171.67</v>
      </c>
    </row>
    <row r="27" spans="1:27" ht="15.75" thickBot="1">
      <c r="A27" s="3088" t="s">
        <v>2403</v>
      </c>
      <c r="B27" s="3100"/>
      <c r="C27" s="2931"/>
      <c r="D27" s="2943"/>
      <c r="E27" s="2931"/>
      <c r="F27" s="3085"/>
      <c r="G27" s="2931"/>
      <c r="H27" s="3085"/>
      <c r="I27" s="2931"/>
      <c r="J27" s="3085"/>
      <c r="K27" s="2931"/>
      <c r="L27" s="3085"/>
      <c r="M27" s="2931"/>
      <c r="N27" s="2943"/>
      <c r="O27" s="2931"/>
      <c r="P27" s="2943"/>
      <c r="Q27" s="2931"/>
      <c r="R27" s="3084"/>
      <c r="S27" s="2931"/>
      <c r="Z27" s="3089"/>
      <c r="AA27" s="3089"/>
    </row>
    <row r="28" spans="1:27" ht="15.75" thickBot="1">
      <c r="A28" s="2476" t="s">
        <v>2633</v>
      </c>
      <c r="B28" s="3100">
        <f>B18</f>
        <v>0.22856000000000001</v>
      </c>
      <c r="C28" s="2931"/>
      <c r="E28" s="2931"/>
      <c r="F28" s="3085"/>
      <c r="G28" s="2931"/>
      <c r="H28" s="3085"/>
      <c r="I28" s="2931"/>
      <c r="J28" s="3085"/>
      <c r="K28" s="2931"/>
      <c r="L28" s="3085"/>
      <c r="M28" s="2931"/>
      <c r="O28" s="2931"/>
      <c r="Q28" s="2931"/>
      <c r="R28" s="3084"/>
      <c r="S28" s="2931"/>
      <c r="W28" s="3091" t="s">
        <v>681</v>
      </c>
      <c r="X28" s="3092" t="s">
        <v>677</v>
      </c>
      <c r="Y28" s="3063" t="s">
        <v>19</v>
      </c>
      <c r="Z28" s="3093"/>
      <c r="AA28" s="3094">
        <f>AA26-Z26</f>
        <v>1831.1800000001676</v>
      </c>
    </row>
    <row r="29" spans="1:27">
      <c r="A29" s="2476" t="s">
        <v>2634</v>
      </c>
      <c r="B29" s="3100">
        <f>B19</f>
        <v>0.20707999999999999</v>
      </c>
      <c r="C29" s="2931"/>
      <c r="D29" s="2943"/>
      <c r="E29" s="2931"/>
      <c r="F29" s="3085"/>
      <c r="G29" s="2931"/>
      <c r="H29" s="3085"/>
      <c r="I29" s="2931"/>
      <c r="J29" s="3085"/>
      <c r="K29" s="2931"/>
      <c r="L29" s="3085"/>
      <c r="M29" s="2931"/>
      <c r="N29" s="2943"/>
      <c r="O29" s="2931"/>
      <c r="P29" s="2943"/>
      <c r="Q29" s="2931"/>
      <c r="R29" s="3084"/>
      <c r="S29" s="2931"/>
      <c r="Z29" s="3089"/>
      <c r="AA29" s="3089"/>
    </row>
    <row r="30" spans="1:27" ht="15.75" thickBot="1">
      <c r="A30" s="2476" t="s">
        <v>1499</v>
      </c>
      <c r="B30" s="3100">
        <f>1-B20</f>
        <v>0.28254000000000001</v>
      </c>
      <c r="C30" s="3096">
        <f>ROUND((C9)*$B$29*$B$30,0)</f>
        <v>9898</v>
      </c>
      <c r="D30" s="2943"/>
      <c r="E30" s="3096">
        <f>ROUND((E9)*$B$30*$B$28,0)</f>
        <v>-1794</v>
      </c>
      <c r="F30" s="3097"/>
      <c r="G30" s="3096">
        <v>0</v>
      </c>
      <c r="H30" s="3097"/>
      <c r="I30" s="3096">
        <f>ROUND((I9)*$B$28,0)</f>
        <v>0</v>
      </c>
      <c r="J30" s="3097"/>
      <c r="K30" s="3096">
        <v>0</v>
      </c>
      <c r="L30" s="3097"/>
      <c r="M30" s="3096">
        <v>0</v>
      </c>
      <c r="N30" s="2943"/>
      <c r="O30" s="3096">
        <f>ROUND((O9)*B30,0)</f>
        <v>0</v>
      </c>
      <c r="P30" s="2943"/>
      <c r="Q30" s="3096">
        <v>0</v>
      </c>
      <c r="R30" s="3098"/>
      <c r="S30" s="3102">
        <f>SUM(C30,E30,G30,I30,K30,M30,O30,Q30)</f>
        <v>8104</v>
      </c>
      <c r="X30" s="3062" t="s">
        <v>763</v>
      </c>
      <c r="Y30" s="3062" t="s">
        <v>2627</v>
      </c>
      <c r="Z30" s="3064">
        <v>79655.179999999993</v>
      </c>
      <c r="AA30" s="3064">
        <v>114851.12</v>
      </c>
    </row>
    <row r="31" spans="1:27" ht="15.75" thickTop="1">
      <c r="A31" s="2930"/>
      <c r="B31" s="3103"/>
      <c r="C31" s="3104"/>
      <c r="D31" s="3105"/>
      <c r="E31" s="3104"/>
      <c r="F31" s="3097"/>
      <c r="G31" s="3104"/>
      <c r="H31" s="3097"/>
      <c r="I31" s="3104"/>
      <c r="J31" s="3097"/>
      <c r="K31" s="3104"/>
      <c r="L31" s="3097"/>
      <c r="M31" s="3104"/>
      <c r="N31" s="3105"/>
      <c r="O31" s="3104"/>
      <c r="P31" s="3105"/>
      <c r="Q31" s="3104"/>
      <c r="R31" s="3098"/>
      <c r="S31" s="3104"/>
      <c r="X31" s="3062" t="s">
        <v>2636</v>
      </c>
      <c r="Z31" s="3106">
        <f>Z30</f>
        <v>79655.179999999993</v>
      </c>
      <c r="AA31" s="3081">
        <f>AA30</f>
        <v>114851.12</v>
      </c>
    </row>
    <row r="32" spans="1:27" ht="15.75" thickBot="1">
      <c r="A32" s="3088" t="s">
        <v>2404</v>
      </c>
      <c r="B32" s="3103"/>
      <c r="C32" s="3104"/>
      <c r="D32" s="3105"/>
      <c r="E32" s="3104"/>
      <c r="F32" s="3097"/>
      <c r="G32" s="3104"/>
      <c r="H32" s="3097"/>
      <c r="I32" s="3104"/>
      <c r="J32" s="3097"/>
      <c r="K32" s="3104"/>
      <c r="L32" s="3097"/>
      <c r="M32" s="3104"/>
      <c r="N32" s="3105"/>
      <c r="O32" s="3104"/>
      <c r="P32" s="3105"/>
      <c r="Q32" s="3104"/>
      <c r="R32" s="3098"/>
      <c r="S32" s="3104"/>
      <c r="Z32" s="3089"/>
      <c r="AA32" s="3089"/>
    </row>
    <row r="33" spans="1:27" ht="15.75" thickBot="1">
      <c r="A33" s="2476" t="s">
        <v>2634</v>
      </c>
      <c r="B33" s="3100">
        <f>1-B19-B14</f>
        <v>9.1800000000000104E-2</v>
      </c>
      <c r="C33" s="3096">
        <f>ROUND((C9)*$B$33,0)</f>
        <v>15531</v>
      </c>
      <c r="D33" s="2943"/>
      <c r="E33" s="3096">
        <v>0</v>
      </c>
      <c r="F33" s="3097"/>
      <c r="G33" s="3096">
        <v>0</v>
      </c>
      <c r="H33" s="3097"/>
      <c r="I33" s="3096">
        <v>0</v>
      </c>
      <c r="J33" s="3097"/>
      <c r="K33" s="3096">
        <v>0</v>
      </c>
      <c r="L33" s="3097"/>
      <c r="M33" s="3096">
        <v>0</v>
      </c>
      <c r="N33" s="2943"/>
      <c r="O33" s="3096">
        <v>0</v>
      </c>
      <c r="P33" s="2943"/>
      <c r="Q33" s="3096">
        <f>Q9</f>
        <v>0</v>
      </c>
      <c r="R33" s="3098"/>
      <c r="S33" s="3102">
        <f>SUM(C33,E33,G33,I33,K33,M33,O33,Q33)</f>
        <v>15531</v>
      </c>
      <c r="W33" s="3091" t="s">
        <v>681</v>
      </c>
      <c r="X33" s="3092" t="s">
        <v>763</v>
      </c>
      <c r="Y33" s="3063" t="s">
        <v>19</v>
      </c>
      <c r="Z33" s="3093"/>
      <c r="AA33" s="3094">
        <f>AA31-Z31</f>
        <v>35195.94</v>
      </c>
    </row>
    <row r="34" spans="1:27" ht="15.75" thickTop="1">
      <c r="E34" s="3082"/>
      <c r="F34" s="3083"/>
      <c r="H34" s="3083"/>
      <c r="J34" s="3083"/>
      <c r="L34" s="3083"/>
      <c r="O34" s="3082"/>
      <c r="Q34" s="3082"/>
      <c r="R34" s="3082"/>
      <c r="Z34" s="3081"/>
      <c r="AA34" s="3081"/>
    </row>
    <row r="35" spans="1:27">
      <c r="C35" s="3107">
        <f>SUM(C15:C33)-C9</f>
        <v>0.15999998897314072</v>
      </c>
      <c r="D35" s="3108"/>
      <c r="E35" s="2471">
        <f>SUM(E15:E33)-E9</f>
        <v>-0.5</v>
      </c>
      <c r="F35" s="3083"/>
      <c r="G35" s="3082">
        <f>SUM(G15:G33)-G9</f>
        <v>0</v>
      </c>
      <c r="H35" s="3083"/>
      <c r="I35" s="3082">
        <f>SUM(I15:I33)-I9</f>
        <v>0</v>
      </c>
      <c r="J35" s="3083"/>
      <c r="K35" s="2471">
        <f>SUM(K15:K33)-K9</f>
        <v>-0.18000000016763806</v>
      </c>
      <c r="L35" s="3083"/>
      <c r="M35" s="3082">
        <f>SUM(M15:M33)-M9</f>
        <v>0</v>
      </c>
      <c r="N35" s="3108"/>
      <c r="O35" s="3082">
        <f>SUM(O15:O33)-O9</f>
        <v>0</v>
      </c>
      <c r="P35" s="3108"/>
      <c r="Q35" s="3082">
        <f>SUM(Q15:Q33)-Q9</f>
        <v>0</v>
      </c>
      <c r="R35" s="3082"/>
      <c r="S35" s="3107">
        <f>SUM(C35:Q35)</f>
        <v>-0.52000001119449735</v>
      </c>
      <c r="W35" s="3062" t="s">
        <v>2342</v>
      </c>
      <c r="Z35" s="3109">
        <f>SUM(Z31,Z26)</f>
        <v>1267995.6699999997</v>
      </c>
      <c r="AA35" s="3109">
        <f>SUM(AA31,AA26)</f>
        <v>1305022.79</v>
      </c>
    </row>
    <row r="36" spans="1:27">
      <c r="Z36" s="3109"/>
      <c r="AA36" s="3109"/>
    </row>
    <row r="37" spans="1:27">
      <c r="W37" s="3063" t="s">
        <v>978</v>
      </c>
      <c r="Z37" s="3101">
        <f>SUM(Z35,Z20)</f>
        <v>20667967.429999996</v>
      </c>
      <c r="AA37" s="3101">
        <f>SUM(AA35,AA20)</f>
        <v>20846397.890000008</v>
      </c>
    </row>
    <row r="38" spans="1:27" ht="15.75" thickBot="1">
      <c r="Z38" s="3110"/>
      <c r="AA38" s="3110"/>
    </row>
    <row r="39" spans="1:27" ht="15.75" thickBot="1">
      <c r="Y39" s="3111" t="s">
        <v>1760</v>
      </c>
      <c r="Z39" s="3112"/>
      <c r="AA39" s="3094">
        <f>AA37-Z37</f>
        <v>178430.46000001207</v>
      </c>
    </row>
    <row r="42" spans="1:27">
      <c r="Z42" s="3110"/>
      <c r="AA42" s="3110"/>
    </row>
  </sheetData>
  <mergeCells count="4">
    <mergeCell ref="A1:S1"/>
    <mergeCell ref="A2:S2"/>
    <mergeCell ref="A3:S3"/>
    <mergeCell ref="A4:S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1CA16-7E5D-46A1-AB1A-33F46BCC397E}">
  <dimension ref="A1:AA162"/>
  <sheetViews>
    <sheetView workbookViewId="0"/>
  </sheetViews>
  <sheetFormatPr defaultRowHeight="15.75"/>
  <cols>
    <col min="1" max="1" width="9.140625" style="3113"/>
    <col min="2" max="2" width="9.28515625" style="3113" customWidth="1"/>
    <col min="3" max="3" width="9" style="3113" customWidth="1"/>
    <col min="4" max="4" width="32.28515625" style="3113" customWidth="1"/>
    <col min="5" max="5" width="18.85546875" style="273" customWidth="1"/>
    <col min="6" max="6" width="14.5703125" style="3113" customWidth="1"/>
    <col min="7" max="7" width="18.7109375" style="3113" customWidth="1"/>
    <col min="8" max="9" width="13.42578125" style="3113" customWidth="1"/>
    <col min="10" max="10" width="16.140625" style="3113" customWidth="1"/>
    <col min="11" max="11" width="15" style="3114" customWidth="1"/>
    <col min="12" max="12" width="15.140625" style="3113" customWidth="1"/>
    <col min="13" max="13" width="14" style="3114" customWidth="1"/>
    <col min="14" max="14" width="9.140625" style="3113" customWidth="1"/>
    <col min="15" max="16" width="9.140625" style="3113"/>
    <col min="17" max="17" width="12.7109375" style="3113" customWidth="1"/>
    <col min="18" max="18" width="18.28515625" style="3113" customWidth="1"/>
    <col min="19" max="19" width="12" style="3113" customWidth="1"/>
    <col min="20" max="20" width="11.85546875" style="3113" customWidth="1"/>
    <col min="21" max="21" width="15.85546875" style="3113" customWidth="1"/>
    <col min="22" max="22" width="14.7109375" style="3113" customWidth="1"/>
    <col min="23" max="27" width="8.85546875" style="3113"/>
  </cols>
  <sheetData>
    <row r="1" spans="1:25" ht="16.5" thickBot="1">
      <c r="A1" s="3113" t="s">
        <v>1204</v>
      </c>
      <c r="H1" s="3177">
        <f>M4</f>
        <v>4.5741943182418671E-2</v>
      </c>
      <c r="J1" s="3934" t="s">
        <v>2848</v>
      </c>
      <c r="K1" s="3934"/>
      <c r="L1" s="3934"/>
      <c r="M1" s="3113"/>
      <c r="O1" s="3159" t="s">
        <v>2847</v>
      </c>
      <c r="P1" s="3114"/>
      <c r="Q1" s="3114"/>
    </row>
    <row r="2" spans="1:25" ht="16.5" thickTop="1">
      <c r="A2" s="3113" t="s">
        <v>1577</v>
      </c>
      <c r="H2" s="3176">
        <v>2018</v>
      </c>
      <c r="I2" s="3176">
        <v>2019</v>
      </c>
      <c r="J2" s="3176">
        <v>2020</v>
      </c>
      <c r="K2" s="3176">
        <v>2021</v>
      </c>
      <c r="L2" s="3176">
        <v>2022</v>
      </c>
      <c r="M2" s="3175" t="s">
        <v>2846</v>
      </c>
      <c r="O2" s="3159" t="s">
        <v>2845</v>
      </c>
      <c r="P2" s="3114"/>
      <c r="Q2" s="3114"/>
    </row>
    <row r="3" spans="1:25" ht="16.5" thickBot="1">
      <c r="A3" s="3113" t="s">
        <v>2844</v>
      </c>
      <c r="F3" s="3113" t="s">
        <v>2843</v>
      </c>
      <c r="H3" s="3174">
        <v>37298</v>
      </c>
      <c r="I3" s="3174">
        <v>39437</v>
      </c>
      <c r="J3" s="3174">
        <v>42735</v>
      </c>
      <c r="K3" s="3173">
        <v>40856</v>
      </c>
      <c r="L3" s="3173">
        <v>44368</v>
      </c>
      <c r="M3" s="3172"/>
      <c r="O3" s="3159" t="s">
        <v>2842</v>
      </c>
      <c r="P3" s="3114"/>
      <c r="Q3" s="3114"/>
      <c r="U3" s="3113" t="s">
        <v>2841</v>
      </c>
    </row>
    <row r="4" spans="1:25" ht="16.5" thickBot="1">
      <c r="A4" s="3113" t="s">
        <v>2840</v>
      </c>
      <c r="H4" s="3159"/>
      <c r="I4" s="3171">
        <f>(I3-H3)/H3</f>
        <v>5.7348919513110622E-2</v>
      </c>
      <c r="J4" s="3171">
        <f>(J3-I3)/I3</f>
        <v>8.362705073915358E-2</v>
      </c>
      <c r="K4" s="3171">
        <f>(K3-J3)/J3</f>
        <v>-4.3968643968643965E-2</v>
      </c>
      <c r="L4" s="3171">
        <f>(L3-K3)/K3</f>
        <v>8.5960446446054439E-2</v>
      </c>
      <c r="M4" s="3170">
        <f>AVERAGE(I4:L4)</f>
        <v>4.5741943182418671E-2</v>
      </c>
      <c r="O4" s="3159" t="s">
        <v>2839</v>
      </c>
      <c r="P4" s="3114"/>
      <c r="Q4" s="3114"/>
      <c r="U4" s="3113" t="s">
        <v>2838</v>
      </c>
    </row>
    <row r="5" spans="1:25">
      <c r="A5" s="3113" t="s">
        <v>2837</v>
      </c>
      <c r="H5" s="3159"/>
      <c r="M5" s="3169"/>
      <c r="O5" s="3114" t="s">
        <v>2836</v>
      </c>
      <c r="P5" s="3114"/>
      <c r="Q5" s="3114"/>
      <c r="U5" s="3113" t="s">
        <v>2835</v>
      </c>
      <c r="V5" s="3113" t="s">
        <v>2834</v>
      </c>
    </row>
    <row r="6" spans="1:25" ht="16.5" thickBot="1">
      <c r="A6" s="3113" t="s">
        <v>2833</v>
      </c>
      <c r="K6" s="3168" t="s">
        <v>2832</v>
      </c>
      <c r="M6" s="3168" t="s">
        <v>2831</v>
      </c>
      <c r="O6" s="3159" t="s">
        <v>1544</v>
      </c>
      <c r="P6" s="3114"/>
      <c r="Q6" s="3114"/>
      <c r="T6" s="3113" t="s">
        <v>2830</v>
      </c>
    </row>
    <row r="7" spans="1:25">
      <c r="F7" s="3931" t="s">
        <v>2829</v>
      </c>
      <c r="G7" s="3932"/>
      <c r="H7" s="3933"/>
      <c r="I7" s="3167" t="s">
        <v>2828</v>
      </c>
      <c r="J7" s="3133" t="s">
        <v>2827</v>
      </c>
      <c r="K7" s="3166" t="s">
        <v>2826</v>
      </c>
      <c r="L7" s="3133" t="s">
        <v>2825</v>
      </c>
      <c r="M7" s="3166" t="s">
        <v>2600</v>
      </c>
      <c r="O7" s="3159" t="s">
        <v>2824</v>
      </c>
      <c r="P7" s="3114"/>
      <c r="Q7" s="3114"/>
      <c r="U7" s="3133" t="s">
        <v>1374</v>
      </c>
    </row>
    <row r="8" spans="1:25" ht="16.5" thickBot="1">
      <c r="A8" s="3113" t="s">
        <v>1576</v>
      </c>
      <c r="B8" s="3113" t="s">
        <v>818</v>
      </c>
      <c r="C8" s="3113" t="s">
        <v>70</v>
      </c>
      <c r="E8" s="286" t="s">
        <v>524</v>
      </c>
      <c r="F8" s="3165" t="s">
        <v>123</v>
      </c>
      <c r="G8" s="3164" t="s">
        <v>2823</v>
      </c>
      <c r="H8" s="3163" t="s">
        <v>471</v>
      </c>
      <c r="I8" s="3162" t="s">
        <v>155</v>
      </c>
      <c r="J8" s="3133" t="s">
        <v>876</v>
      </c>
      <c r="K8" s="3161">
        <f>H1*2.5</f>
        <v>0.11435485795604668</v>
      </c>
      <c r="L8" s="3160">
        <f>H1*3.5</f>
        <v>0.16009680113846536</v>
      </c>
      <c r="M8" s="3114">
        <v>2026</v>
      </c>
      <c r="O8" s="3159" t="s">
        <v>2822</v>
      </c>
      <c r="P8" s="3114"/>
      <c r="Q8" s="3114"/>
      <c r="T8" s="3113" t="s">
        <v>818</v>
      </c>
      <c r="U8" s="3133" t="s">
        <v>24</v>
      </c>
    </row>
    <row r="9" spans="1:25">
      <c r="A9" s="3133">
        <v>1</v>
      </c>
      <c r="B9" s="3137" t="s">
        <v>2821</v>
      </c>
      <c r="C9" s="3137"/>
      <c r="D9" s="3137"/>
      <c r="E9" s="3136"/>
      <c r="O9" s="3159" t="s">
        <v>2820</v>
      </c>
      <c r="P9" s="3114"/>
      <c r="Q9" s="3114"/>
    </row>
    <row r="10" spans="1:25">
      <c r="A10" s="3133">
        <v>2</v>
      </c>
      <c r="B10" s="3137"/>
      <c r="C10" s="3132" t="s">
        <v>2819</v>
      </c>
      <c r="D10" s="3137"/>
      <c r="E10" s="3136"/>
      <c r="O10" s="3159" t="s">
        <v>2818</v>
      </c>
      <c r="P10" s="3114"/>
      <c r="Q10" s="3114"/>
      <c r="T10" s="3155" t="s">
        <v>2817</v>
      </c>
      <c r="U10" s="3143">
        <v>670616.50171839981</v>
      </c>
      <c r="V10" s="3113">
        <v>813000</v>
      </c>
      <c r="X10" s="3154"/>
      <c r="Y10" s="3143"/>
    </row>
    <row r="11" spans="1:25">
      <c r="A11" s="3133">
        <v>3</v>
      </c>
      <c r="B11" s="3137" t="s">
        <v>2816</v>
      </c>
      <c r="C11" s="3137" t="s">
        <v>1849</v>
      </c>
      <c r="D11" s="3137"/>
      <c r="E11" s="3136">
        <v>139820536</v>
      </c>
      <c r="F11" s="3136"/>
      <c r="G11" s="3136">
        <f>E11</f>
        <v>139820536</v>
      </c>
      <c r="H11" s="3136"/>
      <c r="I11" s="3136"/>
      <c r="J11" s="3127">
        <f t="shared" ref="J11:J27" si="0">E11-SUM(F11:H11)+I11</f>
        <v>0</v>
      </c>
      <c r="K11" s="3126">
        <f t="shared" ref="K11:L27" si="1">$J11*K$8</f>
        <v>0</v>
      </c>
      <c r="L11" s="3127">
        <f t="shared" si="1"/>
        <v>0</v>
      </c>
      <c r="M11" s="3126">
        <f t="shared" ref="M11:M27" si="2">L11-K11</f>
        <v>0</v>
      </c>
      <c r="O11" s="3114"/>
      <c r="P11" s="3114"/>
      <c r="Q11" s="3114"/>
      <c r="T11" s="3155" t="s">
        <v>2815</v>
      </c>
      <c r="U11" s="3143">
        <v>0</v>
      </c>
      <c r="V11" s="3113">
        <v>814000</v>
      </c>
      <c r="X11" s="3154"/>
      <c r="Y11" s="3143"/>
    </row>
    <row r="12" spans="1:25">
      <c r="A12" s="3133">
        <v>4</v>
      </c>
      <c r="B12" s="3137" t="s">
        <v>2814</v>
      </c>
      <c r="C12" s="3137" t="s">
        <v>2813</v>
      </c>
      <c r="D12" s="3137"/>
      <c r="E12" s="3136"/>
      <c r="F12" s="3136"/>
      <c r="G12" s="3136"/>
      <c r="H12" s="3136"/>
      <c r="I12" s="3136"/>
      <c r="J12" s="3127">
        <f t="shared" si="0"/>
        <v>0</v>
      </c>
      <c r="K12" s="3126">
        <f t="shared" si="1"/>
        <v>0</v>
      </c>
      <c r="L12" s="3127">
        <f t="shared" si="1"/>
        <v>0</v>
      </c>
      <c r="M12" s="3126">
        <f t="shared" si="2"/>
        <v>0</v>
      </c>
      <c r="O12" s="3114"/>
      <c r="T12" s="3155" t="s">
        <v>2812</v>
      </c>
      <c r="U12" s="3143">
        <v>1310615.7309850003</v>
      </c>
      <c r="V12" s="3113">
        <v>870000</v>
      </c>
      <c r="X12" s="3154"/>
      <c r="Y12" s="3143"/>
    </row>
    <row r="13" spans="1:25">
      <c r="A13" s="3133">
        <v>5</v>
      </c>
      <c r="B13" s="3137" t="s">
        <v>2811</v>
      </c>
      <c r="C13" s="3137" t="s">
        <v>2810</v>
      </c>
      <c r="D13" s="3137"/>
      <c r="E13" s="3136"/>
      <c r="F13" s="3136"/>
      <c r="G13" s="3136"/>
      <c r="H13" s="3136"/>
      <c r="I13" s="3136"/>
      <c r="J13" s="3127">
        <f t="shared" si="0"/>
        <v>0</v>
      </c>
      <c r="K13" s="3126">
        <f t="shared" si="1"/>
        <v>0</v>
      </c>
      <c r="L13" s="3127">
        <f t="shared" si="1"/>
        <v>0</v>
      </c>
      <c r="M13" s="3126">
        <f t="shared" si="2"/>
        <v>0</v>
      </c>
      <c r="T13" s="3155" t="s">
        <v>2809</v>
      </c>
      <c r="U13" s="3143">
        <v>1442985.4350720011</v>
      </c>
      <c r="V13" s="3113">
        <v>874000</v>
      </c>
      <c r="X13" s="3154"/>
      <c r="Y13" s="3143"/>
    </row>
    <row r="14" spans="1:25">
      <c r="A14" s="3133">
        <v>6</v>
      </c>
      <c r="B14" s="3137" t="s">
        <v>2808</v>
      </c>
      <c r="C14" s="3137" t="s">
        <v>2807</v>
      </c>
      <c r="D14" s="3137"/>
      <c r="E14" s="3136"/>
      <c r="F14" s="3136"/>
      <c r="G14" s="3136"/>
      <c r="H14" s="3136"/>
      <c r="I14" s="3136"/>
      <c r="J14" s="3127">
        <f t="shared" si="0"/>
        <v>0</v>
      </c>
      <c r="K14" s="3126">
        <f t="shared" si="1"/>
        <v>0</v>
      </c>
      <c r="L14" s="3127">
        <f t="shared" si="1"/>
        <v>0</v>
      </c>
      <c r="M14" s="3126">
        <f t="shared" si="2"/>
        <v>0</v>
      </c>
      <c r="T14" s="3155" t="s">
        <v>2806</v>
      </c>
      <c r="U14" s="3143">
        <v>70940.190000000017</v>
      </c>
      <c r="V14" s="3113">
        <v>875000</v>
      </c>
      <c r="X14" s="3154"/>
      <c r="Y14" s="3143"/>
    </row>
    <row r="15" spans="1:25">
      <c r="A15" s="3133">
        <v>7</v>
      </c>
      <c r="B15" s="3137" t="s">
        <v>2805</v>
      </c>
      <c r="C15" s="3137" t="s">
        <v>2804</v>
      </c>
      <c r="D15" s="3137"/>
      <c r="E15" s="3136"/>
      <c r="F15" s="3136"/>
      <c r="G15" s="3136"/>
      <c r="H15" s="3136"/>
      <c r="I15" s="3136"/>
      <c r="J15" s="3127">
        <f t="shared" si="0"/>
        <v>0</v>
      </c>
      <c r="K15" s="3126">
        <f t="shared" si="1"/>
        <v>0</v>
      </c>
      <c r="L15" s="3127">
        <f t="shared" si="1"/>
        <v>0</v>
      </c>
      <c r="M15" s="3126">
        <f t="shared" si="2"/>
        <v>0</v>
      </c>
      <c r="T15" s="3155" t="s">
        <v>2803</v>
      </c>
      <c r="U15" s="3143">
        <v>4877.17</v>
      </c>
      <c r="V15" s="3113">
        <v>876000</v>
      </c>
      <c r="X15" s="3154"/>
      <c r="Y15" s="3143"/>
    </row>
    <row r="16" spans="1:25">
      <c r="A16" s="3133">
        <v>8</v>
      </c>
      <c r="B16" s="3137" t="s">
        <v>2802</v>
      </c>
      <c r="C16" s="3137" t="s">
        <v>2801</v>
      </c>
      <c r="D16" s="3137"/>
      <c r="E16" s="3136"/>
      <c r="F16" s="3136"/>
      <c r="G16" s="3136"/>
      <c r="H16" s="3136"/>
      <c r="I16" s="3136"/>
      <c r="J16" s="3127">
        <f t="shared" si="0"/>
        <v>0</v>
      </c>
      <c r="K16" s="3126">
        <f t="shared" si="1"/>
        <v>0</v>
      </c>
      <c r="L16" s="3127">
        <f t="shared" si="1"/>
        <v>0</v>
      </c>
      <c r="M16" s="3126">
        <f t="shared" si="2"/>
        <v>0</v>
      </c>
      <c r="T16" s="3155" t="s">
        <v>2800</v>
      </c>
      <c r="U16" s="3143">
        <v>40412.270000000011</v>
      </c>
      <c r="V16" s="3113">
        <v>877000</v>
      </c>
      <c r="X16" s="3154"/>
      <c r="Y16" s="3143"/>
    </row>
    <row r="17" spans="1:25">
      <c r="A17" s="3133">
        <v>9</v>
      </c>
      <c r="B17" s="3137" t="s">
        <v>2799</v>
      </c>
      <c r="C17" s="3137" t="s">
        <v>2798</v>
      </c>
      <c r="D17" s="3137"/>
      <c r="E17" s="3136"/>
      <c r="F17" s="3136"/>
      <c r="G17" s="3136"/>
      <c r="H17" s="3136"/>
      <c r="I17" s="3136"/>
      <c r="J17" s="3127">
        <f t="shared" si="0"/>
        <v>0</v>
      </c>
      <c r="K17" s="3126">
        <f t="shared" si="1"/>
        <v>0</v>
      </c>
      <c r="L17" s="3127">
        <f t="shared" si="1"/>
        <v>0</v>
      </c>
      <c r="M17" s="3126">
        <f t="shared" si="2"/>
        <v>0</v>
      </c>
      <c r="T17" s="3155" t="s">
        <v>2797</v>
      </c>
      <c r="U17" s="3143">
        <v>4774.5700000000015</v>
      </c>
      <c r="V17" s="3113">
        <v>878000</v>
      </c>
      <c r="X17" s="3154"/>
      <c r="Y17" s="3143"/>
    </row>
    <row r="18" spans="1:25">
      <c r="A18" s="3133">
        <v>10</v>
      </c>
      <c r="B18" s="3137" t="s">
        <v>2796</v>
      </c>
      <c r="C18" s="3137" t="s">
        <v>2795</v>
      </c>
      <c r="D18" s="3137"/>
      <c r="E18" s="3136"/>
      <c r="F18" s="3136"/>
      <c r="G18" s="3136"/>
      <c r="H18" s="3136"/>
      <c r="I18" s="3136"/>
      <c r="J18" s="3127">
        <f t="shared" si="0"/>
        <v>0</v>
      </c>
      <c r="K18" s="3126">
        <f t="shared" si="1"/>
        <v>0</v>
      </c>
      <c r="L18" s="3127">
        <f t="shared" si="1"/>
        <v>0</v>
      </c>
      <c r="M18" s="3126">
        <f t="shared" si="2"/>
        <v>0</v>
      </c>
      <c r="T18" s="3155" t="s">
        <v>2794</v>
      </c>
      <c r="U18" s="3143">
        <v>1159304.0226240021</v>
      </c>
      <c r="V18" s="3113">
        <v>879000</v>
      </c>
      <c r="X18" s="3154"/>
      <c r="Y18" s="3143"/>
    </row>
    <row r="19" spans="1:25">
      <c r="A19" s="3133">
        <v>11</v>
      </c>
      <c r="B19" s="3137" t="s">
        <v>2793</v>
      </c>
      <c r="C19" s="3137" t="s">
        <v>2792</v>
      </c>
      <c r="D19" s="3137"/>
      <c r="E19" s="3136"/>
      <c r="F19" s="3136"/>
      <c r="G19" s="3136"/>
      <c r="H19" s="3136"/>
      <c r="I19" s="3136"/>
      <c r="J19" s="3127">
        <f t="shared" si="0"/>
        <v>0</v>
      </c>
      <c r="K19" s="3126">
        <f t="shared" si="1"/>
        <v>0</v>
      </c>
      <c r="L19" s="3127">
        <f t="shared" si="1"/>
        <v>0</v>
      </c>
      <c r="M19" s="3126">
        <f t="shared" si="2"/>
        <v>0</v>
      </c>
      <c r="T19" s="3155" t="s">
        <v>2791</v>
      </c>
      <c r="U19" s="3143">
        <v>1433638.7625120028</v>
      </c>
      <c r="V19" s="3113">
        <v>880000</v>
      </c>
      <c r="X19" s="3154"/>
      <c r="Y19" s="3143"/>
    </row>
    <row r="20" spans="1:25">
      <c r="A20" s="3133">
        <v>12</v>
      </c>
      <c r="B20" s="3137" t="s">
        <v>2790</v>
      </c>
      <c r="C20" s="3137" t="s">
        <v>2789</v>
      </c>
      <c r="D20" s="3137"/>
      <c r="E20" s="3136"/>
      <c r="F20" s="3136"/>
      <c r="G20" s="3136"/>
      <c r="H20" s="3136"/>
      <c r="I20" s="3136"/>
      <c r="J20" s="3127">
        <f t="shared" si="0"/>
        <v>0</v>
      </c>
      <c r="K20" s="3126">
        <f t="shared" si="1"/>
        <v>0</v>
      </c>
      <c r="L20" s="3127">
        <f t="shared" si="1"/>
        <v>0</v>
      </c>
      <c r="M20" s="3126">
        <f t="shared" si="2"/>
        <v>0</v>
      </c>
      <c r="T20" s="3155" t="s">
        <v>2788</v>
      </c>
      <c r="U20" s="3143">
        <v>7619.0300000000007</v>
      </c>
      <c r="V20" s="3113">
        <v>885000</v>
      </c>
      <c r="X20" s="3154"/>
      <c r="Y20" s="3143"/>
    </row>
    <row r="21" spans="1:25">
      <c r="A21" s="3133">
        <v>13</v>
      </c>
      <c r="B21" s="3137" t="s">
        <v>2787</v>
      </c>
      <c r="C21" s="3137" t="s">
        <v>2786</v>
      </c>
      <c r="D21" s="3137"/>
      <c r="E21" s="3136"/>
      <c r="F21" s="3136"/>
      <c r="G21" s="3136"/>
      <c r="H21" s="3136"/>
      <c r="I21" s="3136"/>
      <c r="J21" s="3127">
        <f t="shared" si="0"/>
        <v>0</v>
      </c>
      <c r="K21" s="3126">
        <f t="shared" si="1"/>
        <v>0</v>
      </c>
      <c r="L21" s="3127">
        <f t="shared" si="1"/>
        <v>0</v>
      </c>
      <c r="M21" s="3126">
        <f t="shared" si="2"/>
        <v>0</v>
      </c>
      <c r="T21" s="3155" t="s">
        <v>2785</v>
      </c>
      <c r="U21" s="3143">
        <v>567879.31000000157</v>
      </c>
      <c r="V21" s="3113">
        <v>887000</v>
      </c>
      <c r="X21" s="3154"/>
      <c r="Y21" s="3143"/>
    </row>
    <row r="22" spans="1:25">
      <c r="A22" s="3133">
        <v>14</v>
      </c>
      <c r="B22" s="3137" t="s">
        <v>2784</v>
      </c>
      <c r="C22" s="3137" t="s">
        <v>2783</v>
      </c>
      <c r="D22" s="3137"/>
      <c r="E22" s="3136"/>
      <c r="F22" s="3136"/>
      <c r="G22" s="3136"/>
      <c r="H22" s="3136"/>
      <c r="I22" s="3136"/>
      <c r="J22" s="3127">
        <f t="shared" si="0"/>
        <v>0</v>
      </c>
      <c r="K22" s="3126">
        <f t="shared" si="1"/>
        <v>0</v>
      </c>
      <c r="L22" s="3127">
        <f t="shared" si="1"/>
        <v>0</v>
      </c>
      <c r="M22" s="3126">
        <f t="shared" si="2"/>
        <v>0</v>
      </c>
      <c r="T22" s="3155" t="s">
        <v>2782</v>
      </c>
      <c r="U22" s="3143">
        <v>121324.0402079999</v>
      </c>
      <c r="V22" s="3113">
        <v>889000</v>
      </c>
      <c r="X22" s="3154"/>
      <c r="Y22" s="3143"/>
    </row>
    <row r="23" spans="1:25">
      <c r="A23" s="3133">
        <v>15</v>
      </c>
      <c r="B23" s="3137" t="s">
        <v>2781</v>
      </c>
      <c r="C23" s="3137" t="s">
        <v>2780</v>
      </c>
      <c r="D23" s="3137"/>
      <c r="E23" s="3136"/>
      <c r="F23" s="3136"/>
      <c r="G23" s="3136"/>
      <c r="H23" s="3136"/>
      <c r="I23" s="3136"/>
      <c r="J23" s="3127">
        <f t="shared" si="0"/>
        <v>0</v>
      </c>
      <c r="K23" s="3126">
        <f t="shared" si="1"/>
        <v>0</v>
      </c>
      <c r="L23" s="3127">
        <f t="shared" si="1"/>
        <v>0</v>
      </c>
      <c r="M23" s="3126">
        <f t="shared" si="2"/>
        <v>0</v>
      </c>
      <c r="T23" s="3155" t="s">
        <v>2779</v>
      </c>
      <c r="U23" s="3143">
        <v>5106.9345599999988</v>
      </c>
      <c r="V23" s="3113">
        <v>890000</v>
      </c>
      <c r="X23" s="3154"/>
      <c r="Y23" s="3143"/>
    </row>
    <row r="24" spans="1:25">
      <c r="A24" s="3133">
        <v>16</v>
      </c>
      <c r="B24" s="3137" t="s">
        <v>2778</v>
      </c>
      <c r="C24" s="3137" t="s">
        <v>2777</v>
      </c>
      <c r="D24" s="3137"/>
      <c r="E24" s="3136"/>
      <c r="F24" s="3136"/>
      <c r="G24" s="3136"/>
      <c r="H24" s="3136"/>
      <c r="I24" s="3136"/>
      <c r="J24" s="3127">
        <f t="shared" si="0"/>
        <v>0</v>
      </c>
      <c r="K24" s="3126">
        <f t="shared" si="1"/>
        <v>0</v>
      </c>
      <c r="L24" s="3127">
        <f t="shared" si="1"/>
        <v>0</v>
      </c>
      <c r="M24" s="3126">
        <f t="shared" si="2"/>
        <v>0</v>
      </c>
      <c r="T24" s="3155" t="s">
        <v>2776</v>
      </c>
      <c r="U24" s="3143">
        <v>37779.366959999999</v>
      </c>
      <c r="V24" s="3113">
        <v>891000</v>
      </c>
      <c r="X24" s="3154"/>
      <c r="Y24" s="3143"/>
    </row>
    <row r="25" spans="1:25">
      <c r="A25" s="3133">
        <v>17</v>
      </c>
      <c r="B25" s="3137" t="s">
        <v>1334</v>
      </c>
      <c r="C25" s="3137" t="s">
        <v>1334</v>
      </c>
      <c r="D25" s="3137"/>
      <c r="E25" s="3136"/>
      <c r="F25" s="3136"/>
      <c r="G25" s="3136"/>
      <c r="H25" s="3136"/>
      <c r="I25" s="3136"/>
      <c r="J25" s="3127">
        <f t="shared" si="0"/>
        <v>0</v>
      </c>
      <c r="K25" s="3126">
        <f t="shared" si="1"/>
        <v>0</v>
      </c>
      <c r="L25" s="3127">
        <f t="shared" si="1"/>
        <v>0</v>
      </c>
      <c r="M25" s="3126">
        <f t="shared" si="2"/>
        <v>0</v>
      </c>
      <c r="T25" s="3155" t="s">
        <v>2775</v>
      </c>
      <c r="U25" s="3143">
        <v>565851.65000000072</v>
      </c>
      <c r="V25" s="3113">
        <v>892000</v>
      </c>
      <c r="X25" s="3154"/>
      <c r="Y25" s="3143"/>
    </row>
    <row r="26" spans="1:25">
      <c r="A26" s="3133">
        <v>18</v>
      </c>
      <c r="B26" s="3137" t="s">
        <v>2774</v>
      </c>
      <c r="C26" s="3137" t="s">
        <v>227</v>
      </c>
      <c r="D26" s="3137"/>
      <c r="E26" s="3136">
        <v>9132838</v>
      </c>
      <c r="F26" s="3136"/>
      <c r="G26" s="3136">
        <f>E26</f>
        <v>9132838</v>
      </c>
      <c r="H26" s="3136"/>
      <c r="I26" s="3136"/>
      <c r="J26" s="3127">
        <f t="shared" si="0"/>
        <v>0</v>
      </c>
      <c r="K26" s="3126">
        <f t="shared" si="1"/>
        <v>0</v>
      </c>
      <c r="L26" s="3127">
        <f t="shared" si="1"/>
        <v>0</v>
      </c>
      <c r="M26" s="3126">
        <f t="shared" si="2"/>
        <v>0</v>
      </c>
      <c r="T26" s="3155" t="s">
        <v>2773</v>
      </c>
      <c r="U26" s="3143">
        <v>989093.59601600037</v>
      </c>
      <c r="V26" s="3113">
        <v>893000</v>
      </c>
      <c r="X26" s="3154"/>
      <c r="Y26" s="3143"/>
    </row>
    <row r="27" spans="1:25">
      <c r="A27" s="3133">
        <v>19</v>
      </c>
      <c r="B27" s="3137" t="s">
        <v>2772</v>
      </c>
      <c r="C27" s="3137" t="s">
        <v>2771</v>
      </c>
      <c r="D27" s="3137"/>
      <c r="E27" s="3136"/>
      <c r="F27" s="3136"/>
      <c r="G27" s="3136"/>
      <c r="H27" s="3136"/>
      <c r="I27" s="3136"/>
      <c r="J27" s="3127">
        <f t="shared" si="0"/>
        <v>0</v>
      </c>
      <c r="K27" s="3126">
        <f t="shared" si="1"/>
        <v>0</v>
      </c>
      <c r="L27" s="3127">
        <f t="shared" si="1"/>
        <v>0</v>
      </c>
      <c r="M27" s="3126">
        <f t="shared" si="2"/>
        <v>0</v>
      </c>
      <c r="T27" s="3155" t="s">
        <v>2770</v>
      </c>
      <c r="U27" s="3143">
        <v>73706.933952000021</v>
      </c>
      <c r="V27" s="3113">
        <v>894000</v>
      </c>
      <c r="X27" s="3154"/>
      <c r="Y27" s="3143"/>
    </row>
    <row r="28" spans="1:25">
      <c r="A28" s="3133">
        <v>20</v>
      </c>
      <c r="B28" s="3132"/>
      <c r="C28" s="3132" t="s">
        <v>2769</v>
      </c>
      <c r="D28" s="3132"/>
      <c r="E28" s="3158">
        <f t="shared" ref="E28:M28" si="3">SUM(E11:E27)</f>
        <v>148953374</v>
      </c>
      <c r="F28" s="3158">
        <f t="shared" si="3"/>
        <v>0</v>
      </c>
      <c r="G28" s="3158">
        <f t="shared" si="3"/>
        <v>148953374</v>
      </c>
      <c r="H28" s="3158">
        <f t="shared" si="3"/>
        <v>0</v>
      </c>
      <c r="I28" s="3158">
        <f t="shared" si="3"/>
        <v>0</v>
      </c>
      <c r="J28" s="3157">
        <f t="shared" si="3"/>
        <v>0</v>
      </c>
      <c r="K28" s="3156">
        <f t="shared" si="3"/>
        <v>0</v>
      </c>
      <c r="L28" s="3157">
        <f t="shared" si="3"/>
        <v>0</v>
      </c>
      <c r="M28" s="3156">
        <f t="shared" si="3"/>
        <v>0</v>
      </c>
      <c r="T28" s="3155" t="s">
        <v>2768</v>
      </c>
      <c r="U28" s="3143">
        <v>57779.495999999992</v>
      </c>
      <c r="V28" s="3113">
        <v>901000</v>
      </c>
      <c r="X28" s="3154"/>
      <c r="Y28" s="3143"/>
    </row>
    <row r="29" spans="1:25">
      <c r="A29" s="3133">
        <v>21</v>
      </c>
      <c r="B29" s="3137" t="s">
        <v>2767</v>
      </c>
      <c r="C29" s="3137" t="s">
        <v>228</v>
      </c>
      <c r="D29" s="3137"/>
      <c r="E29" s="3136">
        <v>-343977</v>
      </c>
      <c r="F29" s="3136"/>
      <c r="G29" s="3136">
        <f>E29</f>
        <v>-343977</v>
      </c>
      <c r="H29" s="3136"/>
      <c r="I29" s="3136"/>
      <c r="J29" s="3127">
        <f>E29-SUM(F29:H29)+I29</f>
        <v>0</v>
      </c>
      <c r="K29" s="3126">
        <f t="shared" ref="K29:L31" si="4">$J29*K$8</f>
        <v>0</v>
      </c>
      <c r="L29" s="3127">
        <f t="shared" si="4"/>
        <v>0</v>
      </c>
      <c r="M29" s="3126">
        <f>L29-K29</f>
        <v>0</v>
      </c>
      <c r="T29" s="3155" t="s">
        <v>2766</v>
      </c>
      <c r="U29" s="3143">
        <v>234846.55489290011</v>
      </c>
      <c r="V29" s="3113">
        <v>902000</v>
      </c>
      <c r="X29" s="3154"/>
      <c r="Y29" s="3143"/>
    </row>
    <row r="30" spans="1:25">
      <c r="A30" s="3133">
        <v>22</v>
      </c>
      <c r="B30" s="3137" t="s">
        <v>2765</v>
      </c>
      <c r="C30" s="3137" t="s">
        <v>2764</v>
      </c>
      <c r="D30" s="3137"/>
      <c r="E30" s="3136">
        <v>88650</v>
      </c>
      <c r="F30" s="3136"/>
      <c r="G30" s="3136">
        <f>E30</f>
        <v>88650</v>
      </c>
      <c r="H30" s="3136"/>
      <c r="I30" s="3136"/>
      <c r="J30" s="3127">
        <f>E30-SUM(F30:H30)+I30</f>
        <v>0</v>
      </c>
      <c r="K30" s="3126">
        <f t="shared" si="4"/>
        <v>0</v>
      </c>
      <c r="L30" s="3127">
        <f t="shared" si="4"/>
        <v>0</v>
      </c>
      <c r="M30" s="3126">
        <f>L30-K30</f>
        <v>0</v>
      </c>
      <c r="T30" s="3155" t="s">
        <v>2763</v>
      </c>
      <c r="U30" s="3143">
        <v>1948854.2636049024</v>
      </c>
      <c r="V30" s="3113">
        <v>903000</v>
      </c>
      <c r="X30" s="3154"/>
      <c r="Y30" s="3143"/>
    </row>
    <row r="31" spans="1:25">
      <c r="A31" s="3133">
        <v>23</v>
      </c>
      <c r="B31" s="3137" t="s">
        <v>2762</v>
      </c>
      <c r="C31" s="3137" t="s">
        <v>229</v>
      </c>
      <c r="D31" s="3137"/>
      <c r="E31" s="3136">
        <f>780647</f>
        <v>780647</v>
      </c>
      <c r="F31" s="3136">
        <f>U10</f>
        <v>670616.50171839981</v>
      </c>
      <c r="G31" s="3136"/>
      <c r="H31" s="3136"/>
      <c r="I31" s="3136"/>
      <c r="J31" s="3127">
        <f>E31-SUM(F31:H31)+I31</f>
        <v>110030.49828160019</v>
      </c>
      <c r="K31" s="3126">
        <f t="shared" si="4"/>
        <v>12582.522001825428</v>
      </c>
      <c r="L31" s="3127">
        <f t="shared" si="4"/>
        <v>17615.530802555601</v>
      </c>
      <c r="M31" s="3126">
        <f>L31-K31</f>
        <v>5033.0088007301729</v>
      </c>
      <c r="T31" s="3155" t="s">
        <v>2761</v>
      </c>
      <c r="U31" s="3143">
        <v>130355.39619130027</v>
      </c>
      <c r="V31" s="3113">
        <v>905000</v>
      </c>
      <c r="X31" s="3154"/>
      <c r="Y31" s="3143"/>
    </row>
    <row r="32" spans="1:25">
      <c r="A32" s="3133">
        <v>24</v>
      </c>
      <c r="B32" s="3132"/>
      <c r="C32" s="3132" t="s">
        <v>2760</v>
      </c>
      <c r="D32" s="3132"/>
      <c r="E32" s="3140">
        <f t="shared" ref="E32:M32" si="5">SUM(E28:E31)</f>
        <v>149478694</v>
      </c>
      <c r="F32" s="3140">
        <f t="shared" si="5"/>
        <v>670616.50171839981</v>
      </c>
      <c r="G32" s="3140">
        <f t="shared" si="5"/>
        <v>148698047</v>
      </c>
      <c r="H32" s="3140">
        <f t="shared" si="5"/>
        <v>0</v>
      </c>
      <c r="I32" s="3140">
        <f t="shared" si="5"/>
        <v>0</v>
      </c>
      <c r="J32" s="3139">
        <f t="shared" si="5"/>
        <v>110030.49828160019</v>
      </c>
      <c r="K32" s="3138">
        <f t="shared" si="5"/>
        <v>12582.522001825428</v>
      </c>
      <c r="L32" s="3139">
        <f t="shared" si="5"/>
        <v>17615.530802555601</v>
      </c>
      <c r="M32" s="3138">
        <f t="shared" si="5"/>
        <v>5033.0088007301729</v>
      </c>
      <c r="T32" s="3155" t="s">
        <v>2759</v>
      </c>
      <c r="U32" s="3143">
        <v>133598.04493890004</v>
      </c>
      <c r="V32" s="3113">
        <v>908000</v>
      </c>
      <c r="X32" s="3154"/>
      <c r="Y32" s="3143"/>
    </row>
    <row r="33" spans="1:25">
      <c r="A33" s="3133">
        <v>25</v>
      </c>
      <c r="B33" s="3137"/>
      <c r="C33" s="3137"/>
      <c r="D33" s="3137"/>
      <c r="E33" s="3146"/>
      <c r="F33" s="3146"/>
      <c r="G33" s="3146"/>
      <c r="H33" s="3146"/>
      <c r="I33" s="3146"/>
      <c r="J33" s="3145"/>
      <c r="K33" s="3144"/>
      <c r="L33" s="3145"/>
      <c r="M33" s="3144"/>
      <c r="T33" s="3155" t="s">
        <v>2758</v>
      </c>
      <c r="U33" s="3143">
        <v>13113.587210500002</v>
      </c>
      <c r="V33" s="3113">
        <v>909000</v>
      </c>
      <c r="X33" s="3154"/>
      <c r="Y33" s="3143"/>
    </row>
    <row r="34" spans="1:25">
      <c r="A34" s="3133">
        <v>26</v>
      </c>
      <c r="B34" s="3137"/>
      <c r="C34" s="3132" t="s">
        <v>2757</v>
      </c>
      <c r="D34" s="3137"/>
      <c r="E34" s="3136"/>
      <c r="F34" s="3136"/>
      <c r="G34" s="3136"/>
      <c r="H34" s="3136"/>
      <c r="I34" s="3136"/>
      <c r="J34" s="3135"/>
      <c r="K34" s="3134"/>
      <c r="L34" s="3135"/>
      <c r="M34" s="3134"/>
      <c r="T34" s="3155" t="s">
        <v>2756</v>
      </c>
      <c r="U34" s="3143">
        <v>20261.360601999993</v>
      </c>
      <c r="V34" s="3113">
        <v>910000</v>
      </c>
      <c r="X34" s="3154"/>
      <c r="Y34" s="3143"/>
    </row>
    <row r="35" spans="1:25">
      <c r="A35" s="3133">
        <v>27</v>
      </c>
      <c r="B35" s="3137" t="s">
        <v>2755</v>
      </c>
      <c r="C35" s="3137" t="s">
        <v>233</v>
      </c>
      <c r="D35" s="3137"/>
      <c r="E35" s="3136">
        <v>0</v>
      </c>
      <c r="F35" s="3136">
        <f>U11</f>
        <v>0</v>
      </c>
      <c r="G35" s="3136"/>
      <c r="H35" s="3136"/>
      <c r="I35" s="3136"/>
      <c r="J35" s="3127">
        <f t="shared" ref="J35:J54" si="6">E35-SUM(F35:H35)+I35</f>
        <v>0</v>
      </c>
      <c r="K35" s="3126">
        <f t="shared" ref="K35:L54" si="7">$J35*K$8</f>
        <v>0</v>
      </c>
      <c r="L35" s="3127">
        <f t="shared" si="7"/>
        <v>0</v>
      </c>
      <c r="M35" s="3126">
        <f t="shared" ref="M35:M54" si="8">L35-K35</f>
        <v>0</v>
      </c>
      <c r="T35" s="3155" t="s">
        <v>1755</v>
      </c>
      <c r="U35" s="3143">
        <v>5385107.7441059863</v>
      </c>
      <c r="V35" s="3113">
        <v>920000</v>
      </c>
      <c r="X35" s="3154"/>
      <c r="Y35" s="3143"/>
    </row>
    <row r="36" spans="1:25">
      <c r="A36" s="3133">
        <v>28</v>
      </c>
      <c r="B36" s="3137" t="s">
        <v>2754</v>
      </c>
      <c r="C36" s="3137" t="s">
        <v>2732</v>
      </c>
      <c r="D36" s="3137"/>
      <c r="E36" s="3136">
        <v>0</v>
      </c>
      <c r="F36" s="3136"/>
      <c r="G36" s="3136"/>
      <c r="H36" s="3136"/>
      <c r="I36" s="3136"/>
      <c r="J36" s="3127">
        <f t="shared" si="6"/>
        <v>0</v>
      </c>
      <c r="K36" s="3126">
        <f t="shared" si="7"/>
        <v>0</v>
      </c>
      <c r="L36" s="3127">
        <f t="shared" si="7"/>
        <v>0</v>
      </c>
      <c r="M36" s="3126">
        <f t="shared" si="8"/>
        <v>0</v>
      </c>
      <c r="T36" s="3155" t="s">
        <v>2753</v>
      </c>
      <c r="U36" s="3143">
        <v>40272.579513600809</v>
      </c>
      <c r="V36" s="3113">
        <v>921000</v>
      </c>
      <c r="X36" s="3154"/>
      <c r="Y36" s="3143"/>
    </row>
    <row r="37" spans="1:25">
      <c r="A37" s="3133">
        <v>29</v>
      </c>
      <c r="B37" s="3137" t="s">
        <v>2752</v>
      </c>
      <c r="C37" s="3137" t="s">
        <v>2730</v>
      </c>
      <c r="D37" s="3137"/>
      <c r="E37" s="3136">
        <v>0</v>
      </c>
      <c r="F37" s="3136"/>
      <c r="G37" s="3136"/>
      <c r="H37" s="3136"/>
      <c r="I37" s="3136"/>
      <c r="J37" s="3127">
        <f t="shared" si="6"/>
        <v>0</v>
      </c>
      <c r="K37" s="3126">
        <f t="shared" si="7"/>
        <v>0</v>
      </c>
      <c r="L37" s="3127">
        <f t="shared" si="7"/>
        <v>0</v>
      </c>
      <c r="M37" s="3126">
        <f t="shared" si="8"/>
        <v>0</v>
      </c>
      <c r="T37" s="3155" t="s">
        <v>2751</v>
      </c>
      <c r="U37" s="3143">
        <v>1152.4631725999998</v>
      </c>
      <c r="V37" s="3113">
        <v>923000</v>
      </c>
      <c r="X37" s="3154"/>
      <c r="Y37" s="3143"/>
    </row>
    <row r="38" spans="1:25">
      <c r="A38" s="3133">
        <v>30</v>
      </c>
      <c r="B38" s="3137" t="s">
        <v>2750</v>
      </c>
      <c r="C38" s="3137" t="s">
        <v>2727</v>
      </c>
      <c r="D38" s="3137"/>
      <c r="E38" s="3136">
        <v>0</v>
      </c>
      <c r="F38" s="3136"/>
      <c r="G38" s="3136"/>
      <c r="H38" s="3136"/>
      <c r="I38" s="3136"/>
      <c r="J38" s="3127">
        <f t="shared" si="6"/>
        <v>0</v>
      </c>
      <c r="K38" s="3126">
        <f t="shared" si="7"/>
        <v>0</v>
      </c>
      <c r="L38" s="3127">
        <f t="shared" si="7"/>
        <v>0</v>
      </c>
      <c r="M38" s="3126">
        <f t="shared" si="8"/>
        <v>0</v>
      </c>
      <c r="T38" s="3155">
        <v>925100</v>
      </c>
      <c r="U38" s="3143">
        <v>18.5319918</v>
      </c>
      <c r="V38" s="3113">
        <v>925100</v>
      </c>
      <c r="X38" s="3154"/>
      <c r="Y38" s="3143"/>
    </row>
    <row r="39" spans="1:25">
      <c r="A39" s="3133">
        <v>31</v>
      </c>
      <c r="B39" s="3137" t="s">
        <v>2749</v>
      </c>
      <c r="C39" s="3137" t="s">
        <v>2725</v>
      </c>
      <c r="D39" s="3137"/>
      <c r="E39" s="3136">
        <v>0</v>
      </c>
      <c r="F39" s="3136"/>
      <c r="G39" s="3136"/>
      <c r="H39" s="3136"/>
      <c r="I39" s="3136"/>
      <c r="J39" s="3127">
        <f t="shared" si="6"/>
        <v>0</v>
      </c>
      <c r="K39" s="3126">
        <f t="shared" si="7"/>
        <v>0</v>
      </c>
      <c r="L39" s="3127">
        <f t="shared" si="7"/>
        <v>0</v>
      </c>
      <c r="M39" s="3126">
        <f t="shared" si="8"/>
        <v>0</v>
      </c>
      <c r="T39" s="3155" t="s">
        <v>2748</v>
      </c>
      <c r="U39" s="3143">
        <v>67764.194160200059</v>
      </c>
      <c r="V39" s="3113">
        <v>926100</v>
      </c>
      <c r="X39" s="3154"/>
      <c r="Y39" s="3143"/>
    </row>
    <row r="40" spans="1:25">
      <c r="A40" s="3133">
        <v>32</v>
      </c>
      <c r="B40" s="3137" t="s">
        <v>2747</v>
      </c>
      <c r="C40" s="3137" t="s">
        <v>2723</v>
      </c>
      <c r="D40" s="3137"/>
      <c r="E40" s="3136">
        <v>0</v>
      </c>
      <c r="F40" s="3136"/>
      <c r="G40" s="3136"/>
      <c r="H40" s="3136"/>
      <c r="I40" s="3136"/>
      <c r="J40" s="3127">
        <f t="shared" si="6"/>
        <v>0</v>
      </c>
      <c r="K40" s="3126">
        <f t="shared" si="7"/>
        <v>0</v>
      </c>
      <c r="L40" s="3127">
        <f t="shared" si="7"/>
        <v>0</v>
      </c>
      <c r="M40" s="3126">
        <f t="shared" si="8"/>
        <v>0</v>
      </c>
      <c r="T40" s="3155" t="s">
        <v>1263</v>
      </c>
      <c r="U40" s="3143">
        <v>217065.18820919996</v>
      </c>
      <c r="V40" s="3113">
        <v>928000</v>
      </c>
      <c r="X40" s="3154"/>
      <c r="Y40" s="3143"/>
    </row>
    <row r="41" spans="1:25">
      <c r="A41" s="3133">
        <v>33</v>
      </c>
      <c r="B41" s="3137" t="s">
        <v>2746</v>
      </c>
      <c r="C41" s="3137" t="s">
        <v>2745</v>
      </c>
      <c r="D41" s="3137"/>
      <c r="E41" s="3136">
        <v>0</v>
      </c>
      <c r="F41" s="3136"/>
      <c r="G41" s="3136"/>
      <c r="H41" s="3136"/>
      <c r="I41" s="3136"/>
      <c r="J41" s="3127">
        <f t="shared" si="6"/>
        <v>0</v>
      </c>
      <c r="K41" s="3126">
        <f t="shared" si="7"/>
        <v>0</v>
      </c>
      <c r="L41" s="3127">
        <f t="shared" si="7"/>
        <v>0</v>
      </c>
      <c r="M41" s="3126">
        <f t="shared" si="8"/>
        <v>0</v>
      </c>
      <c r="T41" s="3155" t="s">
        <v>2744</v>
      </c>
      <c r="U41" s="3143">
        <v>132807.30956380002</v>
      </c>
      <c r="V41" s="3113">
        <v>930200</v>
      </c>
      <c r="X41" s="3154"/>
      <c r="Y41" s="3143"/>
    </row>
    <row r="42" spans="1:25">
      <c r="A42" s="3133">
        <v>34</v>
      </c>
      <c r="B42" s="3137" t="s">
        <v>2743</v>
      </c>
      <c r="C42" s="3137" t="s">
        <v>2742</v>
      </c>
      <c r="D42" s="3137"/>
      <c r="E42" s="3136">
        <v>0</v>
      </c>
      <c r="F42" s="3136"/>
      <c r="G42" s="3136"/>
      <c r="H42" s="3136"/>
      <c r="I42" s="3136"/>
      <c r="J42" s="3127">
        <f t="shared" si="6"/>
        <v>0</v>
      </c>
      <c r="K42" s="3126">
        <f t="shared" si="7"/>
        <v>0</v>
      </c>
      <c r="L42" s="3127">
        <f t="shared" si="7"/>
        <v>0</v>
      </c>
      <c r="M42" s="3126">
        <f t="shared" si="8"/>
        <v>0</v>
      </c>
      <c r="T42" s="3155" t="s">
        <v>2741</v>
      </c>
      <c r="U42" s="3143">
        <v>169.8299566</v>
      </c>
      <c r="V42" s="3113">
        <v>931000</v>
      </c>
      <c r="X42" s="3154"/>
      <c r="Y42" s="3143"/>
    </row>
    <row r="43" spans="1:25">
      <c r="A43" s="3133">
        <v>35</v>
      </c>
      <c r="B43" s="3137" t="s">
        <v>2740</v>
      </c>
      <c r="C43" s="3137" t="s">
        <v>234</v>
      </c>
      <c r="D43" s="3137"/>
      <c r="E43" s="3136">
        <v>570704</v>
      </c>
      <c r="F43" s="3136"/>
      <c r="G43" s="3136"/>
      <c r="H43" s="3136"/>
      <c r="I43" s="3136"/>
      <c r="J43" s="3127">
        <f t="shared" si="6"/>
        <v>570704</v>
      </c>
      <c r="K43" s="3126">
        <f t="shared" si="7"/>
        <v>65262.77485494766</v>
      </c>
      <c r="L43" s="3127">
        <f t="shared" si="7"/>
        <v>91367.884796926737</v>
      </c>
      <c r="M43" s="3126">
        <f t="shared" si="8"/>
        <v>26105.109941979077</v>
      </c>
      <c r="T43" s="3155" t="s">
        <v>2739</v>
      </c>
      <c r="U43" s="3143">
        <v>237986.69029660011</v>
      </c>
      <c r="V43" s="3113">
        <v>935000</v>
      </c>
      <c r="X43" s="3154"/>
      <c r="Y43" s="3143"/>
    </row>
    <row r="44" spans="1:25">
      <c r="A44" s="3133">
        <v>36</v>
      </c>
      <c r="B44" s="3137" t="s">
        <v>2738</v>
      </c>
      <c r="C44" s="3137" t="s">
        <v>2737</v>
      </c>
      <c r="D44" s="3137"/>
      <c r="E44" s="3136">
        <v>0</v>
      </c>
      <c r="F44" s="3136"/>
      <c r="G44" s="3136"/>
      <c r="H44" s="3136"/>
      <c r="I44" s="3136"/>
      <c r="J44" s="3127">
        <f t="shared" si="6"/>
        <v>0</v>
      </c>
      <c r="K44" s="3126">
        <f t="shared" si="7"/>
        <v>0</v>
      </c>
      <c r="L44" s="3127">
        <f t="shared" si="7"/>
        <v>0</v>
      </c>
      <c r="M44" s="3126">
        <f t="shared" si="8"/>
        <v>0</v>
      </c>
      <c r="T44" s="477"/>
      <c r="U44" s="3143">
        <f>SUM(U10:U43)</f>
        <v>17127678.749018297</v>
      </c>
    </row>
    <row r="45" spans="1:25">
      <c r="A45" s="3133">
        <v>37</v>
      </c>
      <c r="B45" s="3137" t="s">
        <v>2736</v>
      </c>
      <c r="C45" s="3137" t="s">
        <v>251</v>
      </c>
      <c r="D45" s="3137"/>
      <c r="E45" s="3136">
        <v>0</v>
      </c>
      <c r="F45" s="3136"/>
      <c r="G45" s="3136"/>
      <c r="H45" s="3136"/>
      <c r="I45" s="3136"/>
      <c r="J45" s="3127">
        <f t="shared" si="6"/>
        <v>0</v>
      </c>
      <c r="K45" s="3126">
        <f t="shared" si="7"/>
        <v>0</v>
      </c>
      <c r="L45" s="3127">
        <f t="shared" si="7"/>
        <v>0</v>
      </c>
      <c r="M45" s="3126">
        <f t="shared" si="8"/>
        <v>0</v>
      </c>
      <c r="T45" s="477"/>
      <c r="U45" s="3143"/>
    </row>
    <row r="46" spans="1:25">
      <c r="A46" s="3133">
        <v>38</v>
      </c>
      <c r="B46" s="3137"/>
      <c r="C46" s="3137"/>
      <c r="D46" s="3137"/>
      <c r="E46" s="3136"/>
      <c r="F46" s="3136"/>
      <c r="G46" s="3136"/>
      <c r="H46" s="3136"/>
      <c r="I46" s="3136"/>
      <c r="J46" s="3127">
        <f t="shared" si="6"/>
        <v>0</v>
      </c>
      <c r="K46" s="3126">
        <f t="shared" si="7"/>
        <v>0</v>
      </c>
      <c r="L46" s="3127">
        <f t="shared" si="7"/>
        <v>0</v>
      </c>
      <c r="M46" s="3126">
        <f t="shared" si="8"/>
        <v>0</v>
      </c>
      <c r="T46" s="477"/>
      <c r="U46" s="3143"/>
    </row>
    <row r="47" spans="1:25">
      <c r="A47" s="3133">
        <v>39</v>
      </c>
      <c r="B47" s="3137" t="s">
        <v>2735</v>
      </c>
      <c r="C47" s="3137" t="s">
        <v>233</v>
      </c>
      <c r="D47" s="3137"/>
      <c r="E47" s="3136">
        <v>0</v>
      </c>
      <c r="F47" s="3136"/>
      <c r="G47" s="3136"/>
      <c r="H47" s="3136"/>
      <c r="I47" s="3136"/>
      <c r="J47" s="3127">
        <f t="shared" si="6"/>
        <v>0</v>
      </c>
      <c r="K47" s="3126">
        <f t="shared" si="7"/>
        <v>0</v>
      </c>
      <c r="L47" s="3127">
        <f t="shared" si="7"/>
        <v>0</v>
      </c>
      <c r="M47" s="3126">
        <f t="shared" si="8"/>
        <v>0</v>
      </c>
      <c r="R47" s="3153" t="s">
        <v>2734</v>
      </c>
      <c r="U47" s="3133" t="s">
        <v>24</v>
      </c>
      <c r="V47" s="3133" t="s">
        <v>539</v>
      </c>
    </row>
    <row r="48" spans="1:25">
      <c r="A48" s="3133">
        <v>40</v>
      </c>
      <c r="B48" s="3137" t="s">
        <v>2733</v>
      </c>
      <c r="C48" s="3137" t="s">
        <v>2732</v>
      </c>
      <c r="D48" s="3137"/>
      <c r="E48" s="3136">
        <v>0</v>
      </c>
      <c r="F48" s="3136"/>
      <c r="G48" s="3136"/>
      <c r="H48" s="3136"/>
      <c r="I48" s="3136"/>
      <c r="J48" s="3127">
        <f t="shared" si="6"/>
        <v>0</v>
      </c>
      <c r="K48" s="3126">
        <f t="shared" si="7"/>
        <v>0</v>
      </c>
      <c r="L48" s="3127">
        <f t="shared" si="7"/>
        <v>0</v>
      </c>
      <c r="M48" s="3126">
        <f t="shared" si="8"/>
        <v>0</v>
      </c>
      <c r="R48" s="3113" t="s">
        <v>839</v>
      </c>
      <c r="S48" s="3152">
        <v>0.20707999999999999</v>
      </c>
      <c r="T48" s="3152">
        <v>0.71745999999999999</v>
      </c>
      <c r="U48" s="3143">
        <v>19323555</v>
      </c>
      <c r="V48" s="3143">
        <f>U48*S48*T48</f>
        <v>2870931.8086737236</v>
      </c>
    </row>
    <row r="49" spans="1:22">
      <c r="A49" s="3133">
        <v>41</v>
      </c>
      <c r="B49" s="3137" t="s">
        <v>2731</v>
      </c>
      <c r="C49" s="3137" t="s">
        <v>2730</v>
      </c>
      <c r="D49" s="3137"/>
      <c r="E49" s="3136">
        <v>0</v>
      </c>
      <c r="F49" s="3136"/>
      <c r="G49" s="3136"/>
      <c r="H49" s="3136"/>
      <c r="I49" s="3136"/>
      <c r="J49" s="3127">
        <f t="shared" si="6"/>
        <v>0</v>
      </c>
      <c r="K49" s="3126">
        <f t="shared" si="7"/>
        <v>0</v>
      </c>
      <c r="L49" s="3127">
        <f t="shared" si="7"/>
        <v>0</v>
      </c>
      <c r="M49" s="3126">
        <f t="shared" si="8"/>
        <v>0</v>
      </c>
      <c r="R49" s="3113" t="s">
        <v>2729</v>
      </c>
      <c r="S49" s="3152">
        <v>0.22856000000000001</v>
      </c>
      <c r="T49" s="3152">
        <v>0.71745999999999999</v>
      </c>
      <c r="U49" s="3143">
        <v>76417</v>
      </c>
      <c r="V49" s="3143">
        <f>U49*S49*T49</f>
        <v>12531.062745819199</v>
      </c>
    </row>
    <row r="50" spans="1:22">
      <c r="A50" s="3133">
        <v>42</v>
      </c>
      <c r="B50" s="3137" t="s">
        <v>2728</v>
      </c>
      <c r="C50" s="3137" t="s">
        <v>2727</v>
      </c>
      <c r="D50" s="3137"/>
      <c r="E50" s="3136">
        <v>0</v>
      </c>
      <c r="F50" s="3136"/>
      <c r="G50" s="3136"/>
      <c r="H50" s="3136"/>
      <c r="I50" s="3136"/>
      <c r="J50" s="3127">
        <f t="shared" si="6"/>
        <v>0</v>
      </c>
      <c r="K50" s="3126">
        <f t="shared" si="7"/>
        <v>0</v>
      </c>
      <c r="L50" s="3127">
        <f t="shared" si="7"/>
        <v>0</v>
      </c>
      <c r="M50" s="3126">
        <f t="shared" si="8"/>
        <v>0</v>
      </c>
      <c r="S50" s="3152"/>
      <c r="T50" s="3152"/>
      <c r="U50" s="3143">
        <v>0</v>
      </c>
      <c r="V50" s="3143">
        <f>U50*S50*T50</f>
        <v>0</v>
      </c>
    </row>
    <row r="51" spans="1:22">
      <c r="A51" s="3133">
        <v>43</v>
      </c>
      <c r="B51" s="3137" t="s">
        <v>2726</v>
      </c>
      <c r="C51" s="3137" t="s">
        <v>2725</v>
      </c>
      <c r="D51" s="3137"/>
      <c r="E51" s="3136">
        <v>0</v>
      </c>
      <c r="F51" s="3136"/>
      <c r="G51" s="3136"/>
      <c r="H51" s="3136"/>
      <c r="I51" s="3136"/>
      <c r="J51" s="3127">
        <f t="shared" si="6"/>
        <v>0</v>
      </c>
      <c r="K51" s="3126">
        <f t="shared" si="7"/>
        <v>0</v>
      </c>
      <c r="L51" s="3127">
        <f t="shared" si="7"/>
        <v>0</v>
      </c>
      <c r="M51" s="3126">
        <f t="shared" si="8"/>
        <v>0</v>
      </c>
      <c r="S51" s="3152"/>
      <c r="T51" s="3152"/>
      <c r="U51" s="3143">
        <v>0</v>
      </c>
      <c r="V51" s="3143">
        <f>U51*S51*T51</f>
        <v>0</v>
      </c>
    </row>
    <row r="52" spans="1:22">
      <c r="A52" s="3133">
        <v>44</v>
      </c>
      <c r="B52" s="3137" t="s">
        <v>2724</v>
      </c>
      <c r="C52" s="3137" t="s">
        <v>2723</v>
      </c>
      <c r="D52" s="3137"/>
      <c r="E52" s="3136">
        <v>0</v>
      </c>
      <c r="F52" s="3136"/>
      <c r="G52" s="3136"/>
      <c r="H52" s="3136"/>
      <c r="I52" s="3136"/>
      <c r="J52" s="3127">
        <f t="shared" si="6"/>
        <v>0</v>
      </c>
      <c r="K52" s="3126">
        <f t="shared" si="7"/>
        <v>0</v>
      </c>
      <c r="L52" s="3127">
        <f t="shared" si="7"/>
        <v>0</v>
      </c>
      <c r="M52" s="3126">
        <f t="shared" si="8"/>
        <v>0</v>
      </c>
      <c r="V52" s="3151">
        <f>SUM(V48:V51)</f>
        <v>2883462.8714195429</v>
      </c>
    </row>
    <row r="53" spans="1:22">
      <c r="A53" s="3133">
        <v>45</v>
      </c>
      <c r="B53" s="3137" t="s">
        <v>2722</v>
      </c>
      <c r="C53" s="3137" t="s">
        <v>2721</v>
      </c>
      <c r="D53" s="3137"/>
      <c r="E53" s="3136">
        <v>0</v>
      </c>
      <c r="F53" s="3136"/>
      <c r="G53" s="3136"/>
      <c r="H53" s="3136"/>
      <c r="I53" s="3136"/>
      <c r="J53" s="3127">
        <f t="shared" si="6"/>
        <v>0</v>
      </c>
      <c r="K53" s="3126">
        <f t="shared" si="7"/>
        <v>0</v>
      </c>
      <c r="L53" s="3127">
        <f t="shared" si="7"/>
        <v>0</v>
      </c>
      <c r="M53" s="3126">
        <f t="shared" si="8"/>
        <v>0</v>
      </c>
      <c r="T53" s="477"/>
      <c r="U53" s="3143"/>
    </row>
    <row r="54" spans="1:22">
      <c r="A54" s="3133">
        <v>46</v>
      </c>
      <c r="B54" s="3137" t="s">
        <v>2720</v>
      </c>
      <c r="C54" s="3137" t="s">
        <v>235</v>
      </c>
      <c r="D54" s="3137"/>
      <c r="E54" s="3136">
        <v>1491595</v>
      </c>
      <c r="F54" s="3136"/>
      <c r="G54" s="3136"/>
      <c r="H54" s="3136"/>
      <c r="I54" s="3136"/>
      <c r="J54" s="3127">
        <f t="shared" si="6"/>
        <v>1491595</v>
      </c>
      <c r="K54" s="3126">
        <f t="shared" si="7"/>
        <v>170571.13435294945</v>
      </c>
      <c r="L54" s="3127">
        <f t="shared" si="7"/>
        <v>238799.58809412923</v>
      </c>
      <c r="M54" s="3126">
        <f t="shared" si="8"/>
        <v>68228.453741179779</v>
      </c>
      <c r="T54" s="477"/>
      <c r="U54" s="3143"/>
    </row>
    <row r="55" spans="1:22">
      <c r="A55" s="3133">
        <v>47</v>
      </c>
      <c r="B55" s="3132"/>
      <c r="C55" s="3132" t="s">
        <v>2719</v>
      </c>
      <c r="D55" s="3132"/>
      <c r="E55" s="3140">
        <f t="shared" ref="E55:M55" si="9">SUM(E35:E54)</f>
        <v>2062299</v>
      </c>
      <c r="F55" s="3140">
        <f t="shared" si="9"/>
        <v>0</v>
      </c>
      <c r="G55" s="3140">
        <f t="shared" si="9"/>
        <v>0</v>
      </c>
      <c r="H55" s="3140">
        <f t="shared" si="9"/>
        <v>0</v>
      </c>
      <c r="I55" s="3140">
        <f t="shared" si="9"/>
        <v>0</v>
      </c>
      <c r="J55" s="3139">
        <f t="shared" si="9"/>
        <v>2062299</v>
      </c>
      <c r="K55" s="3138">
        <f t="shared" si="9"/>
        <v>235833.90920789712</v>
      </c>
      <c r="L55" s="3139">
        <f t="shared" si="9"/>
        <v>330167.47289105598</v>
      </c>
      <c r="M55" s="3138">
        <f t="shared" si="9"/>
        <v>94333.563683158864</v>
      </c>
      <c r="T55" s="477"/>
      <c r="U55" s="3143"/>
    </row>
    <row r="56" spans="1:22">
      <c r="A56" s="3133">
        <v>48</v>
      </c>
      <c r="B56" s="3137"/>
      <c r="C56" s="3137"/>
      <c r="D56" s="3137"/>
      <c r="E56" s="3136"/>
      <c r="F56" s="3136"/>
      <c r="G56" s="3136"/>
      <c r="H56" s="3136"/>
      <c r="I56" s="3136"/>
      <c r="J56" s="3135"/>
      <c r="K56" s="3134"/>
      <c r="L56" s="3135"/>
      <c r="M56" s="3134"/>
      <c r="T56" s="477"/>
      <c r="U56" s="3143"/>
    </row>
    <row r="57" spans="1:22">
      <c r="A57" s="3133">
        <v>49</v>
      </c>
      <c r="B57" s="3137"/>
      <c r="C57" s="3132" t="s">
        <v>2718</v>
      </c>
      <c r="D57" s="3137"/>
      <c r="E57" s="3141"/>
      <c r="F57" s="3141"/>
      <c r="G57" s="3141"/>
      <c r="H57" s="3141"/>
      <c r="I57" s="3141"/>
      <c r="J57" s="3150"/>
      <c r="K57" s="3149"/>
      <c r="L57" s="3150"/>
      <c r="M57" s="3149"/>
      <c r="T57" s="477"/>
      <c r="U57" s="3143"/>
    </row>
    <row r="58" spans="1:22">
      <c r="A58" s="3133">
        <v>50</v>
      </c>
      <c r="B58" s="3137"/>
      <c r="C58" s="3148" t="s">
        <v>2717</v>
      </c>
      <c r="D58" s="3137"/>
      <c r="E58" s="3136"/>
      <c r="F58" s="3136"/>
      <c r="G58" s="3136"/>
      <c r="H58" s="3136"/>
      <c r="I58" s="3136"/>
      <c r="J58" s="3135"/>
      <c r="K58" s="3134"/>
      <c r="L58" s="3135"/>
      <c r="M58" s="3134"/>
      <c r="T58" s="477"/>
      <c r="U58" s="3143"/>
    </row>
    <row r="59" spans="1:22">
      <c r="A59" s="3133">
        <v>51</v>
      </c>
      <c r="B59" s="3137" t="s">
        <v>2716</v>
      </c>
      <c r="C59" s="3137" t="s">
        <v>233</v>
      </c>
      <c r="D59" s="3137"/>
      <c r="E59" s="3136">
        <v>1609942</v>
      </c>
      <c r="F59" s="3136">
        <f>U12</f>
        <v>1310615.7309850003</v>
      </c>
      <c r="G59" s="3136"/>
      <c r="H59" s="3136"/>
      <c r="I59" s="3136"/>
      <c r="J59" s="3127">
        <f t="shared" ref="J59:J69" si="10">E59-SUM(F59:H59)+I59</f>
        <v>299326.26901499974</v>
      </c>
      <c r="K59" s="3126">
        <f t="shared" ref="K59:L69" si="11">$J59*K$8</f>
        <v>34229.41297572371</v>
      </c>
      <c r="L59" s="3127">
        <f t="shared" si="11"/>
        <v>47921.178166013196</v>
      </c>
      <c r="M59" s="3126">
        <f t="shared" ref="M59:M69" si="12">L59-K59</f>
        <v>13691.765190289487</v>
      </c>
      <c r="T59" s="477"/>
      <c r="U59" s="3143"/>
    </row>
    <row r="60" spans="1:22">
      <c r="A60" s="3133">
        <v>52</v>
      </c>
      <c r="B60" s="3137" t="s">
        <v>2715</v>
      </c>
      <c r="C60" s="3137" t="s">
        <v>244</v>
      </c>
      <c r="D60" s="3137"/>
      <c r="E60" s="3136">
        <v>0</v>
      </c>
      <c r="F60" s="3136"/>
      <c r="G60" s="3136"/>
      <c r="H60" s="3136"/>
      <c r="I60" s="3136"/>
      <c r="J60" s="3127">
        <f t="shared" si="10"/>
        <v>0</v>
      </c>
      <c r="K60" s="3126">
        <f t="shared" si="11"/>
        <v>0</v>
      </c>
      <c r="L60" s="3127">
        <f t="shared" si="11"/>
        <v>0</v>
      </c>
      <c r="M60" s="3126">
        <f t="shared" si="12"/>
        <v>0</v>
      </c>
      <c r="T60" s="477"/>
      <c r="U60" s="3143"/>
    </row>
    <row r="61" spans="1:22">
      <c r="A61" s="3133">
        <v>53</v>
      </c>
      <c r="B61" s="3137" t="s">
        <v>2714</v>
      </c>
      <c r="C61" s="3137" t="s">
        <v>2713</v>
      </c>
      <c r="D61" s="3137"/>
      <c r="E61" s="3136">
        <v>0</v>
      </c>
      <c r="F61" s="3136"/>
      <c r="G61" s="3136"/>
      <c r="H61" s="3136"/>
      <c r="I61" s="3136"/>
      <c r="J61" s="3127">
        <f t="shared" si="10"/>
        <v>0</v>
      </c>
      <c r="K61" s="3126">
        <f t="shared" si="11"/>
        <v>0</v>
      </c>
      <c r="L61" s="3127">
        <f t="shared" si="11"/>
        <v>0</v>
      </c>
      <c r="M61" s="3126">
        <f t="shared" si="12"/>
        <v>0</v>
      </c>
      <c r="T61" s="477"/>
      <c r="U61" s="3143"/>
    </row>
    <row r="62" spans="1:22">
      <c r="A62" s="3133">
        <v>54</v>
      </c>
      <c r="B62" s="3137" t="s">
        <v>2712</v>
      </c>
      <c r="C62" s="3137" t="s">
        <v>2711</v>
      </c>
      <c r="D62" s="3137"/>
      <c r="E62" s="3136">
        <v>3230198</v>
      </c>
      <c r="F62" s="3136">
        <f t="shared" ref="F62:F68" si="13">U13</f>
        <v>1442985.4350720011</v>
      </c>
      <c r="G62" s="3136"/>
      <c r="H62" s="3136"/>
      <c r="I62" s="3136">
        <v>-2754</v>
      </c>
      <c r="J62" s="3127">
        <f t="shared" si="10"/>
        <v>1784458.5649279989</v>
      </c>
      <c r="K62" s="3126">
        <f t="shared" si="11"/>
        <v>204061.50572079222</v>
      </c>
      <c r="L62" s="3127">
        <f t="shared" si="11"/>
        <v>285686.1080091091</v>
      </c>
      <c r="M62" s="3126">
        <f t="shared" si="12"/>
        <v>81624.602288316877</v>
      </c>
      <c r="T62" s="477"/>
      <c r="U62" s="3143"/>
    </row>
    <row r="63" spans="1:22">
      <c r="A63" s="3133">
        <v>55</v>
      </c>
      <c r="B63" s="3137" t="s">
        <v>2710</v>
      </c>
      <c r="C63" s="3137" t="s">
        <v>2694</v>
      </c>
      <c r="D63" s="3137"/>
      <c r="E63" s="3136">
        <v>88889</v>
      </c>
      <c r="F63" s="3136">
        <f t="shared" si="13"/>
        <v>70940.190000000017</v>
      </c>
      <c r="G63" s="3136"/>
      <c r="H63" s="3136"/>
      <c r="I63" s="3136"/>
      <c r="J63" s="3127">
        <f t="shared" si="10"/>
        <v>17948.809999999983</v>
      </c>
      <c r="K63" s="3126">
        <f t="shared" si="11"/>
        <v>2052.5336180300683</v>
      </c>
      <c r="L63" s="3127">
        <f t="shared" si="11"/>
        <v>2873.5470652420959</v>
      </c>
      <c r="M63" s="3126">
        <f t="shared" si="12"/>
        <v>821.01344721202759</v>
      </c>
      <c r="T63" s="477"/>
      <c r="U63" s="3143"/>
    </row>
    <row r="64" spans="1:22">
      <c r="A64" s="3133">
        <v>56</v>
      </c>
      <c r="B64" s="3137" t="s">
        <v>2709</v>
      </c>
      <c r="C64" s="3137" t="s">
        <v>2692</v>
      </c>
      <c r="D64" s="3137"/>
      <c r="E64" s="3136">
        <v>5860</v>
      </c>
      <c r="F64" s="3136">
        <f t="shared" si="13"/>
        <v>4877.17</v>
      </c>
      <c r="G64" s="3136"/>
      <c r="H64" s="3136"/>
      <c r="I64" s="3136"/>
      <c r="J64" s="3127">
        <f t="shared" si="10"/>
        <v>982.82999999999993</v>
      </c>
      <c r="K64" s="3126">
        <f t="shared" si="11"/>
        <v>112.39138504494134</v>
      </c>
      <c r="L64" s="3127">
        <f t="shared" si="11"/>
        <v>157.3479390629179</v>
      </c>
      <c r="M64" s="3126">
        <f t="shared" si="12"/>
        <v>44.956554017976558</v>
      </c>
      <c r="T64" s="477"/>
      <c r="U64" s="3143"/>
    </row>
    <row r="65" spans="1:21">
      <c r="A65" s="3133">
        <v>57</v>
      </c>
      <c r="B65" s="3137" t="s">
        <v>2708</v>
      </c>
      <c r="C65" s="3137" t="s">
        <v>2690</v>
      </c>
      <c r="D65" s="3137"/>
      <c r="E65" s="3136">
        <v>47365</v>
      </c>
      <c r="F65" s="3136">
        <f t="shared" si="13"/>
        <v>40412.270000000011</v>
      </c>
      <c r="G65" s="3136"/>
      <c r="H65" s="3136"/>
      <c r="I65" s="3136"/>
      <c r="J65" s="3127">
        <f t="shared" si="10"/>
        <v>6952.7299999999886</v>
      </c>
      <c r="K65" s="3126">
        <f t="shared" si="11"/>
        <v>795.07845155674306</v>
      </c>
      <c r="L65" s="3127">
        <f t="shared" si="11"/>
        <v>1113.1098321794404</v>
      </c>
      <c r="M65" s="3126">
        <f t="shared" si="12"/>
        <v>318.03138062269738</v>
      </c>
      <c r="T65" s="477"/>
      <c r="U65" s="3143"/>
    </row>
    <row r="66" spans="1:21">
      <c r="A66" s="3133">
        <v>58</v>
      </c>
      <c r="B66" s="3137" t="s">
        <v>2707</v>
      </c>
      <c r="C66" s="3137" t="s">
        <v>2706</v>
      </c>
      <c r="D66" s="3137"/>
      <c r="E66" s="3136">
        <v>357349</v>
      </c>
      <c r="F66" s="3136">
        <f t="shared" si="13"/>
        <v>4774.5700000000015</v>
      </c>
      <c r="G66" s="3136"/>
      <c r="H66" s="3136"/>
      <c r="I66" s="3136"/>
      <c r="J66" s="3127">
        <f t="shared" si="10"/>
        <v>352574.43</v>
      </c>
      <c r="K66" s="3126">
        <f t="shared" si="11"/>
        <v>40318.59886158412</v>
      </c>
      <c r="L66" s="3127">
        <f t="shared" si="11"/>
        <v>56446.038406217776</v>
      </c>
      <c r="M66" s="3126">
        <f t="shared" si="12"/>
        <v>16127.439544633657</v>
      </c>
      <c r="T66" s="477"/>
      <c r="U66" s="3143"/>
    </row>
    <row r="67" spans="1:21">
      <c r="A67" s="3133">
        <v>59</v>
      </c>
      <c r="B67" s="3137" t="s">
        <v>2705</v>
      </c>
      <c r="C67" s="3137" t="s">
        <v>2704</v>
      </c>
      <c r="D67" s="3137"/>
      <c r="E67" s="3136">
        <v>1411593</v>
      </c>
      <c r="F67" s="3136">
        <f t="shared" si="13"/>
        <v>1159304.0226240021</v>
      </c>
      <c r="G67" s="3136"/>
      <c r="H67" s="3136"/>
      <c r="I67" s="3136"/>
      <c r="J67" s="3127">
        <f t="shared" si="10"/>
        <v>252288.97737599793</v>
      </c>
      <c r="K67" s="3126">
        <f t="shared" si="11"/>
        <v>28850.470171708515</v>
      </c>
      <c r="L67" s="3127">
        <f t="shared" si="11"/>
        <v>40390.658240391924</v>
      </c>
      <c r="M67" s="3126">
        <f t="shared" si="12"/>
        <v>11540.188068683408</v>
      </c>
      <c r="T67" s="477"/>
      <c r="U67" s="3143"/>
    </row>
    <row r="68" spans="1:21">
      <c r="A68" s="3133">
        <v>60</v>
      </c>
      <c r="B68" s="3137" t="s">
        <v>2703</v>
      </c>
      <c r="C68" s="3137" t="s">
        <v>2702</v>
      </c>
      <c r="D68" s="3137"/>
      <c r="E68" s="3136">
        <v>2143569</v>
      </c>
      <c r="F68" s="3136">
        <f t="shared" si="13"/>
        <v>1433638.7625120028</v>
      </c>
      <c r="G68" s="3136"/>
      <c r="H68" s="3136"/>
      <c r="I68" s="3136">
        <v>-204</v>
      </c>
      <c r="J68" s="3127">
        <f t="shared" si="10"/>
        <v>709726.23748799716</v>
      </c>
      <c r="K68" s="3126">
        <f t="shared" si="11"/>
        <v>81160.643075619359</v>
      </c>
      <c r="L68" s="3127">
        <f t="shared" si="11"/>
        <v>113624.90030586712</v>
      </c>
      <c r="M68" s="3126">
        <f t="shared" si="12"/>
        <v>32464.257230247764</v>
      </c>
      <c r="T68" s="477"/>
      <c r="U68" s="3143"/>
    </row>
    <row r="69" spans="1:21">
      <c r="A69" s="3133">
        <v>61</v>
      </c>
      <c r="B69" s="3137" t="s">
        <v>2701</v>
      </c>
      <c r="C69" s="3137" t="s">
        <v>251</v>
      </c>
      <c r="D69" s="3137"/>
      <c r="E69" s="3136">
        <v>-5121</v>
      </c>
      <c r="F69" s="3136"/>
      <c r="G69" s="3136"/>
      <c r="H69" s="3136"/>
      <c r="I69" s="3136">
        <v>0</v>
      </c>
      <c r="J69" s="3127">
        <f t="shared" si="10"/>
        <v>-5121</v>
      </c>
      <c r="K69" s="3126">
        <f t="shared" si="11"/>
        <v>-585.61122759291504</v>
      </c>
      <c r="L69" s="3127">
        <f t="shared" si="11"/>
        <v>-819.85571863008113</v>
      </c>
      <c r="M69" s="3126">
        <f t="shared" si="12"/>
        <v>-234.24449103716609</v>
      </c>
      <c r="T69" s="477"/>
      <c r="U69" s="3143"/>
    </row>
    <row r="70" spans="1:21">
      <c r="A70" s="3133">
        <v>62</v>
      </c>
      <c r="B70" s="3132"/>
      <c r="C70" s="3132" t="s">
        <v>2700</v>
      </c>
      <c r="D70" s="3132"/>
      <c r="E70" s="3140">
        <f t="shared" ref="E70:M70" si="14">SUM(E59:E69)</f>
        <v>8889644</v>
      </c>
      <c r="F70" s="3140">
        <f t="shared" si="14"/>
        <v>5467548.151193006</v>
      </c>
      <c r="G70" s="3140">
        <f t="shared" si="14"/>
        <v>0</v>
      </c>
      <c r="H70" s="3140">
        <f t="shared" si="14"/>
        <v>0</v>
      </c>
      <c r="I70" s="3140">
        <f t="shared" si="14"/>
        <v>-2958</v>
      </c>
      <c r="J70" s="3139">
        <f t="shared" si="14"/>
        <v>3419137.848806994</v>
      </c>
      <c r="K70" s="3138">
        <f t="shared" si="14"/>
        <v>390995.02303246676</v>
      </c>
      <c r="L70" s="3139">
        <f t="shared" si="14"/>
        <v>547393.03224545345</v>
      </c>
      <c r="M70" s="3138">
        <f t="shared" si="14"/>
        <v>156398.00921298674</v>
      </c>
      <c r="T70" s="477"/>
      <c r="U70" s="3143"/>
    </row>
    <row r="71" spans="1:21">
      <c r="A71" s="3133">
        <v>63</v>
      </c>
      <c r="B71" s="3137"/>
      <c r="C71" s="3148" t="s">
        <v>2699</v>
      </c>
      <c r="D71" s="3137"/>
      <c r="E71" s="3136"/>
      <c r="F71" s="3136"/>
      <c r="G71" s="3136"/>
      <c r="H71" s="3136"/>
      <c r="I71" s="3136"/>
      <c r="J71" s="3135"/>
      <c r="K71" s="3134"/>
      <c r="L71" s="3135"/>
      <c r="M71" s="3134"/>
      <c r="T71" s="477"/>
      <c r="U71" s="3143"/>
    </row>
    <row r="72" spans="1:21">
      <c r="A72" s="3133">
        <v>64</v>
      </c>
      <c r="B72" s="3137" t="s">
        <v>2698</v>
      </c>
      <c r="C72" s="3137" t="s">
        <v>233</v>
      </c>
      <c r="D72" s="3137"/>
      <c r="E72" s="3136">
        <v>14914</v>
      </c>
      <c r="F72" s="3147">
        <f>U20</f>
        <v>7619.0300000000007</v>
      </c>
      <c r="G72" s="1988"/>
      <c r="H72" s="1988"/>
      <c r="I72" s="1988"/>
      <c r="J72" s="3127">
        <f t="shared" ref="J72:J80" si="15">E72-SUM(F72:H72)+I72</f>
        <v>7294.9699999999993</v>
      </c>
      <c r="K72" s="3126">
        <f t="shared" ref="K72:L80" si="16">$J72*K$8</f>
        <v>834.21525814362178</v>
      </c>
      <c r="L72" s="3127">
        <f t="shared" si="16"/>
        <v>1167.9013614010705</v>
      </c>
      <c r="M72" s="3126">
        <f t="shared" ref="M72:M80" si="17">L72-K72</f>
        <v>333.68610325744874</v>
      </c>
      <c r="T72" s="477"/>
      <c r="U72" s="3143"/>
    </row>
    <row r="73" spans="1:21">
      <c r="A73" s="3133">
        <v>65</v>
      </c>
      <c r="B73" s="3137" t="s">
        <v>2697</v>
      </c>
      <c r="C73" s="3137" t="s">
        <v>253</v>
      </c>
      <c r="D73" s="3137"/>
      <c r="E73" s="3136">
        <v>982204</v>
      </c>
      <c r="F73" s="3147">
        <f>U21</f>
        <v>567879.31000000157</v>
      </c>
      <c r="G73" s="1988"/>
      <c r="H73" s="1988"/>
      <c r="I73" s="1988"/>
      <c r="J73" s="3127">
        <f t="shared" si="15"/>
        <v>414324.68999999843</v>
      </c>
      <c r="K73" s="3126">
        <f t="shared" si="16"/>
        <v>47380.041072632892</v>
      </c>
      <c r="L73" s="3127">
        <f t="shared" si="16"/>
        <v>66332.057501686053</v>
      </c>
      <c r="M73" s="3126">
        <f t="shared" si="17"/>
        <v>18952.016429053161</v>
      </c>
      <c r="T73" s="477"/>
      <c r="U73" s="3143"/>
    </row>
    <row r="74" spans="1:21">
      <c r="A74" s="3133">
        <v>66</v>
      </c>
      <c r="B74" s="3137" t="s">
        <v>2696</v>
      </c>
      <c r="C74" s="3137" t="s">
        <v>316</v>
      </c>
      <c r="D74" s="3137"/>
      <c r="E74" s="3136">
        <v>0</v>
      </c>
      <c r="F74" s="1988"/>
      <c r="G74" s="1988"/>
      <c r="H74" s="1988"/>
      <c r="I74" s="1988"/>
      <c r="J74" s="3127">
        <f t="shared" si="15"/>
        <v>0</v>
      </c>
      <c r="K74" s="3126">
        <f t="shared" si="16"/>
        <v>0</v>
      </c>
      <c r="L74" s="3127">
        <f t="shared" si="16"/>
        <v>0</v>
      </c>
      <c r="M74" s="3126">
        <f t="shared" si="17"/>
        <v>0</v>
      </c>
      <c r="T74" s="477"/>
      <c r="U74" s="3143"/>
    </row>
    <row r="75" spans="1:21">
      <c r="A75" s="3133">
        <v>67</v>
      </c>
      <c r="B75" s="3137" t="s">
        <v>2695</v>
      </c>
      <c r="C75" s="3137" t="s">
        <v>2694</v>
      </c>
      <c r="D75" s="3137"/>
      <c r="E75" s="3136">
        <v>211901</v>
      </c>
      <c r="F75" s="3147">
        <f t="shared" ref="F75:F80" si="18">U22</f>
        <v>121324.0402079999</v>
      </c>
      <c r="G75" s="1988"/>
      <c r="H75" s="1988"/>
      <c r="I75" s="1988"/>
      <c r="J75" s="3127">
        <f t="shared" si="15"/>
        <v>90576.959792000096</v>
      </c>
      <c r="K75" s="3126">
        <f t="shared" si="16"/>
        <v>10357.915371104722</v>
      </c>
      <c r="L75" s="3127">
        <f t="shared" si="16"/>
        <v>14501.081519546613</v>
      </c>
      <c r="M75" s="3126">
        <f t="shared" si="17"/>
        <v>4143.166148441891</v>
      </c>
      <c r="T75" s="477"/>
      <c r="U75" s="3143"/>
    </row>
    <row r="76" spans="1:21">
      <c r="A76" s="3133">
        <v>68</v>
      </c>
      <c r="B76" s="3137" t="s">
        <v>2693</v>
      </c>
      <c r="C76" s="3137" t="s">
        <v>2692</v>
      </c>
      <c r="D76" s="3137"/>
      <c r="E76" s="3136">
        <v>7827</v>
      </c>
      <c r="F76" s="3147">
        <f t="shared" si="18"/>
        <v>5106.9345599999988</v>
      </c>
      <c r="G76" s="1988"/>
      <c r="H76" s="1988"/>
      <c r="I76" s="1988"/>
      <c r="J76" s="3127">
        <f t="shared" si="15"/>
        <v>2720.0654400000012</v>
      </c>
      <c r="K76" s="3126">
        <f t="shared" si="16"/>
        <v>311.05269702235177</v>
      </c>
      <c r="L76" s="3127">
        <f t="shared" si="16"/>
        <v>435.47377583129247</v>
      </c>
      <c r="M76" s="3126">
        <f t="shared" si="17"/>
        <v>124.42107880894071</v>
      </c>
      <c r="T76" s="477"/>
      <c r="U76" s="3143"/>
    </row>
    <row r="77" spans="1:21">
      <c r="A77" s="3133">
        <v>69</v>
      </c>
      <c r="B77" s="3137" t="s">
        <v>2691</v>
      </c>
      <c r="C77" s="3137" t="s">
        <v>2690</v>
      </c>
      <c r="D77" s="3137"/>
      <c r="E77" s="3136">
        <v>83430</v>
      </c>
      <c r="F77" s="3147">
        <f t="shared" si="18"/>
        <v>37779.366959999999</v>
      </c>
      <c r="G77" s="1988"/>
      <c r="H77" s="1988"/>
      <c r="I77" s="1988"/>
      <c r="J77" s="3127">
        <f t="shared" si="15"/>
        <v>45650.633040000001</v>
      </c>
      <c r="K77" s="3126">
        <f t="shared" si="16"/>
        <v>5220.3716568928112</v>
      </c>
      <c r="L77" s="3127">
        <f t="shared" si="16"/>
        <v>7308.5203196499369</v>
      </c>
      <c r="M77" s="3126">
        <f t="shared" si="17"/>
        <v>2088.1486627571257</v>
      </c>
      <c r="T77" s="477"/>
      <c r="U77" s="3143"/>
    </row>
    <row r="78" spans="1:21">
      <c r="A78" s="3133">
        <v>70</v>
      </c>
      <c r="B78" s="3137" t="s">
        <v>2689</v>
      </c>
      <c r="C78" s="3137" t="s">
        <v>254</v>
      </c>
      <c r="D78" s="3137"/>
      <c r="E78" s="3136">
        <v>1074003</v>
      </c>
      <c r="F78" s="3147">
        <f t="shared" si="18"/>
        <v>565851.65000000072</v>
      </c>
      <c r="G78" s="1988"/>
      <c r="H78" s="1988"/>
      <c r="I78" s="3136">
        <v>-1607</v>
      </c>
      <c r="J78" s="3127">
        <f t="shared" si="15"/>
        <v>506544.34999999928</v>
      </c>
      <c r="K78" s="3126">
        <f t="shared" si="16"/>
        <v>57925.807192687913</v>
      </c>
      <c r="L78" s="3127">
        <f t="shared" si="16"/>
        <v>81096.13006976308</v>
      </c>
      <c r="M78" s="3126">
        <f t="shared" si="17"/>
        <v>23170.322877075167</v>
      </c>
      <c r="T78" s="477"/>
      <c r="U78" s="3143"/>
    </row>
    <row r="79" spans="1:21">
      <c r="A79" s="3133">
        <v>71</v>
      </c>
      <c r="B79" s="3137" t="s">
        <v>2688</v>
      </c>
      <c r="C79" s="3137" t="s">
        <v>255</v>
      </c>
      <c r="D79" s="3137"/>
      <c r="E79" s="3136">
        <v>1530870</v>
      </c>
      <c r="F79" s="3147">
        <f t="shared" si="18"/>
        <v>989093.59601600037</v>
      </c>
      <c r="G79" s="1988"/>
      <c r="H79" s="1988"/>
      <c r="I79" s="1988"/>
      <c r="J79" s="3127">
        <f t="shared" si="15"/>
        <v>541776.40398399963</v>
      </c>
      <c r="K79" s="3126">
        <f t="shared" si="16"/>
        <v>61954.763721528041</v>
      </c>
      <c r="L79" s="3127">
        <f t="shared" si="16"/>
        <v>86736.669210139255</v>
      </c>
      <c r="M79" s="3126">
        <f t="shared" si="17"/>
        <v>24781.905488611214</v>
      </c>
      <c r="T79" s="477"/>
      <c r="U79" s="3143"/>
    </row>
    <row r="80" spans="1:21">
      <c r="A80" s="3133">
        <v>72</v>
      </c>
      <c r="B80" s="3137" t="s">
        <v>2687</v>
      </c>
      <c r="C80" s="3137" t="s">
        <v>235</v>
      </c>
      <c r="D80" s="3137"/>
      <c r="E80" s="3136">
        <v>120823</v>
      </c>
      <c r="F80" s="3147">
        <f t="shared" si="18"/>
        <v>73706.933952000021</v>
      </c>
      <c r="G80" s="1988"/>
      <c r="H80" s="1988"/>
      <c r="I80" s="1988"/>
      <c r="J80" s="3127">
        <f t="shared" si="15"/>
        <v>47116.066047999979</v>
      </c>
      <c r="K80" s="3126">
        <f t="shared" si="16"/>
        <v>5387.9510403667509</v>
      </c>
      <c r="L80" s="3127">
        <f t="shared" si="16"/>
        <v>7543.1314565134526</v>
      </c>
      <c r="M80" s="3126">
        <f t="shared" si="17"/>
        <v>2155.1804161467016</v>
      </c>
      <c r="T80" s="477"/>
      <c r="U80" s="3143"/>
    </row>
    <row r="81" spans="1:21">
      <c r="A81" s="3133">
        <v>73</v>
      </c>
      <c r="B81" s="3132"/>
      <c r="C81" s="3132" t="s">
        <v>2686</v>
      </c>
      <c r="D81" s="3132"/>
      <c r="E81" s="3140">
        <f t="shared" ref="E81:M81" si="19">SUM(E72:E76)+ SUM(E77:E80)</f>
        <v>4025972</v>
      </c>
      <c r="F81" s="3140">
        <f t="shared" si="19"/>
        <v>2368360.8616960025</v>
      </c>
      <c r="G81" s="3140">
        <f t="shared" si="19"/>
        <v>0</v>
      </c>
      <c r="H81" s="3140">
        <f t="shared" si="19"/>
        <v>0</v>
      </c>
      <c r="I81" s="3140">
        <f t="shared" si="19"/>
        <v>-1607</v>
      </c>
      <c r="J81" s="3139">
        <f t="shared" si="19"/>
        <v>1656004.1383039975</v>
      </c>
      <c r="K81" s="3138">
        <f t="shared" si="19"/>
        <v>189372.11801037911</v>
      </c>
      <c r="L81" s="3139">
        <f t="shared" si="19"/>
        <v>265120.96521453076</v>
      </c>
      <c r="M81" s="3138">
        <f t="shared" si="19"/>
        <v>75748.847204151651</v>
      </c>
      <c r="T81" s="477"/>
      <c r="U81" s="3143"/>
    </row>
    <row r="82" spans="1:21">
      <c r="A82" s="3133">
        <v>74</v>
      </c>
      <c r="B82" s="3137"/>
      <c r="C82" s="3137"/>
      <c r="D82" s="3137"/>
      <c r="E82" s="3146"/>
      <c r="F82" s="3146"/>
      <c r="G82" s="3146"/>
      <c r="H82" s="3146"/>
      <c r="I82" s="3146"/>
      <c r="J82" s="3145"/>
      <c r="K82" s="3144"/>
      <c r="L82" s="3145"/>
      <c r="M82" s="3144"/>
      <c r="T82" s="477"/>
      <c r="U82" s="3143"/>
    </row>
    <row r="83" spans="1:21">
      <c r="A83" s="3133">
        <v>75</v>
      </c>
      <c r="B83" s="3132"/>
      <c r="C83" s="3132" t="s">
        <v>2685</v>
      </c>
      <c r="D83" s="3132"/>
      <c r="E83" s="3131">
        <f t="shared" ref="E83:M83" si="20">E70+E81</f>
        <v>12915616</v>
      </c>
      <c r="F83" s="3131">
        <f t="shared" si="20"/>
        <v>7835909.012889009</v>
      </c>
      <c r="G83" s="3131">
        <f t="shared" si="20"/>
        <v>0</v>
      </c>
      <c r="H83" s="3131">
        <f t="shared" si="20"/>
        <v>0</v>
      </c>
      <c r="I83" s="3131">
        <f t="shared" si="20"/>
        <v>-4565</v>
      </c>
      <c r="J83" s="3130">
        <f t="shared" si="20"/>
        <v>5075141.987110991</v>
      </c>
      <c r="K83" s="3142">
        <f t="shared" si="20"/>
        <v>580367.14104284591</v>
      </c>
      <c r="L83" s="3130">
        <f t="shared" si="20"/>
        <v>812513.99745998415</v>
      </c>
      <c r="M83" s="3142">
        <f t="shared" si="20"/>
        <v>232146.85641713839</v>
      </c>
      <c r="T83" s="477"/>
      <c r="U83" s="3143"/>
    </row>
    <row r="84" spans="1:21">
      <c r="A84" s="3133">
        <v>76</v>
      </c>
      <c r="B84" s="3137"/>
      <c r="C84" s="3137"/>
      <c r="D84" s="3137"/>
      <c r="E84" s="3136"/>
      <c r="F84" s="3136"/>
      <c r="G84" s="3136"/>
      <c r="H84" s="3136"/>
      <c r="I84" s="3136"/>
      <c r="J84" s="3135"/>
      <c r="K84" s="3134"/>
      <c r="L84" s="3135"/>
      <c r="M84" s="3126">
        <f t="shared" ref="M84:M90" si="21">L84-K84</f>
        <v>0</v>
      </c>
      <c r="T84" s="477"/>
      <c r="U84" s="3143"/>
    </row>
    <row r="85" spans="1:21">
      <c r="A85" s="3133">
        <v>77</v>
      </c>
      <c r="B85" s="3137"/>
      <c r="C85" s="3132" t="s">
        <v>2684</v>
      </c>
      <c r="D85" s="3137"/>
      <c r="E85" s="3136"/>
      <c r="F85" s="3136"/>
      <c r="G85" s="3136"/>
      <c r="H85" s="3136"/>
      <c r="I85" s="3136"/>
      <c r="J85" s="3135"/>
      <c r="K85" s="3134"/>
      <c r="L85" s="3135"/>
      <c r="M85" s="3126">
        <f t="shared" si="21"/>
        <v>0</v>
      </c>
      <c r="T85" s="477"/>
      <c r="U85" s="3143"/>
    </row>
    <row r="86" spans="1:21">
      <c r="A86" s="3133">
        <v>78</v>
      </c>
      <c r="B86" s="3137" t="s">
        <v>2683</v>
      </c>
      <c r="C86" s="3137" t="s">
        <v>261</v>
      </c>
      <c r="D86" s="3137"/>
      <c r="E86" s="3136">
        <v>56410</v>
      </c>
      <c r="F86" s="3136">
        <f>U28</f>
        <v>57779.495999999992</v>
      </c>
      <c r="G86" s="3136"/>
      <c r="H86" s="3136"/>
      <c r="I86" s="3136"/>
      <c r="J86" s="3127">
        <f>E86-SUM(F86:H86)+I86</f>
        <v>-1369.4959999999919</v>
      </c>
      <c r="K86" s="3126">
        <f t="shared" ref="K86:L90" si="22">$J86*K$8</f>
        <v>-156.60852055137318</v>
      </c>
      <c r="L86" s="3127">
        <f t="shared" si="22"/>
        <v>-219.25192877192245</v>
      </c>
      <c r="M86" s="3126">
        <f t="shared" si="21"/>
        <v>-62.643408220549276</v>
      </c>
      <c r="T86" s="477"/>
      <c r="U86" s="3143"/>
    </row>
    <row r="87" spans="1:21">
      <c r="A87" s="3133">
        <v>79</v>
      </c>
      <c r="B87" s="3137" t="s">
        <v>2682</v>
      </c>
      <c r="C87" s="3137" t="s">
        <v>2681</v>
      </c>
      <c r="D87" s="3137"/>
      <c r="E87" s="3136">
        <v>334068</v>
      </c>
      <c r="F87" s="3136">
        <f>U29</f>
        <v>234846.55489290011</v>
      </c>
      <c r="G87" s="3136"/>
      <c r="H87" s="3136"/>
      <c r="I87" s="3136">
        <v>0</v>
      </c>
      <c r="J87" s="3127">
        <f>E87-SUM(F87:H87)+I87</f>
        <v>99221.445107099891</v>
      </c>
      <c r="K87" s="3126">
        <f t="shared" si="22"/>
        <v>11346.454261416091</v>
      </c>
      <c r="L87" s="3127">
        <f t="shared" si="22"/>
        <v>15885.035965982528</v>
      </c>
      <c r="M87" s="3126">
        <f t="shared" si="21"/>
        <v>4538.5817045664371</v>
      </c>
      <c r="T87" s="477"/>
      <c r="U87" s="3143"/>
    </row>
    <row r="88" spans="1:21">
      <c r="A88" s="3133">
        <v>80</v>
      </c>
      <c r="B88" s="3137" t="s">
        <v>2680</v>
      </c>
      <c r="C88" s="3137" t="s">
        <v>2679</v>
      </c>
      <c r="D88" s="3137"/>
      <c r="E88" s="3136">
        <v>3431676</v>
      </c>
      <c r="F88" s="3136">
        <f>U30</f>
        <v>1948854.2636049024</v>
      </c>
      <c r="G88" s="3136"/>
      <c r="H88" s="3136"/>
      <c r="I88" s="3136"/>
      <c r="J88" s="3127">
        <f>E88-SUM(F88:H88)+I88</f>
        <v>1482821.7363950976</v>
      </c>
      <c r="K88" s="3126">
        <f t="shared" si="22"/>
        <v>169567.86903959987</v>
      </c>
      <c r="L88" s="3127">
        <f t="shared" si="22"/>
        <v>237395.01665543983</v>
      </c>
      <c r="M88" s="3126">
        <f t="shared" si="21"/>
        <v>67827.14761583996</v>
      </c>
      <c r="U88" s="3143"/>
    </row>
    <row r="89" spans="1:21">
      <c r="A89" s="3133">
        <v>81</v>
      </c>
      <c r="B89" s="3137" t="s">
        <v>2678</v>
      </c>
      <c r="C89" s="3137" t="s">
        <v>265</v>
      </c>
      <c r="D89" s="3137"/>
      <c r="E89" s="3136">
        <v>15712</v>
      </c>
      <c r="F89" s="3136"/>
      <c r="G89" s="3136"/>
      <c r="H89" s="3136">
        <v>15712</v>
      </c>
      <c r="I89" s="3136"/>
      <c r="J89" s="3127">
        <f>E89-SUM(F89:H89)+I89</f>
        <v>0</v>
      </c>
      <c r="K89" s="3126">
        <f t="shared" si="22"/>
        <v>0</v>
      </c>
      <c r="L89" s="3127">
        <f t="shared" si="22"/>
        <v>0</v>
      </c>
      <c r="M89" s="3126">
        <f t="shared" si="21"/>
        <v>0</v>
      </c>
    </row>
    <row r="90" spans="1:21">
      <c r="A90" s="3133">
        <v>82</v>
      </c>
      <c r="B90" s="3137" t="s">
        <v>2677</v>
      </c>
      <c r="C90" s="3137" t="s">
        <v>2676</v>
      </c>
      <c r="D90" s="3137"/>
      <c r="E90" s="3136">
        <v>154636</v>
      </c>
      <c r="F90" s="3136">
        <f>U31</f>
        <v>130355.39619130027</v>
      </c>
      <c r="G90" s="3136"/>
      <c r="H90" s="3136"/>
      <c r="I90" s="3136"/>
      <c r="J90" s="3127">
        <f>E90-SUM(F90:H90)+I90</f>
        <v>24280.603808699729</v>
      </c>
      <c r="K90" s="3126">
        <f t="shared" si="22"/>
        <v>2776.6049996309034</v>
      </c>
      <c r="L90" s="3127">
        <f t="shared" si="22"/>
        <v>3887.246999483265</v>
      </c>
      <c r="M90" s="3126">
        <f t="shared" si="21"/>
        <v>1110.6419998523616</v>
      </c>
    </row>
    <row r="91" spans="1:21">
      <c r="A91" s="3133">
        <v>83</v>
      </c>
      <c r="B91" s="3132"/>
      <c r="C91" s="3132" t="s">
        <v>2675</v>
      </c>
      <c r="D91" s="3132"/>
      <c r="E91" s="3140">
        <f t="shared" ref="E91:M91" si="23">SUM(E86:E90)</f>
        <v>3992502</v>
      </c>
      <c r="F91" s="3140">
        <f t="shared" si="23"/>
        <v>2371835.7106891028</v>
      </c>
      <c r="G91" s="3140">
        <f t="shared" si="23"/>
        <v>0</v>
      </c>
      <c r="H91" s="3140">
        <f t="shared" si="23"/>
        <v>15712</v>
      </c>
      <c r="I91" s="3140">
        <f t="shared" si="23"/>
        <v>0</v>
      </c>
      <c r="J91" s="3139">
        <f t="shared" si="23"/>
        <v>1604954.2893108972</v>
      </c>
      <c r="K91" s="3138">
        <f t="shared" si="23"/>
        <v>183534.31978009551</v>
      </c>
      <c r="L91" s="3139">
        <f t="shared" si="23"/>
        <v>256948.0476921337</v>
      </c>
      <c r="M91" s="3138">
        <f t="shared" si="23"/>
        <v>73413.727912038215</v>
      </c>
    </row>
    <row r="92" spans="1:21">
      <c r="A92" s="3133">
        <v>84</v>
      </c>
      <c r="B92" s="3137"/>
      <c r="C92" s="3137"/>
      <c r="D92" s="3137"/>
      <c r="E92" s="3136"/>
      <c r="F92" s="3136"/>
      <c r="G92" s="3136"/>
      <c r="H92" s="3136"/>
      <c r="I92" s="3136"/>
      <c r="J92" s="3135"/>
      <c r="K92" s="3134"/>
      <c r="L92" s="3135"/>
      <c r="M92" s="3134"/>
    </row>
    <row r="93" spans="1:21">
      <c r="A93" s="3133">
        <v>85</v>
      </c>
      <c r="B93" s="3137"/>
      <c r="C93" s="3132" t="s">
        <v>2674</v>
      </c>
      <c r="D93" s="3137"/>
      <c r="E93" s="3136"/>
      <c r="F93" s="3136"/>
      <c r="G93" s="3136"/>
      <c r="H93" s="3136"/>
      <c r="I93" s="3136"/>
      <c r="J93" s="3135"/>
      <c r="K93" s="3134"/>
      <c r="L93" s="3135"/>
      <c r="M93" s="3134"/>
    </row>
    <row r="94" spans="1:21">
      <c r="A94" s="3133">
        <v>86</v>
      </c>
      <c r="B94" s="3137" t="s">
        <v>2673</v>
      </c>
      <c r="C94" s="3137" t="s">
        <v>261</v>
      </c>
      <c r="D94" s="3137"/>
      <c r="E94" s="3136">
        <v>0</v>
      </c>
      <c r="F94" s="3136"/>
      <c r="G94" s="3136"/>
      <c r="H94" s="3136"/>
      <c r="I94" s="3136"/>
      <c r="J94" s="3127">
        <f>E94-SUM(F94:H94)+I94</f>
        <v>0</v>
      </c>
      <c r="K94" s="3126">
        <f t="shared" ref="K94:L97" si="24">$J94*K$8</f>
        <v>0</v>
      </c>
      <c r="L94" s="3127">
        <f t="shared" si="24"/>
        <v>0</v>
      </c>
      <c r="M94" s="3126">
        <f>L94-K94</f>
        <v>0</v>
      </c>
    </row>
    <row r="95" spans="1:21">
      <c r="A95" s="3133">
        <v>87</v>
      </c>
      <c r="B95" s="3137" t="s">
        <v>2672</v>
      </c>
      <c r="C95" s="3137" t="s">
        <v>270</v>
      </c>
      <c r="D95" s="3137"/>
      <c r="E95" s="3136">
        <v>13605984</v>
      </c>
      <c r="F95" s="3136">
        <f>U32</f>
        <v>133598.04493890004</v>
      </c>
      <c r="G95" s="3136"/>
      <c r="H95" s="3136"/>
      <c r="I95" s="3136">
        <f>-(13328241+2246)</f>
        <v>-13330487</v>
      </c>
      <c r="J95" s="3127">
        <f>E95-SUM(F95:H95)+I95</f>
        <v>141898.95506110042</v>
      </c>
      <c r="K95" s="3126">
        <f t="shared" si="24"/>
        <v>16226.834850123589</v>
      </c>
      <c r="L95" s="3127">
        <f t="shared" si="24"/>
        <v>22717.568790173027</v>
      </c>
      <c r="M95" s="3126">
        <f>L95-K95</f>
        <v>6490.7339400494384</v>
      </c>
    </row>
    <row r="96" spans="1:21">
      <c r="A96" s="3133">
        <v>88</v>
      </c>
      <c r="B96" s="3137" t="s">
        <v>2671</v>
      </c>
      <c r="C96" s="3137" t="s">
        <v>271</v>
      </c>
      <c r="D96" s="3137"/>
      <c r="E96" s="3136">
        <v>358346</v>
      </c>
      <c r="F96" s="3136">
        <f>U33</f>
        <v>13113.587210500002</v>
      </c>
      <c r="G96" s="3136"/>
      <c r="H96" s="3136"/>
      <c r="I96" s="3136">
        <v>-1450</v>
      </c>
      <c r="J96" s="3127">
        <f>E96-SUM(F96:H96)+I96</f>
        <v>343782.41278949997</v>
      </c>
      <c r="K96" s="3126">
        <f t="shared" si="24"/>
        <v>39313.18898233027</v>
      </c>
      <c r="L96" s="3127">
        <f t="shared" si="24"/>
        <v>55038.464575262391</v>
      </c>
      <c r="M96" s="3126">
        <f>L96-K96</f>
        <v>15725.275592932121</v>
      </c>
    </row>
    <row r="97" spans="1:13">
      <c r="A97" s="3133">
        <v>89</v>
      </c>
      <c r="B97" s="3137" t="s">
        <v>2670</v>
      </c>
      <c r="C97" s="3137" t="s">
        <v>2669</v>
      </c>
      <c r="D97" s="3137"/>
      <c r="E97" s="3136">
        <v>102768</v>
      </c>
      <c r="F97" s="3136">
        <f>U34</f>
        <v>20261.360601999993</v>
      </c>
      <c r="G97" s="3136"/>
      <c r="H97" s="3136"/>
      <c r="I97" s="3136">
        <v>-4</v>
      </c>
      <c r="J97" s="3127">
        <f>E97-SUM(F97:H97)+I97</f>
        <v>82502.639397999999</v>
      </c>
      <c r="K97" s="3126">
        <f t="shared" si="24"/>
        <v>9434.5776093572294</v>
      </c>
      <c r="L97" s="3127">
        <f t="shared" si="24"/>
        <v>13208.408653100123</v>
      </c>
      <c r="M97" s="3126">
        <f>L97-K97</f>
        <v>3773.8310437428936</v>
      </c>
    </row>
    <row r="98" spans="1:13">
      <c r="A98" s="3133">
        <v>90</v>
      </c>
      <c r="B98" s="3132"/>
      <c r="C98" s="3132" t="s">
        <v>2668</v>
      </c>
      <c r="D98" s="3132"/>
      <c r="E98" s="3140">
        <f t="shared" ref="E98:M98" si="25">SUM(E94:E97)</f>
        <v>14067098</v>
      </c>
      <c r="F98" s="3140">
        <f t="shared" si="25"/>
        <v>166972.99275140004</v>
      </c>
      <c r="G98" s="3140">
        <f t="shared" si="25"/>
        <v>0</v>
      </c>
      <c r="H98" s="3140">
        <f t="shared" si="25"/>
        <v>0</v>
      </c>
      <c r="I98" s="3140">
        <f t="shared" si="25"/>
        <v>-13331941</v>
      </c>
      <c r="J98" s="3139">
        <f t="shared" si="25"/>
        <v>568184.00724860036</v>
      </c>
      <c r="K98" s="3138">
        <f t="shared" si="25"/>
        <v>64974.601441811086</v>
      </c>
      <c r="L98" s="3139">
        <f t="shared" si="25"/>
        <v>90964.442018535541</v>
      </c>
      <c r="M98" s="3138">
        <f t="shared" si="25"/>
        <v>25989.840576724455</v>
      </c>
    </row>
    <row r="99" spans="1:13">
      <c r="A99" s="3133">
        <v>91</v>
      </c>
      <c r="B99" s="3137"/>
      <c r="C99" s="3137"/>
      <c r="D99" s="3137"/>
      <c r="E99" s="3136"/>
      <c r="F99" s="3136"/>
      <c r="G99" s="3136"/>
      <c r="H99" s="3136"/>
      <c r="I99" s="3136"/>
      <c r="J99" s="3135"/>
      <c r="K99" s="3134"/>
      <c r="L99" s="3135"/>
      <c r="M99" s="3134"/>
    </row>
    <row r="100" spans="1:13">
      <c r="A100" s="3133">
        <v>92</v>
      </c>
      <c r="B100" s="3137"/>
      <c r="C100" s="3132" t="s">
        <v>49</v>
      </c>
      <c r="D100" s="3137"/>
      <c r="E100" s="3136"/>
      <c r="F100" s="3136"/>
      <c r="G100" s="3136"/>
      <c r="H100" s="3136"/>
      <c r="I100" s="3136"/>
      <c r="J100" s="3135"/>
      <c r="K100" s="3134"/>
      <c r="L100" s="3135"/>
      <c r="M100" s="3134"/>
    </row>
    <row r="101" spans="1:13">
      <c r="A101" s="3133">
        <v>93</v>
      </c>
      <c r="B101" s="3137" t="s">
        <v>2667</v>
      </c>
      <c r="C101" s="3137" t="s">
        <v>261</v>
      </c>
      <c r="D101" s="3137"/>
      <c r="E101" s="3136">
        <v>0</v>
      </c>
      <c r="F101" s="1988"/>
      <c r="G101" s="1988"/>
      <c r="H101" s="1988"/>
      <c r="I101" s="1988"/>
      <c r="J101" s="3127">
        <f>E101-SUM(F101:H101)+I101</f>
        <v>0</v>
      </c>
      <c r="K101" s="3126">
        <f t="shared" ref="K101:L104" si="26">$J101*K$8</f>
        <v>0</v>
      </c>
      <c r="L101" s="3127">
        <f t="shared" si="26"/>
        <v>0</v>
      </c>
      <c r="M101" s="3126">
        <f>L101-K101</f>
        <v>0</v>
      </c>
    </row>
    <row r="102" spans="1:13">
      <c r="A102" s="3133">
        <v>94</v>
      </c>
      <c r="B102" s="3137" t="s">
        <v>2666</v>
      </c>
      <c r="C102" s="3137" t="s">
        <v>275</v>
      </c>
      <c r="D102" s="3137"/>
      <c r="E102" s="3136">
        <v>0</v>
      </c>
      <c r="F102" s="1988"/>
      <c r="G102" s="1988"/>
      <c r="H102" s="1988"/>
      <c r="I102" s="1988"/>
      <c r="J102" s="3127">
        <f>E102-SUM(F102:H102)+I102</f>
        <v>0</v>
      </c>
      <c r="K102" s="3126">
        <f t="shared" si="26"/>
        <v>0</v>
      </c>
      <c r="L102" s="3127">
        <f t="shared" si="26"/>
        <v>0</v>
      </c>
      <c r="M102" s="3126">
        <f>L102-K102</f>
        <v>0</v>
      </c>
    </row>
    <row r="103" spans="1:13">
      <c r="A103" s="3133">
        <v>95</v>
      </c>
      <c r="B103" s="3137" t="s">
        <v>2665</v>
      </c>
      <c r="C103" s="3137" t="s">
        <v>2664</v>
      </c>
      <c r="D103" s="3137"/>
      <c r="E103" s="3136">
        <v>0</v>
      </c>
      <c r="F103" s="1988"/>
      <c r="G103" s="1988"/>
      <c r="H103" s="1988"/>
      <c r="I103" s="1988"/>
      <c r="J103" s="3127">
        <f>E103-SUM(F103:H103)+I103</f>
        <v>0</v>
      </c>
      <c r="K103" s="3126">
        <f t="shared" si="26"/>
        <v>0</v>
      </c>
      <c r="L103" s="3127">
        <f t="shared" si="26"/>
        <v>0</v>
      </c>
      <c r="M103" s="3126">
        <f>L103-K103</f>
        <v>0</v>
      </c>
    </row>
    <row r="104" spans="1:13">
      <c r="A104" s="3133">
        <v>96</v>
      </c>
      <c r="B104" s="3137" t="s">
        <v>2663</v>
      </c>
      <c r="C104" s="3137" t="s">
        <v>2662</v>
      </c>
      <c r="D104" s="3137"/>
      <c r="E104" s="3136">
        <v>279</v>
      </c>
      <c r="F104" s="1988"/>
      <c r="G104" s="1988"/>
      <c r="H104" s="1988"/>
      <c r="I104" s="1988"/>
      <c r="J104" s="3127">
        <f>E104-SUM(F104:H104)+I104</f>
        <v>279</v>
      </c>
      <c r="K104" s="3126">
        <f t="shared" si="26"/>
        <v>31.905005369737022</v>
      </c>
      <c r="L104" s="3127">
        <f t="shared" si="26"/>
        <v>44.667007517631838</v>
      </c>
      <c r="M104" s="3126">
        <f>L104-K104</f>
        <v>12.762002147894815</v>
      </c>
    </row>
    <row r="105" spans="1:13">
      <c r="A105" s="3133">
        <v>97</v>
      </c>
      <c r="B105" s="3132"/>
      <c r="C105" s="3132" t="s">
        <v>2661</v>
      </c>
      <c r="D105" s="3132"/>
      <c r="E105" s="3140">
        <f t="shared" ref="E105:M105" si="27">SUM(E101:E104)</f>
        <v>279</v>
      </c>
      <c r="F105" s="3140">
        <f t="shared" si="27"/>
        <v>0</v>
      </c>
      <c r="G105" s="3140">
        <f t="shared" si="27"/>
        <v>0</v>
      </c>
      <c r="H105" s="3140">
        <f t="shared" si="27"/>
        <v>0</v>
      </c>
      <c r="I105" s="3140">
        <f t="shared" si="27"/>
        <v>0</v>
      </c>
      <c r="J105" s="3139">
        <f t="shared" si="27"/>
        <v>279</v>
      </c>
      <c r="K105" s="3138">
        <f t="shared" si="27"/>
        <v>31.905005369737022</v>
      </c>
      <c r="L105" s="3139">
        <f t="shared" si="27"/>
        <v>44.667007517631838</v>
      </c>
      <c r="M105" s="3138">
        <f t="shared" si="27"/>
        <v>12.762002147894815</v>
      </c>
    </row>
    <row r="106" spans="1:13">
      <c r="A106" s="3133">
        <v>98</v>
      </c>
      <c r="B106" s="3137"/>
      <c r="C106" s="3137"/>
      <c r="D106" s="3137"/>
      <c r="E106" s="3136"/>
      <c r="F106" s="3136"/>
      <c r="G106" s="3136"/>
      <c r="H106" s="3136"/>
      <c r="I106" s="3136"/>
      <c r="J106" s="3135"/>
      <c r="K106" s="3134"/>
      <c r="L106" s="3135"/>
      <c r="M106" s="3134"/>
    </row>
    <row r="107" spans="1:13">
      <c r="A107" s="3133">
        <v>99</v>
      </c>
      <c r="B107" s="3132"/>
      <c r="C107" s="3132" t="s">
        <v>2660</v>
      </c>
      <c r="D107" s="3132"/>
      <c r="E107" s="3131">
        <f t="shared" ref="E107:M107" si="28">E105+E98+E91+E83+E55+E32</f>
        <v>182516488</v>
      </c>
      <c r="F107" s="3131">
        <f t="shared" si="28"/>
        <v>11045334.218047911</v>
      </c>
      <c r="G107" s="3131">
        <f t="shared" si="28"/>
        <v>148698047</v>
      </c>
      <c r="H107" s="3131">
        <f t="shared" si="28"/>
        <v>15712</v>
      </c>
      <c r="I107" s="3131">
        <f t="shared" si="28"/>
        <v>-13336506</v>
      </c>
      <c r="J107" s="3130">
        <f t="shared" si="28"/>
        <v>9420888.7819520887</v>
      </c>
      <c r="K107" s="3142">
        <f t="shared" si="28"/>
        <v>1077324.3984798449</v>
      </c>
      <c r="L107" s="3130">
        <f t="shared" si="28"/>
        <v>1508254.1578717825</v>
      </c>
      <c r="M107" s="3142">
        <f t="shared" si="28"/>
        <v>430929.75939193793</v>
      </c>
    </row>
    <row r="108" spans="1:13">
      <c r="A108" s="3133">
        <v>100</v>
      </c>
      <c r="B108" s="3137"/>
      <c r="C108" s="3132" t="s">
        <v>2659</v>
      </c>
      <c r="D108" s="3137"/>
      <c r="E108" s="3141"/>
      <c r="F108" s="1988"/>
      <c r="G108" s="1988"/>
      <c r="H108" s="1988"/>
      <c r="I108" s="1988"/>
      <c r="J108" s="3127"/>
      <c r="K108" s="3126"/>
      <c r="L108" s="3127"/>
      <c r="M108" s="3126"/>
    </row>
    <row r="109" spans="1:13">
      <c r="A109" s="3133">
        <v>101</v>
      </c>
      <c r="B109" s="3137" t="s">
        <v>2658</v>
      </c>
      <c r="C109" s="3137" t="s">
        <v>2657</v>
      </c>
      <c r="D109" s="3137"/>
      <c r="E109" s="3136">
        <v>6401276</v>
      </c>
      <c r="F109" s="3136">
        <f>U35</f>
        <v>5385107.7441059863</v>
      </c>
      <c r="G109" s="3136"/>
      <c r="H109" s="3136">
        <f>(7070465+673132)*S48*T48</f>
        <v>1150478.7261376295</v>
      </c>
      <c r="I109" s="3136">
        <v>-210612</v>
      </c>
      <c r="J109" s="3127">
        <f t="shared" ref="J109:J120" si="29">E109-SUM(F109:H109)+I109</f>
        <v>-344922.47024361603</v>
      </c>
      <c r="K109" s="3126">
        <f t="shared" ref="K109:L120" si="30">$J109*K$8</f>
        <v>-39443.560090557447</v>
      </c>
      <c r="L109" s="3127">
        <f t="shared" si="30"/>
        <v>-55220.98412678043</v>
      </c>
      <c r="M109" s="3126">
        <f t="shared" ref="M109:M120" si="31">L109-K109</f>
        <v>-15777.424036222983</v>
      </c>
    </row>
    <row r="110" spans="1:13">
      <c r="A110" s="3133">
        <v>102</v>
      </c>
      <c r="B110" s="3137" t="s">
        <v>2656</v>
      </c>
      <c r="C110" s="3137" t="s">
        <v>280</v>
      </c>
      <c r="D110" s="3137"/>
      <c r="E110" s="3136">
        <v>855551</v>
      </c>
      <c r="F110" s="3136">
        <f>U36</f>
        <v>40272.579513600809</v>
      </c>
      <c r="G110" s="3136"/>
      <c r="H110" s="3123">
        <v>0</v>
      </c>
      <c r="I110" s="3136">
        <v>-235</v>
      </c>
      <c r="J110" s="3127">
        <f t="shared" si="29"/>
        <v>815043.42048639921</v>
      </c>
      <c r="K110" s="3126">
        <f t="shared" si="30"/>
        <v>93204.1745777326</v>
      </c>
      <c r="L110" s="3127">
        <f t="shared" si="30"/>
        <v>130485.84440882565</v>
      </c>
      <c r="M110" s="3126">
        <f t="shared" si="31"/>
        <v>37281.669831093051</v>
      </c>
    </row>
    <row r="111" spans="1:13">
      <c r="A111" s="3133">
        <v>103</v>
      </c>
      <c r="B111" s="3137" t="s">
        <v>2655</v>
      </c>
      <c r="C111" s="3137" t="s">
        <v>281</v>
      </c>
      <c r="D111" s="3137"/>
      <c r="E111" s="3136">
        <v>-13733</v>
      </c>
      <c r="F111" s="3136"/>
      <c r="G111" s="3136"/>
      <c r="H111" s="3123">
        <f>E111</f>
        <v>-13733</v>
      </c>
      <c r="I111" s="3136"/>
      <c r="J111" s="3127">
        <f t="shared" si="29"/>
        <v>0</v>
      </c>
      <c r="K111" s="3126">
        <f t="shared" si="30"/>
        <v>0</v>
      </c>
      <c r="L111" s="3127">
        <f t="shared" si="30"/>
        <v>0</v>
      </c>
      <c r="M111" s="3126">
        <f t="shared" si="31"/>
        <v>0</v>
      </c>
    </row>
    <row r="112" spans="1:13">
      <c r="A112" s="3133">
        <v>104</v>
      </c>
      <c r="B112" s="3137" t="s">
        <v>2654</v>
      </c>
      <c r="C112" s="3137" t="s">
        <v>282</v>
      </c>
      <c r="D112" s="3137"/>
      <c r="E112" s="3136">
        <v>3098211</v>
      </c>
      <c r="F112" s="3136">
        <f>U37</f>
        <v>1152.4631725999998</v>
      </c>
      <c r="G112" s="3136"/>
      <c r="H112" s="3123">
        <f>V52-H110</f>
        <v>2883462.8714195429</v>
      </c>
      <c r="I112" s="3136"/>
      <c r="J112" s="3127">
        <f t="shared" si="29"/>
        <v>213595.66540785693</v>
      </c>
      <c r="K112" s="3126">
        <f t="shared" si="30"/>
        <v>24425.701977742752</v>
      </c>
      <c r="L112" s="3127">
        <f t="shared" si="30"/>
        <v>34195.982768839858</v>
      </c>
      <c r="M112" s="3126">
        <f t="shared" si="31"/>
        <v>9770.280791097106</v>
      </c>
    </row>
    <row r="113" spans="1:13">
      <c r="A113" s="3133">
        <v>105</v>
      </c>
      <c r="B113" s="3137" t="s">
        <v>2653</v>
      </c>
      <c r="C113" s="3137" t="s">
        <v>283</v>
      </c>
      <c r="D113" s="3137"/>
      <c r="E113" s="3136">
        <v>445161</v>
      </c>
      <c r="F113" s="3136"/>
      <c r="G113" s="3136"/>
      <c r="H113" s="3123">
        <v>423982</v>
      </c>
      <c r="I113" s="3136"/>
      <c r="J113" s="3127">
        <f t="shared" si="29"/>
        <v>21179</v>
      </c>
      <c r="K113" s="3126">
        <f t="shared" si="30"/>
        <v>2421.9215366511125</v>
      </c>
      <c r="L113" s="3127">
        <f t="shared" si="30"/>
        <v>3390.6901513115577</v>
      </c>
      <c r="M113" s="3126">
        <f t="shared" si="31"/>
        <v>968.76861466044511</v>
      </c>
    </row>
    <row r="114" spans="1:13">
      <c r="A114" s="3133">
        <v>106</v>
      </c>
      <c r="B114" s="3137" t="s">
        <v>2652</v>
      </c>
      <c r="C114" s="3137" t="s">
        <v>2651</v>
      </c>
      <c r="D114" s="3137"/>
      <c r="E114" s="3136">
        <v>1296904</v>
      </c>
      <c r="F114" s="3136">
        <f>U38</f>
        <v>18.5319918</v>
      </c>
      <c r="G114" s="3136"/>
      <c r="H114" s="3123">
        <v>1281269</v>
      </c>
      <c r="I114" s="3136">
        <v>-13442</v>
      </c>
      <c r="J114" s="3127">
        <f t="shared" si="29"/>
        <v>2174.4680081999395</v>
      </c>
      <c r="K114" s="3126">
        <f t="shared" si="30"/>
        <v>248.66098020767183</v>
      </c>
      <c r="L114" s="3127">
        <f t="shared" si="30"/>
        <v>348.12537229074059</v>
      </c>
      <c r="M114" s="3126">
        <f t="shared" si="31"/>
        <v>99.464392083068759</v>
      </c>
    </row>
    <row r="115" spans="1:13">
      <c r="A115" s="3133">
        <v>107</v>
      </c>
      <c r="B115" s="3137" t="s">
        <v>2650</v>
      </c>
      <c r="C115" s="3137" t="s">
        <v>2649</v>
      </c>
      <c r="D115" s="3137"/>
      <c r="E115" s="3136">
        <v>6986558</v>
      </c>
      <c r="F115" s="3136">
        <f>U39</f>
        <v>67764.194160200059</v>
      </c>
      <c r="G115" s="3136"/>
      <c r="H115" s="3123">
        <f>1731369+(33491704*S48*T48)</f>
        <v>6707285.6126670269</v>
      </c>
      <c r="I115" s="3136"/>
      <c r="J115" s="3127">
        <f t="shared" si="29"/>
        <v>211508.19317277335</v>
      </c>
      <c r="K115" s="3126">
        <f t="shared" si="30"/>
        <v>24186.989386812576</v>
      </c>
      <c r="L115" s="3127">
        <f t="shared" si="30"/>
        <v>33861.785141537614</v>
      </c>
      <c r="M115" s="3126">
        <f t="shared" si="31"/>
        <v>9674.7957547250371</v>
      </c>
    </row>
    <row r="116" spans="1:13">
      <c r="A116" s="3133">
        <v>108</v>
      </c>
      <c r="B116" s="3137" t="s">
        <v>2648</v>
      </c>
      <c r="C116" s="3137" t="s">
        <v>2647</v>
      </c>
      <c r="D116" s="3137"/>
      <c r="E116" s="3136">
        <v>0</v>
      </c>
      <c r="F116" s="3136"/>
      <c r="G116" s="3136"/>
      <c r="I116" s="3136"/>
      <c r="J116" s="3127">
        <f t="shared" si="29"/>
        <v>0</v>
      </c>
      <c r="K116" s="3126">
        <f t="shared" si="30"/>
        <v>0</v>
      </c>
      <c r="L116" s="3127">
        <f t="shared" si="30"/>
        <v>0</v>
      </c>
      <c r="M116" s="3126">
        <f t="shared" si="31"/>
        <v>0</v>
      </c>
    </row>
    <row r="117" spans="1:13">
      <c r="A117" s="3133">
        <v>109</v>
      </c>
      <c r="B117" s="3137" t="s">
        <v>2646</v>
      </c>
      <c r="C117" s="3137" t="s">
        <v>288</v>
      </c>
      <c r="D117" s="3137"/>
      <c r="E117" s="3136">
        <v>901022</v>
      </c>
      <c r="F117" s="3136">
        <f>U40</f>
        <v>217065.18820919996</v>
      </c>
      <c r="G117" s="3136"/>
      <c r="H117" s="3123">
        <v>608878</v>
      </c>
      <c r="I117" s="3136"/>
      <c r="J117" s="3127">
        <f t="shared" si="29"/>
        <v>75078.811790800071</v>
      </c>
      <c r="K117" s="3126">
        <f t="shared" si="30"/>
        <v>8585.6268578457039</v>
      </c>
      <c r="L117" s="3127">
        <f t="shared" si="30"/>
        <v>12019.877600983988</v>
      </c>
      <c r="M117" s="3126">
        <f t="shared" si="31"/>
        <v>3434.2507431382837</v>
      </c>
    </row>
    <row r="118" spans="1:13">
      <c r="A118" s="3133">
        <v>110</v>
      </c>
      <c r="B118" s="3137" t="s">
        <v>2645</v>
      </c>
      <c r="C118" s="3137" t="s">
        <v>2644</v>
      </c>
      <c r="D118" s="3137"/>
      <c r="E118" s="3136">
        <v>1217285</v>
      </c>
      <c r="F118" s="3136">
        <f>U41</f>
        <v>132807.30956380002</v>
      </c>
      <c r="G118" s="3136"/>
      <c r="H118" s="3136"/>
      <c r="I118" s="3136">
        <v>-184454</v>
      </c>
      <c r="J118" s="3127">
        <f t="shared" si="29"/>
        <v>900023.69043620001</v>
      </c>
      <c r="K118" s="3126">
        <f t="shared" si="30"/>
        <v>102922.08127690858</v>
      </c>
      <c r="L118" s="3127">
        <f t="shared" si="30"/>
        <v>144090.91378767203</v>
      </c>
      <c r="M118" s="3126">
        <f t="shared" si="31"/>
        <v>41168.832510763459</v>
      </c>
    </row>
    <row r="119" spans="1:13">
      <c r="A119" s="3133">
        <v>111</v>
      </c>
      <c r="B119" s="3137" t="s">
        <v>2643</v>
      </c>
      <c r="C119" s="3137" t="s">
        <v>251</v>
      </c>
      <c r="D119" s="3137"/>
      <c r="E119" s="3136">
        <v>102766</v>
      </c>
      <c r="F119" s="3136">
        <f>U42</f>
        <v>169.8299566</v>
      </c>
      <c r="G119" s="3136"/>
      <c r="H119" s="3136"/>
      <c r="I119" s="3136"/>
      <c r="J119" s="3127">
        <f t="shared" si="29"/>
        <v>102596.17004339999</v>
      </c>
      <c r="K119" s="3126">
        <f t="shared" si="30"/>
        <v>11732.370452147417</v>
      </c>
      <c r="L119" s="3127">
        <f t="shared" si="30"/>
        <v>16425.318633006387</v>
      </c>
      <c r="M119" s="3126">
        <f t="shared" si="31"/>
        <v>4692.9481808589699</v>
      </c>
    </row>
    <row r="120" spans="1:13">
      <c r="A120" s="3133">
        <v>112</v>
      </c>
      <c r="B120" s="3137" t="s">
        <v>2642</v>
      </c>
      <c r="C120" s="3137" t="s">
        <v>290</v>
      </c>
      <c r="D120" s="3137"/>
      <c r="E120" s="3136">
        <v>3107468</v>
      </c>
      <c r="F120" s="3136">
        <f>U43</f>
        <v>237986.69029660011</v>
      </c>
      <c r="G120" s="3136"/>
      <c r="H120" s="3136"/>
      <c r="I120" s="3136">
        <v>-471</v>
      </c>
      <c r="J120" s="3127">
        <f t="shared" si="29"/>
        <v>2869010.3097033999</v>
      </c>
      <c r="K120" s="3126">
        <f t="shared" si="30"/>
        <v>328085.26644056576</v>
      </c>
      <c r="L120" s="3127">
        <f t="shared" si="30"/>
        <v>459319.37301679212</v>
      </c>
      <c r="M120" s="3126">
        <f t="shared" si="31"/>
        <v>131234.10657622636</v>
      </c>
    </row>
    <row r="121" spans="1:13">
      <c r="A121" s="3133">
        <v>113</v>
      </c>
      <c r="B121" s="3132"/>
      <c r="C121" s="3132" t="s">
        <v>2641</v>
      </c>
      <c r="D121" s="3132"/>
      <c r="E121" s="3140">
        <f t="shared" ref="E121:M121" si="32">SUM(E109:E120)</f>
        <v>24398469</v>
      </c>
      <c r="F121" s="3140">
        <f t="shared" si="32"/>
        <v>6082344.5309703872</v>
      </c>
      <c r="G121" s="3140">
        <f t="shared" si="32"/>
        <v>0</v>
      </c>
      <c r="H121" s="3140">
        <f t="shared" si="32"/>
        <v>13041623.2102242</v>
      </c>
      <c r="I121" s="3140">
        <f t="shared" si="32"/>
        <v>-409214</v>
      </c>
      <c r="J121" s="3139">
        <f t="shared" si="32"/>
        <v>4865287.2588054128</v>
      </c>
      <c r="K121" s="3138">
        <f t="shared" si="32"/>
        <v>556369.23339605669</v>
      </c>
      <c r="L121" s="3139">
        <f t="shared" si="32"/>
        <v>778916.92675447953</v>
      </c>
      <c r="M121" s="3138">
        <f t="shared" si="32"/>
        <v>222547.69335842281</v>
      </c>
    </row>
    <row r="122" spans="1:13" ht="16.5" thickBot="1">
      <c r="A122" s="3133">
        <v>114</v>
      </c>
      <c r="B122" s="3137"/>
      <c r="C122" s="3137"/>
      <c r="D122" s="3137"/>
      <c r="E122" s="3136"/>
      <c r="F122" s="3136"/>
      <c r="G122" s="3136"/>
      <c r="H122" s="3136"/>
      <c r="I122" s="3136"/>
      <c r="J122" s="3135"/>
      <c r="K122" s="3134"/>
      <c r="L122" s="3135"/>
      <c r="M122" s="3134"/>
    </row>
    <row r="123" spans="1:13" ht="17.25" thickTop="1" thickBot="1">
      <c r="A123" s="3133">
        <v>115</v>
      </c>
      <c r="B123" s="3132"/>
      <c r="C123" s="3132" t="s">
        <v>2640</v>
      </c>
      <c r="D123" s="3132"/>
      <c r="E123" s="3131">
        <f t="shared" ref="E123:M123" si="33">E121+E107</f>
        <v>206914957</v>
      </c>
      <c r="F123" s="3131">
        <f t="shared" si="33"/>
        <v>17127678.749018297</v>
      </c>
      <c r="G123" s="3131">
        <f t="shared" si="33"/>
        <v>148698047</v>
      </c>
      <c r="H123" s="3131">
        <f t="shared" si="33"/>
        <v>13057335.2102242</v>
      </c>
      <c r="I123" s="3131">
        <f t="shared" si="33"/>
        <v>-13745720</v>
      </c>
      <c r="J123" s="3130">
        <f t="shared" si="33"/>
        <v>14286176.040757501</v>
      </c>
      <c r="K123" s="3128">
        <f t="shared" si="33"/>
        <v>1633693.6318759015</v>
      </c>
      <c r="L123" s="3129">
        <f t="shared" si="33"/>
        <v>2287171.0846262621</v>
      </c>
      <c r="M123" s="3128">
        <f t="shared" si="33"/>
        <v>653477.45275036071</v>
      </c>
    </row>
    <row r="124" spans="1:13" ht="16.5" thickTop="1">
      <c r="B124" s="3125"/>
      <c r="C124" s="3125"/>
      <c r="D124" s="3125"/>
      <c r="E124" s="3123"/>
      <c r="F124" s="1988"/>
      <c r="G124" s="1988"/>
      <c r="H124" s="1988"/>
      <c r="I124" s="1988"/>
      <c r="J124" s="3127"/>
      <c r="K124" s="3126"/>
      <c r="L124" s="3127"/>
      <c r="M124" s="3126"/>
    </row>
    <row r="125" spans="1:13">
      <c r="B125" s="3125"/>
      <c r="C125" s="3125"/>
      <c r="D125" s="3125"/>
      <c r="E125" s="3123"/>
      <c r="F125" s="3123"/>
      <c r="G125" s="3123"/>
      <c r="H125" s="3123"/>
      <c r="I125" s="3123"/>
      <c r="J125" s="3120" t="s">
        <v>2639</v>
      </c>
      <c r="K125" s="3124">
        <f>K123-K126</f>
        <v>980216.17912554077</v>
      </c>
      <c r="L125" s="3123"/>
      <c r="M125" s="3122"/>
    </row>
    <row r="126" spans="1:13">
      <c r="B126" s="3121"/>
      <c r="C126" s="477"/>
      <c r="D126" s="477"/>
      <c r="E126" s="1988"/>
      <c r="F126" s="1988"/>
      <c r="G126" s="1988"/>
      <c r="H126" s="1988"/>
      <c r="I126" s="1988"/>
      <c r="J126" s="3120" t="s">
        <v>2543</v>
      </c>
      <c r="K126" s="3119">
        <f>M123</f>
        <v>653477.45275036071</v>
      </c>
      <c r="L126" s="3120" t="s">
        <v>2638</v>
      </c>
      <c r="M126" s="3119">
        <f>M123</f>
        <v>653477.45275036071</v>
      </c>
    </row>
    <row r="127" spans="1:13">
      <c r="F127" s="1988"/>
      <c r="G127" s="1988"/>
      <c r="H127" s="1988"/>
      <c r="I127" s="1988"/>
      <c r="K127" s="3118">
        <f>SUM(K125:K126)</f>
        <v>1633693.6318759015</v>
      </c>
    </row>
    <row r="128" spans="1:13">
      <c r="F128" s="1988"/>
      <c r="G128" s="1988"/>
    </row>
    <row r="129" spans="6:13">
      <c r="F129" s="1988"/>
      <c r="G129" s="1988"/>
      <c r="H129" s="1988"/>
      <c r="I129" s="3117" t="s">
        <v>2637</v>
      </c>
      <c r="J129" s="3116">
        <f>J123/E123</f>
        <v>6.9043708815875987E-2</v>
      </c>
      <c r="K129" s="3115"/>
      <c r="L129" s="477"/>
      <c r="M129" s="3115"/>
    </row>
    <row r="130" spans="6:13">
      <c r="F130" s="1988"/>
      <c r="G130" s="1988"/>
      <c r="H130" s="1988"/>
      <c r="I130" s="1988"/>
      <c r="J130" s="477"/>
      <c r="K130" s="3115"/>
      <c r="L130" s="477"/>
      <c r="M130" s="3115"/>
    </row>
    <row r="131" spans="6:13">
      <c r="F131" s="1988"/>
      <c r="G131" s="1988"/>
      <c r="H131" s="1988"/>
      <c r="I131" s="1988"/>
      <c r="J131" s="477"/>
      <c r="K131" s="3115"/>
      <c r="L131" s="477"/>
      <c r="M131" s="3115"/>
    </row>
    <row r="132" spans="6:13">
      <c r="F132" s="1988"/>
      <c r="G132" s="1988"/>
      <c r="H132" s="1988"/>
      <c r="I132" s="1988"/>
      <c r="J132" s="477"/>
      <c r="K132" s="3115"/>
      <c r="L132" s="477"/>
      <c r="M132" s="3115"/>
    </row>
    <row r="133" spans="6:13">
      <c r="F133" s="1988"/>
      <c r="G133" s="1988"/>
      <c r="H133" s="1988"/>
      <c r="I133" s="1988"/>
      <c r="J133" s="477"/>
      <c r="K133" s="3115"/>
      <c r="L133" s="477"/>
      <c r="M133" s="3115"/>
    </row>
    <row r="134" spans="6:13">
      <c r="F134" s="1988"/>
      <c r="G134" s="1988"/>
      <c r="H134" s="1988"/>
      <c r="I134" s="1988"/>
      <c r="J134" s="477"/>
      <c r="K134" s="3115"/>
      <c r="L134" s="477"/>
      <c r="M134" s="3115"/>
    </row>
    <row r="135" spans="6:13">
      <c r="F135" s="1988"/>
      <c r="G135" s="1988"/>
      <c r="H135" s="1988"/>
      <c r="I135" s="1988"/>
      <c r="J135" s="477"/>
      <c r="K135" s="3115"/>
      <c r="L135" s="477"/>
      <c r="M135" s="3115"/>
    </row>
    <row r="136" spans="6:13">
      <c r="F136" s="1988"/>
      <c r="G136" s="1988"/>
      <c r="H136" s="1988"/>
      <c r="I136" s="1988"/>
      <c r="J136" s="477"/>
      <c r="K136" s="3115"/>
      <c r="L136" s="477"/>
      <c r="M136" s="3115"/>
    </row>
    <row r="137" spans="6:13">
      <c r="F137" s="1988"/>
      <c r="G137" s="1988"/>
      <c r="H137" s="1988"/>
      <c r="I137" s="1988"/>
      <c r="J137" s="477"/>
      <c r="K137" s="3115"/>
      <c r="L137" s="477"/>
      <c r="M137" s="3115"/>
    </row>
    <row r="138" spans="6:13">
      <c r="F138" s="1988"/>
      <c r="G138" s="1988"/>
      <c r="H138" s="1988"/>
      <c r="I138" s="1988"/>
      <c r="J138" s="477"/>
      <c r="K138" s="3115"/>
      <c r="L138" s="477"/>
      <c r="M138" s="3115"/>
    </row>
    <row r="139" spans="6:13">
      <c r="F139" s="1988"/>
      <c r="G139" s="1988"/>
      <c r="H139" s="1988"/>
      <c r="I139" s="1988"/>
      <c r="J139" s="477"/>
      <c r="K139" s="3115"/>
      <c r="L139" s="477"/>
      <c r="M139" s="3115"/>
    </row>
    <row r="140" spans="6:13">
      <c r="F140" s="1988"/>
      <c r="G140" s="1988"/>
      <c r="H140" s="1988"/>
      <c r="I140" s="1988"/>
      <c r="J140" s="477"/>
      <c r="K140" s="3115"/>
      <c r="L140" s="477"/>
      <c r="M140" s="3115"/>
    </row>
    <row r="141" spans="6:13">
      <c r="F141" s="1988"/>
      <c r="G141" s="1988"/>
      <c r="H141" s="1988"/>
      <c r="I141" s="1988"/>
      <c r="J141" s="477"/>
      <c r="K141" s="3115"/>
      <c r="L141" s="477"/>
      <c r="M141" s="3115"/>
    </row>
    <row r="142" spans="6:13">
      <c r="F142" s="1988"/>
      <c r="G142" s="1988"/>
      <c r="H142" s="1988"/>
      <c r="I142" s="1988"/>
      <c r="J142" s="477"/>
      <c r="K142" s="3115"/>
      <c r="L142" s="477"/>
      <c r="M142" s="3115"/>
    </row>
    <row r="143" spans="6:13">
      <c r="F143" s="1988"/>
      <c r="G143" s="1988"/>
      <c r="H143" s="1988"/>
      <c r="I143" s="1988"/>
      <c r="J143" s="477"/>
      <c r="K143" s="3115"/>
      <c r="L143" s="477"/>
      <c r="M143" s="3115"/>
    </row>
    <row r="144" spans="6:13">
      <c r="F144" s="1988"/>
      <c r="G144" s="1988"/>
      <c r="H144" s="1988"/>
      <c r="I144" s="1988"/>
      <c r="J144" s="477"/>
      <c r="K144" s="3115"/>
      <c r="L144" s="477"/>
      <c r="M144" s="3115"/>
    </row>
    <row r="145" spans="6:14">
      <c r="F145" s="1988"/>
      <c r="G145" s="1988"/>
      <c r="H145" s="1988"/>
      <c r="I145" s="1988"/>
      <c r="J145" s="477"/>
      <c r="K145" s="3115"/>
      <c r="L145" s="477"/>
      <c r="M145" s="3115"/>
    </row>
    <row r="146" spans="6:14">
      <c r="J146" s="477"/>
      <c r="K146" s="3115"/>
      <c r="L146" s="477"/>
      <c r="M146" s="3115"/>
    </row>
    <row r="160" spans="6:14">
      <c r="N160" s="477"/>
    </row>
    <row r="161" spans="14:14">
      <c r="N161" s="477"/>
    </row>
    <row r="162" spans="14:14">
      <c r="N162" s="477"/>
    </row>
  </sheetData>
  <mergeCells count="2">
    <mergeCell ref="F7:H7"/>
    <mergeCell ref="J1:L1"/>
  </mergeCell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9167-D2F6-43A3-A0EB-44EC5C73DCE4}">
  <dimension ref="A1:CI55"/>
  <sheetViews>
    <sheetView workbookViewId="0"/>
  </sheetViews>
  <sheetFormatPr defaultRowHeight="12.75"/>
  <cols>
    <col min="1" max="1" width="3" style="477" bestFit="1" customWidth="1"/>
    <col min="2" max="2" width="50.85546875" style="477" customWidth="1"/>
    <col min="3" max="3" width="13.85546875" style="954" bestFit="1" customWidth="1"/>
    <col min="4" max="4" width="13.5703125" style="954" bestFit="1" customWidth="1"/>
    <col min="5" max="5" width="18.42578125" style="954" customWidth="1"/>
    <col min="6" max="6" width="19" style="477" bestFit="1" customWidth="1"/>
    <col min="7" max="7" width="2.28515625" style="477" customWidth="1"/>
    <col min="8" max="8" width="17.28515625" style="477" bestFit="1" customWidth="1"/>
    <col min="9" max="9" width="3.140625" style="477" customWidth="1"/>
    <col min="10" max="10" width="17.28515625" style="477" bestFit="1" customWidth="1"/>
    <col min="11" max="11" width="3.28515625" style="477" bestFit="1" customWidth="1"/>
    <col min="12" max="12" width="3.7109375" style="477" customWidth="1"/>
    <col min="13" max="13" width="3.28515625" style="477" customWidth="1"/>
    <col min="14" max="14" width="31.5703125" style="477" bestFit="1" customWidth="1"/>
    <col min="16" max="16" width="1.7109375" style="1008" customWidth="1"/>
    <col min="18" max="18" width="26.5703125" style="477" customWidth="1"/>
    <col min="19" max="19" width="16.42578125" style="987" bestFit="1" customWidth="1"/>
    <col min="20" max="20" width="8.85546875" style="477"/>
    <col min="21" max="21" width="1.7109375" style="1008" customWidth="1"/>
    <col min="23" max="23" width="11.7109375" style="477" customWidth="1"/>
    <col min="24" max="24" width="16.28515625" style="477" customWidth="1"/>
    <col min="25" max="25" width="16" style="477" customWidth="1"/>
    <col min="26" max="26" width="16.5703125" style="477" customWidth="1"/>
    <col min="27" max="27" width="16.28515625" style="477" customWidth="1"/>
    <col min="28" max="28" width="14.85546875" style="477" bestFit="1" customWidth="1"/>
    <col min="29" max="29" width="14.85546875" style="477" customWidth="1"/>
    <col min="30" max="30" width="15.85546875" style="477" customWidth="1"/>
    <col min="31" max="31" width="16.42578125" style="477" customWidth="1"/>
    <col min="32" max="32" width="16.5703125" style="477" customWidth="1"/>
    <col min="33" max="33" width="13.140625" style="477" customWidth="1"/>
    <col min="34" max="34" width="14.85546875" style="477" bestFit="1" customWidth="1"/>
    <col min="35" max="35" width="8.85546875" style="477"/>
    <col min="36" max="36" width="1.7109375" style="1008" customWidth="1"/>
    <col min="38" max="38" width="11.7109375" style="477" customWidth="1"/>
    <col min="39" max="39" width="16.28515625" style="477" customWidth="1"/>
    <col min="40" max="40" width="16" style="477" customWidth="1"/>
    <col min="41" max="41" width="16.5703125" style="477" customWidth="1"/>
    <col min="42" max="42" width="16.28515625" style="477" customWidth="1"/>
    <col min="43" max="43" width="14.85546875" style="477" bestFit="1" customWidth="1"/>
    <col min="44" max="44" width="14.85546875" style="477" customWidth="1"/>
    <col min="45" max="45" width="15.85546875" style="477" customWidth="1"/>
    <col min="46" max="46" width="16.42578125" style="477" customWidth="1"/>
    <col min="47" max="47" width="16.5703125" style="477" customWidth="1"/>
    <col min="48" max="48" width="13.140625" style="477" customWidth="1"/>
    <col min="49" max="49" width="14.85546875" style="477" bestFit="1" customWidth="1"/>
    <col min="51" max="51" width="1.7109375" style="1008" customWidth="1"/>
    <col min="53" max="54" width="8.85546875" style="477"/>
    <col min="55" max="55" width="42.28515625" style="477" bestFit="1" customWidth="1"/>
    <col min="56" max="56" width="4.42578125" style="477" bestFit="1" customWidth="1"/>
    <col min="57" max="57" width="4" style="477" bestFit="1" customWidth="1"/>
    <col min="58" max="58" width="14.7109375" style="477" bestFit="1" customWidth="1"/>
    <col min="59" max="59" width="2.7109375" style="477" customWidth="1"/>
    <col min="60" max="60" width="11.28515625" style="477" bestFit="1" customWidth="1"/>
    <col min="61" max="61" width="9.42578125" style="477" bestFit="1" customWidth="1"/>
    <col min="62" max="62" width="11.28515625" style="477" bestFit="1" customWidth="1"/>
    <col min="63" max="63" width="1.7109375" style="1008" customWidth="1"/>
    <col min="65" max="65" width="30" style="2692" customWidth="1"/>
    <col min="66" max="66" width="9.140625" style="2692"/>
    <col min="67" max="67" width="15.7109375" style="2692" customWidth="1"/>
    <col min="68" max="68" width="14.7109375" style="2692" bestFit="1" customWidth="1"/>
    <col min="69" max="69" width="14" style="2692" bestFit="1" customWidth="1"/>
    <col min="70" max="70" width="15.5703125" style="2692" customWidth="1"/>
    <col min="71" max="72" width="11.140625" style="2692" customWidth="1"/>
    <col min="73" max="73" width="14" style="2692" bestFit="1" customWidth="1"/>
    <col min="74" max="74" width="13.7109375" style="2692" customWidth="1"/>
    <col min="76" max="76" width="1.7109375" style="1008" customWidth="1"/>
    <col min="78" max="78" width="30" style="2692" customWidth="1"/>
    <col min="79" max="79" width="9.140625" style="2692"/>
    <col min="80" max="80" width="15.7109375" style="2692" customWidth="1"/>
    <col min="81" max="81" width="14.7109375" style="2692" bestFit="1" customWidth="1"/>
    <col min="82" max="82" width="14" style="2692" bestFit="1" customWidth="1"/>
    <col min="83" max="83" width="15.5703125" style="2692" customWidth="1"/>
    <col min="84" max="85" width="16.7109375" style="2692" customWidth="1"/>
    <col min="86" max="86" width="14" style="2692" bestFit="1" customWidth="1"/>
    <col min="87" max="87" width="12.85546875" style="2692" customWidth="1"/>
  </cols>
  <sheetData>
    <row r="1" spans="1:82" ht="15">
      <c r="B1" s="3186" t="s">
        <v>1204</v>
      </c>
      <c r="R1" s="182" t="s">
        <v>1204</v>
      </c>
      <c r="W1" s="182" t="s">
        <v>1204</v>
      </c>
      <c r="AL1" s="182" t="s">
        <v>1204</v>
      </c>
      <c r="BM1" s="2692" t="s">
        <v>2943</v>
      </c>
      <c r="BZ1" s="2692" t="s">
        <v>2943</v>
      </c>
    </row>
    <row r="2" spans="1:82" ht="15">
      <c r="B2" s="3186" t="s">
        <v>1577</v>
      </c>
      <c r="R2" s="182" t="s">
        <v>2883</v>
      </c>
      <c r="W2" s="182" t="s">
        <v>2883</v>
      </c>
      <c r="AL2" s="182" t="s">
        <v>2883</v>
      </c>
      <c r="BB2" s="477" t="s">
        <v>2926</v>
      </c>
    </row>
    <row r="3" spans="1:82" ht="15">
      <c r="B3" s="3186" t="s">
        <v>2877</v>
      </c>
      <c r="R3" s="182" t="s">
        <v>2882</v>
      </c>
      <c r="W3" s="182" t="s">
        <v>2882</v>
      </c>
      <c r="AL3" s="182" t="s">
        <v>2882</v>
      </c>
    </row>
    <row r="4" spans="1:82" ht="15">
      <c r="B4" s="3186" t="s">
        <v>2876</v>
      </c>
      <c r="R4" s="182" t="s">
        <v>2881</v>
      </c>
      <c r="W4" s="182" t="s">
        <v>2881</v>
      </c>
      <c r="AL4" s="182" t="s">
        <v>2881</v>
      </c>
      <c r="BM4" s="2692" t="s">
        <v>2942</v>
      </c>
      <c r="BZ4" s="2692" t="s">
        <v>2942</v>
      </c>
    </row>
    <row r="5" spans="1:82">
      <c r="R5" s="182" t="s">
        <v>2880</v>
      </c>
      <c r="W5" s="182" t="s">
        <v>2880</v>
      </c>
      <c r="AL5" s="182" t="s">
        <v>2880</v>
      </c>
    </row>
    <row r="6" spans="1:82" ht="15.75" thickBot="1">
      <c r="B6" s="3186" t="s">
        <v>2875</v>
      </c>
      <c r="W6" s="3232"/>
      <c r="AL6" s="3232"/>
      <c r="BM6" s="2692" t="s">
        <v>2941</v>
      </c>
      <c r="BO6" s="3261"/>
      <c r="BP6" s="3261"/>
      <c r="BQ6" s="3255"/>
      <c r="BZ6" s="2692" t="s">
        <v>2946</v>
      </c>
      <c r="CB6" s="3261"/>
      <c r="CC6" s="3261"/>
      <c r="CD6" s="3255"/>
    </row>
    <row r="7" spans="1:82" ht="30.75" thickBot="1">
      <c r="H7" s="2083" t="s">
        <v>525</v>
      </c>
      <c r="I7" s="1230"/>
      <c r="J7" s="2083" t="s">
        <v>526</v>
      </c>
      <c r="S7" s="1200" t="s">
        <v>1577</v>
      </c>
      <c r="W7" s="3232"/>
      <c r="AL7" s="3232"/>
      <c r="BO7" s="3260" t="s">
        <v>968</v>
      </c>
      <c r="BP7" s="3260" t="s">
        <v>971</v>
      </c>
      <c r="BQ7" s="3259"/>
      <c r="CB7" s="3260" t="s">
        <v>968</v>
      </c>
      <c r="CC7" s="3260" t="s">
        <v>971</v>
      </c>
      <c r="CD7" s="3259"/>
    </row>
    <row r="8" spans="1:82" ht="45.75" thickBot="1">
      <c r="B8" s="3185" t="s">
        <v>70</v>
      </c>
      <c r="C8" s="3184" t="s">
        <v>2874</v>
      </c>
      <c r="D8" s="3184" t="s">
        <v>2873</v>
      </c>
      <c r="E8" s="2101" t="s">
        <v>2872</v>
      </c>
      <c r="F8" s="3184" t="s">
        <v>2871</v>
      </c>
      <c r="G8" s="2083"/>
      <c r="H8" s="2101" t="s">
        <v>2870</v>
      </c>
      <c r="I8" s="2083"/>
      <c r="J8" s="2101" t="s">
        <v>2869</v>
      </c>
      <c r="M8" s="2101" t="s">
        <v>2868</v>
      </c>
      <c r="N8" s="2101" t="s">
        <v>2867</v>
      </c>
      <c r="R8" s="890" t="s">
        <v>2879</v>
      </c>
      <c r="S8" s="987">
        <v>24</v>
      </c>
      <c r="W8" s="3232" t="str">
        <f>'G-3.18 New Reg Amort'!B10</f>
        <v>WA Regulatory Fee Deferral (2023 &amp; 2024)</v>
      </c>
      <c r="AL8" s="3232" t="str">
        <f>'G-3.18 New Reg Amort'!B11</f>
        <v>WA Deferred Depreciation Expense (2024)</v>
      </c>
      <c r="BM8" s="2692" t="s">
        <v>2940</v>
      </c>
      <c r="BO8" s="3254">
        <v>594282604.46121311</v>
      </c>
      <c r="BP8" s="3254">
        <v>221901777.34</v>
      </c>
      <c r="BQ8" s="3253">
        <v>0</v>
      </c>
      <c r="BZ8" s="2692" t="s">
        <v>2940</v>
      </c>
      <c r="CB8" s="3254">
        <v>625001172.96291137</v>
      </c>
      <c r="CC8" s="3254">
        <v>272653168.19515389</v>
      </c>
      <c r="CD8" s="3253">
        <v>0</v>
      </c>
    </row>
    <row r="9" spans="1:82" ht="15.75" thickBot="1">
      <c r="A9" s="477">
        <v>1</v>
      </c>
      <c r="B9" s="477" t="s">
        <v>2866</v>
      </c>
      <c r="C9" s="954" t="s">
        <v>2865</v>
      </c>
      <c r="D9" s="954" t="s">
        <v>2864</v>
      </c>
      <c r="E9" s="954" t="s">
        <v>2863</v>
      </c>
      <c r="F9" s="3183">
        <f>'G-3.18 New Reg Amort'!BI21</f>
        <v>-89867.200000000186</v>
      </c>
      <c r="G9" s="1690"/>
      <c r="H9" s="1082">
        <f>'G-3.18 New Reg Amort'!S42</f>
        <v>-44933.640000000007</v>
      </c>
      <c r="J9" s="1082">
        <f>'G-3.18 New Reg Amort'!S43</f>
        <v>-44933.560000000005</v>
      </c>
      <c r="K9" s="477" t="s">
        <v>2862</v>
      </c>
      <c r="M9" s="477" t="s">
        <v>2861</v>
      </c>
      <c r="N9" s="477" t="s">
        <v>2854</v>
      </c>
      <c r="R9" s="890" t="s">
        <v>23</v>
      </c>
      <c r="S9" s="3194">
        <v>0</v>
      </c>
      <c r="W9" s="3937" t="s">
        <v>2905</v>
      </c>
      <c r="X9" s="3938"/>
      <c r="Y9" s="3938"/>
      <c r="Z9" s="3938"/>
      <c r="AA9" s="3938"/>
      <c r="AB9" s="3938"/>
      <c r="AC9" s="3938"/>
      <c r="AD9" s="3938"/>
      <c r="AE9" s="3938"/>
      <c r="AF9" s="3938"/>
      <c r="AG9" s="3938"/>
      <c r="AH9" s="3939"/>
      <c r="AL9" s="3937" t="s">
        <v>2912</v>
      </c>
      <c r="AM9" s="3938"/>
      <c r="AN9" s="3938"/>
      <c r="AO9" s="3938"/>
      <c r="AP9" s="3938"/>
      <c r="AQ9" s="3938"/>
      <c r="AR9" s="3938"/>
      <c r="AS9" s="3938"/>
      <c r="AT9" s="3938"/>
      <c r="AU9" s="3938"/>
      <c r="AV9" s="3938"/>
      <c r="AW9" s="3939"/>
      <c r="BQ9" s="3255"/>
      <c r="CD9" s="3255"/>
    </row>
    <row r="10" spans="1:82" ht="15" thickBot="1">
      <c r="A10" s="477">
        <v>2</v>
      </c>
      <c r="B10" s="477" t="s">
        <v>2860</v>
      </c>
      <c r="C10" s="954">
        <v>182343</v>
      </c>
      <c r="D10" s="954">
        <v>407343</v>
      </c>
      <c r="E10" s="954" t="s">
        <v>2856</v>
      </c>
      <c r="F10" s="3182">
        <f>'G-3.18 New Reg Amort'!Y39</f>
        <v>1449877.9400000002</v>
      </c>
      <c r="G10" s="1690"/>
      <c r="H10" s="1082">
        <f>'G-3.18 New Reg Amort'!Y41</f>
        <v>724938.96</v>
      </c>
      <c r="J10" s="1082">
        <f>'G-3.18 New Reg Amort'!Y42</f>
        <v>724938.98</v>
      </c>
      <c r="M10" s="477" t="s">
        <v>2859</v>
      </c>
      <c r="N10" s="477" t="s">
        <v>2858</v>
      </c>
      <c r="W10" s="3231"/>
      <c r="X10" s="3230"/>
      <c r="Z10" s="3229">
        <v>24</v>
      </c>
      <c r="AA10" s="3228" t="s">
        <v>2879</v>
      </c>
      <c r="AB10" s="3227"/>
      <c r="AC10" s="3226"/>
      <c r="AD10" s="3225"/>
      <c r="AE10" s="3225"/>
      <c r="AF10" s="3219"/>
      <c r="AG10" s="3219"/>
      <c r="AH10" s="3218"/>
      <c r="AL10" s="3231"/>
      <c r="AM10" s="3230"/>
      <c r="AO10" s="3229">
        <v>24</v>
      </c>
      <c r="AP10" s="3228" t="s">
        <v>2879</v>
      </c>
      <c r="AQ10" s="3227"/>
      <c r="AR10" s="3226"/>
      <c r="AS10" s="3225"/>
      <c r="AT10" s="3225"/>
      <c r="AU10" s="3219"/>
      <c r="AV10" s="3219"/>
      <c r="AW10" s="3218"/>
      <c r="BM10" s="2692" t="s">
        <v>2939</v>
      </c>
      <c r="BO10" s="3258">
        <v>4.0000000000000001E-3</v>
      </c>
      <c r="BP10" s="3258">
        <v>4.0000000000000001E-3</v>
      </c>
      <c r="BQ10" s="3253"/>
      <c r="BZ10" s="2692" t="s">
        <v>2939</v>
      </c>
      <c r="CB10" s="3258">
        <v>2E-3</v>
      </c>
      <c r="CC10" s="3258">
        <v>2E-3</v>
      </c>
      <c r="CD10" s="3253"/>
    </row>
    <row r="11" spans="1:82" ht="15" thickBot="1">
      <c r="A11" s="477">
        <v>3</v>
      </c>
      <c r="B11" s="477" t="s">
        <v>2857</v>
      </c>
      <c r="C11" s="954">
        <v>254227</v>
      </c>
      <c r="D11" s="954">
        <v>407437</v>
      </c>
      <c r="E11" s="954" t="s">
        <v>2856</v>
      </c>
      <c r="F11" s="2820">
        <f>'G-3.18 New Reg Amort'!AN51</f>
        <v>-760622.36999999965</v>
      </c>
      <c r="G11" s="1690"/>
      <c r="H11" s="1116">
        <f>'G-3.18 New Reg Amort'!AN53</f>
        <v>-380311.19999999995</v>
      </c>
      <c r="I11" s="950"/>
      <c r="J11" s="1116">
        <f>'G-3.18 New Reg Amort'!AN54</f>
        <v>-380311.17</v>
      </c>
      <c r="M11" s="477" t="s">
        <v>2855</v>
      </c>
      <c r="N11" s="477" t="s">
        <v>2854</v>
      </c>
      <c r="S11" s="2324" t="str">
        <f>'G-3.18 New Reg Amort'!C9</f>
        <v>186/253</v>
      </c>
      <c r="W11" s="3224"/>
      <c r="X11" s="3220" t="s">
        <v>24</v>
      </c>
      <c r="Z11" s="3223"/>
      <c r="AA11" s="3222" t="s">
        <v>2904</v>
      </c>
      <c r="AB11" s="3221">
        <v>5.0799999999999998E-2</v>
      </c>
      <c r="AC11" s="3220"/>
      <c r="AD11" s="3219"/>
      <c r="AE11" s="3219"/>
      <c r="AF11" s="3219"/>
      <c r="AG11" s="3219"/>
      <c r="AH11" s="3218"/>
      <c r="AL11" s="3224"/>
      <c r="AM11" s="3220" t="s">
        <v>24</v>
      </c>
      <c r="AO11" s="3223"/>
      <c r="AP11" s="3222" t="s">
        <v>2904</v>
      </c>
      <c r="AQ11" s="3221">
        <v>5.0799999999999998E-2</v>
      </c>
      <c r="AR11" s="3220"/>
      <c r="AS11" s="3219"/>
      <c r="AT11" s="3219"/>
      <c r="AU11" s="3219"/>
      <c r="AV11" s="3219"/>
      <c r="AW11" s="3218"/>
      <c r="BQ11" s="3255"/>
      <c r="CD11" s="3255"/>
    </row>
    <row r="12" spans="1:82" ht="57.75" thickBot="1">
      <c r="F12" s="3181"/>
      <c r="G12" s="3181"/>
      <c r="H12" s="3181"/>
      <c r="I12" s="3181"/>
      <c r="J12" s="3181"/>
      <c r="S12" s="987" t="s">
        <v>952</v>
      </c>
      <c r="W12" s="3217" t="s">
        <v>890</v>
      </c>
      <c r="X12" s="3216" t="s">
        <v>2903</v>
      </c>
      <c r="Y12" s="3216" t="s">
        <v>2902</v>
      </c>
      <c r="Z12" s="3215" t="s">
        <v>2901</v>
      </c>
      <c r="AA12" s="3215" t="s">
        <v>2900</v>
      </c>
      <c r="AB12" s="3215" t="s">
        <v>2899</v>
      </c>
      <c r="AC12" s="3215" t="s">
        <v>2898</v>
      </c>
      <c r="AD12" s="3215" t="s">
        <v>2897</v>
      </c>
      <c r="AE12" s="3214" t="s">
        <v>2896</v>
      </c>
      <c r="AF12" s="3214" t="s">
        <v>2895</v>
      </c>
      <c r="AG12" s="3214" t="s">
        <v>2894</v>
      </c>
      <c r="AH12" s="3213" t="s">
        <v>2893</v>
      </c>
      <c r="AL12" s="3217" t="s">
        <v>890</v>
      </c>
      <c r="AM12" s="3216" t="s">
        <v>2903</v>
      </c>
      <c r="AN12" s="3216" t="s">
        <v>2902</v>
      </c>
      <c r="AO12" s="3215" t="s">
        <v>2901</v>
      </c>
      <c r="AP12" s="3215" t="s">
        <v>2900</v>
      </c>
      <c r="AQ12" s="3215" t="s">
        <v>2899</v>
      </c>
      <c r="AR12" s="3215" t="s">
        <v>2898</v>
      </c>
      <c r="AS12" s="3215" t="s">
        <v>2897</v>
      </c>
      <c r="AT12" s="3214" t="s">
        <v>2896</v>
      </c>
      <c r="AU12" s="3214" t="s">
        <v>2895</v>
      </c>
      <c r="AV12" s="3214" t="s">
        <v>2894</v>
      </c>
      <c r="AW12" s="3213" t="s">
        <v>2893</v>
      </c>
      <c r="BM12" s="2692" t="s">
        <v>2938</v>
      </c>
      <c r="BO12" s="3254">
        <v>1143388.07</v>
      </c>
      <c r="BP12" s="3254">
        <v>330162.7</v>
      </c>
      <c r="BQ12" s="3257"/>
      <c r="BZ12" s="2692" t="s">
        <v>2945</v>
      </c>
      <c r="CB12" s="3254">
        <v>1143388.07</v>
      </c>
      <c r="CC12" s="3254">
        <v>330162.7</v>
      </c>
      <c r="CD12" s="3257"/>
    </row>
    <row r="13" spans="1:82" ht="30" thickTop="1" thickBot="1">
      <c r="B13" s="1230" t="s">
        <v>2853</v>
      </c>
      <c r="F13" s="3180">
        <f>SUM(F9:F11)</f>
        <v>599388.37000000034</v>
      </c>
      <c r="G13" s="1690"/>
      <c r="H13" s="3179">
        <f>SUM(H9:H11)</f>
        <v>299694.12</v>
      </c>
      <c r="I13" s="1690"/>
      <c r="J13" s="3178">
        <f>SUM(J9:J11)</f>
        <v>299694.24999999994</v>
      </c>
      <c r="R13" s="954" t="s">
        <v>890</v>
      </c>
      <c r="S13" s="987" t="str">
        <f>'G-3.18 New Reg Amort'!B9</f>
        <v>COVID 19 Deferral (Net)  (2020-2023)</v>
      </c>
      <c r="W13" s="3212" t="s">
        <v>2892</v>
      </c>
      <c r="X13" s="3211"/>
      <c r="Y13" s="3209" t="s">
        <v>2891</v>
      </c>
      <c r="Z13" s="3209" t="s">
        <v>2890</v>
      </c>
      <c r="AA13" s="3210"/>
      <c r="AB13" s="3209" t="s">
        <v>2889</v>
      </c>
      <c r="AC13" s="3209"/>
      <c r="AD13" s="3208" t="str">
        <f>AB13</f>
        <v>182343
GD WA</v>
      </c>
      <c r="AE13" s="3207" t="s">
        <v>2888</v>
      </c>
      <c r="AF13" s="3207" t="s">
        <v>2887</v>
      </c>
      <c r="AG13" s="3207" t="s">
        <v>2886</v>
      </c>
      <c r="AH13" s="3206" t="str">
        <f>AG13</f>
        <v>283xxx
GD WA</v>
      </c>
      <c r="AL13" s="3212" t="s">
        <v>2892</v>
      </c>
      <c r="AM13" s="3211"/>
      <c r="AN13" s="3209" t="s">
        <v>2911</v>
      </c>
      <c r="AO13" s="3209" t="s">
        <v>2910</v>
      </c>
      <c r="AP13" s="3210"/>
      <c r="AQ13" s="3209" t="s">
        <v>2909</v>
      </c>
      <c r="AR13" s="3209"/>
      <c r="AS13" s="3208" t="str">
        <f>AQ13</f>
        <v>254227
GD WA</v>
      </c>
      <c r="AT13" s="3207" t="s">
        <v>2908</v>
      </c>
      <c r="AU13" s="3207" t="s">
        <v>2907</v>
      </c>
      <c r="AV13" s="3207" t="s">
        <v>2906</v>
      </c>
      <c r="AW13" s="3206" t="str">
        <f>AV13</f>
        <v>190xxx
GD WA</v>
      </c>
      <c r="BO13" s="3256"/>
      <c r="BP13" s="3256"/>
      <c r="BQ13" s="3255"/>
      <c r="CB13" s="3254"/>
      <c r="CC13" s="3254"/>
      <c r="CD13" s="3257"/>
    </row>
    <row r="14" spans="1:82" ht="16.5" thickTop="1" thickBot="1">
      <c r="R14" s="1230" t="s">
        <v>2878</v>
      </c>
      <c r="S14" s="3193">
        <f>'G-3.18 New Reg Amort'!F9</f>
        <v>-89867.200000000186</v>
      </c>
      <c r="W14" s="3205" t="s">
        <v>2451</v>
      </c>
      <c r="X14" s="3199">
        <f>'G-3.18 New Reg Amort'!BV48+'G-3.18 New Reg Amort'!CI33</f>
        <v>1378803.831140961</v>
      </c>
      <c r="Y14" s="3199"/>
      <c r="Z14" s="3199"/>
      <c r="AA14" s="3199"/>
      <c r="AB14" s="3199"/>
      <c r="AC14" s="3199"/>
      <c r="AD14" s="3204">
        <f>X14</f>
        <v>1378803.831140961</v>
      </c>
      <c r="AE14" s="3199"/>
      <c r="AF14" s="3199"/>
      <c r="AG14" s="3199"/>
      <c r="AH14" s="3203">
        <f>AD14*21%</f>
        <v>289548.80453960178</v>
      </c>
      <c r="AL14" s="3205" t="s">
        <v>2451</v>
      </c>
      <c r="AM14" s="3199"/>
      <c r="AN14" s="3199"/>
      <c r="AO14" s="3199"/>
      <c r="AP14" s="3199"/>
      <c r="AQ14" s="3199"/>
      <c r="AR14" s="3199"/>
      <c r="AS14" s="3199">
        <v>0</v>
      </c>
      <c r="AT14" s="3199"/>
      <c r="AU14" s="3199"/>
      <c r="AV14" s="3199"/>
      <c r="AW14" s="3203">
        <f>AS14*21%</f>
        <v>0</v>
      </c>
      <c r="BM14" s="2692" t="s">
        <v>2937</v>
      </c>
      <c r="BO14" s="3254">
        <v>2377130.4178448524</v>
      </c>
      <c r="BP14" s="3254">
        <v>887607.10936</v>
      </c>
      <c r="BQ14" s="3253">
        <v>0</v>
      </c>
      <c r="BZ14" s="2692" t="s">
        <v>2944</v>
      </c>
      <c r="CB14" s="3254">
        <v>2500004.6918516457</v>
      </c>
      <c r="CC14" s="3254">
        <v>1090612.6727806155</v>
      </c>
      <c r="CD14" s="3253">
        <v>0</v>
      </c>
    </row>
    <row r="15" spans="1:82" ht="15">
      <c r="H15" s="1082"/>
      <c r="R15" s="3191">
        <v>45688</v>
      </c>
      <c r="S15" s="3187">
        <f t="shared" ref="S15:S37" si="0">ROUND($S$14/S$8,2)</f>
        <v>-3744.47</v>
      </c>
      <c r="W15" s="3202">
        <v>45688</v>
      </c>
      <c r="X15" s="3201"/>
      <c r="Y15" s="3201">
        <f t="shared" ref="Y15:Y37" si="1">ROUND((AA14+$Z$40)/$Z$10,2)</f>
        <v>60411.58</v>
      </c>
      <c r="Z15" s="3201">
        <f t="shared" ref="Z15:Z38" si="2">ROUND(-(AD14+AD14-X15-Y15)/2*$AB$11/12,2)</f>
        <v>-5709.07</v>
      </c>
      <c r="AA15" s="3199">
        <f t="shared" ref="AA15:AA38" si="3">AA14-X15</f>
        <v>0</v>
      </c>
      <c r="AB15" s="3199">
        <f t="shared" ref="AB15:AB38" si="4">-X15+-Z15-Y15</f>
        <v>-54702.51</v>
      </c>
      <c r="AC15" s="3199"/>
      <c r="AD15" s="3201">
        <f t="shared" ref="AD15:AD38" si="5">AD14-X15-Y15-Z15</f>
        <v>1324101.321140961</v>
      </c>
      <c r="AE15" s="3201">
        <f t="shared" ref="AE15:AE38" si="6">(-X15-Y15)*0.21</f>
        <v>-12686.4318</v>
      </c>
      <c r="AF15" s="3201">
        <f t="shared" ref="AF15:AF38" si="7">(-Z15)*0.21</f>
        <v>1198.9046999999998</v>
      </c>
      <c r="AG15" s="3201">
        <f t="shared" ref="AG15:AG38" si="8">-AE15-AF15</f>
        <v>11487.527100000001</v>
      </c>
      <c r="AH15" s="3201">
        <f t="shared" ref="AH15:AH38" si="9">AH14+AG15</f>
        <v>301036.33163960179</v>
      </c>
      <c r="AL15" s="3202">
        <v>45322</v>
      </c>
      <c r="AM15" s="3203">
        <v>58763</v>
      </c>
      <c r="AN15" s="3203"/>
      <c r="AO15" s="3201">
        <f t="shared" ref="AO15:AO50" si="10">ROUND(-(AS14+AS14-AM15-AN15)/2*$AQ$11/12,2)</f>
        <v>124.38</v>
      </c>
      <c r="AP15" s="3199">
        <f t="shared" ref="AP15:AP50" si="11">AP14-AM15</f>
        <v>-58763</v>
      </c>
      <c r="AQ15" s="3199">
        <f t="shared" ref="AQ15:AQ50" si="12">-AM15+-AO15-AN15</f>
        <v>-58887.38</v>
      </c>
      <c r="AR15" s="3199"/>
      <c r="AS15" s="3201">
        <f t="shared" ref="AS15:AS50" si="13">AS14-AM15-AN15-AO15</f>
        <v>-58887.38</v>
      </c>
      <c r="AT15" s="3201">
        <f t="shared" ref="AT15:AT50" si="14">(-AM15-AN15)*0.21</f>
        <v>-12340.23</v>
      </c>
      <c r="AU15" s="3201">
        <f t="shared" ref="AU15:AU50" si="15">(-AO15)*0.21</f>
        <v>-26.119799999999998</v>
      </c>
      <c r="AV15" s="3201">
        <f t="shared" ref="AV15:AV50" si="16">-AT15-AU15</f>
        <v>12366.3498</v>
      </c>
      <c r="AW15" s="3201">
        <f t="shared" ref="AW15:AW50" si="17">AW14+AV15</f>
        <v>12366.3498</v>
      </c>
      <c r="BO15" s="3252"/>
      <c r="BP15" s="3252"/>
      <c r="BQ15" s="3255"/>
      <c r="CB15" s="3252"/>
      <c r="CC15" s="3252"/>
      <c r="CD15" s="3255"/>
    </row>
    <row r="16" spans="1:82" ht="15">
      <c r="F16" s="477" t="s">
        <v>2852</v>
      </c>
      <c r="H16" s="1082">
        <f>+H9+H10+H11</f>
        <v>299694.12</v>
      </c>
      <c r="R16" s="3192">
        <v>45716</v>
      </c>
      <c r="S16" s="3187">
        <f t="shared" si="0"/>
        <v>-3744.47</v>
      </c>
      <c r="W16" s="3202">
        <v>45716</v>
      </c>
      <c r="X16" s="3201"/>
      <c r="Y16" s="3201">
        <f t="shared" si="1"/>
        <v>60411.58</v>
      </c>
      <c r="Z16" s="3201">
        <f t="shared" si="2"/>
        <v>-5477.49</v>
      </c>
      <c r="AA16" s="3199">
        <f t="shared" si="3"/>
        <v>0</v>
      </c>
      <c r="AB16" s="3199">
        <f t="shared" si="4"/>
        <v>-54934.090000000004</v>
      </c>
      <c r="AC16" s="3199"/>
      <c r="AD16" s="3201">
        <f t="shared" si="5"/>
        <v>1269167.2311409609</v>
      </c>
      <c r="AE16" s="3201">
        <f t="shared" si="6"/>
        <v>-12686.4318</v>
      </c>
      <c r="AF16" s="3201">
        <f t="shared" si="7"/>
        <v>1150.2728999999999</v>
      </c>
      <c r="AG16" s="3201">
        <f t="shared" si="8"/>
        <v>11536.1589</v>
      </c>
      <c r="AH16" s="3201">
        <f t="shared" si="9"/>
        <v>312572.49053960177</v>
      </c>
      <c r="AL16" s="3202">
        <v>45351</v>
      </c>
      <c r="AM16" s="3203">
        <v>58763</v>
      </c>
      <c r="AN16" s="3203"/>
      <c r="AO16" s="3201">
        <f t="shared" si="10"/>
        <v>373.67</v>
      </c>
      <c r="AP16" s="3199">
        <f t="shared" si="11"/>
        <v>-117526</v>
      </c>
      <c r="AQ16" s="3199">
        <f t="shared" si="12"/>
        <v>-59136.67</v>
      </c>
      <c r="AR16" s="3199"/>
      <c r="AS16" s="3201">
        <f t="shared" si="13"/>
        <v>-118024.05</v>
      </c>
      <c r="AT16" s="3201">
        <f t="shared" si="14"/>
        <v>-12340.23</v>
      </c>
      <c r="AU16" s="3201">
        <f t="shared" si="15"/>
        <v>-78.470699999999994</v>
      </c>
      <c r="AV16" s="3201">
        <f t="shared" si="16"/>
        <v>12418.700699999999</v>
      </c>
      <c r="AW16" s="3201">
        <f t="shared" si="17"/>
        <v>24785.050499999998</v>
      </c>
      <c r="BM16" s="2692" t="s">
        <v>2936</v>
      </c>
      <c r="BO16" s="3254">
        <v>-1233742.3478448524</v>
      </c>
      <c r="BP16" s="3254">
        <v>-557444.40935999993</v>
      </c>
      <c r="BQ16" s="3253">
        <v>0</v>
      </c>
      <c r="BZ16" s="2692" t="s">
        <v>2936</v>
      </c>
      <c r="CB16" s="3254">
        <v>-1356616.6218516456</v>
      </c>
      <c r="CC16" s="3254">
        <v>-760449.97278061556</v>
      </c>
      <c r="CD16" s="3253">
        <v>0</v>
      </c>
    </row>
    <row r="17" spans="2:87" ht="15">
      <c r="B17" s="477" t="s">
        <v>2851</v>
      </c>
      <c r="R17" s="3191">
        <v>45747</v>
      </c>
      <c r="S17" s="3187">
        <f t="shared" si="0"/>
        <v>-3744.47</v>
      </c>
      <c r="W17" s="3202">
        <v>45747</v>
      </c>
      <c r="X17" s="3201"/>
      <c r="Y17" s="3201">
        <f t="shared" si="1"/>
        <v>60411.58</v>
      </c>
      <c r="Z17" s="3201">
        <f t="shared" si="2"/>
        <v>-5244.94</v>
      </c>
      <c r="AA17" s="3199">
        <f t="shared" si="3"/>
        <v>0</v>
      </c>
      <c r="AB17" s="3199">
        <f t="shared" si="4"/>
        <v>-55166.64</v>
      </c>
      <c r="AC17" s="3199"/>
      <c r="AD17" s="3201">
        <f t="shared" si="5"/>
        <v>1214000.5911409608</v>
      </c>
      <c r="AE17" s="3201">
        <f t="shared" si="6"/>
        <v>-12686.4318</v>
      </c>
      <c r="AF17" s="3201">
        <f t="shared" si="7"/>
        <v>1101.4373999999998</v>
      </c>
      <c r="AG17" s="3201">
        <f t="shared" si="8"/>
        <v>11584.9944</v>
      </c>
      <c r="AH17" s="3201">
        <f t="shared" si="9"/>
        <v>324157.4849396018</v>
      </c>
      <c r="AL17" s="3202">
        <v>45382</v>
      </c>
      <c r="AM17" s="3203">
        <v>58763</v>
      </c>
      <c r="AN17" s="3203"/>
      <c r="AO17" s="3201">
        <f t="shared" si="10"/>
        <v>624.02</v>
      </c>
      <c r="AP17" s="3199">
        <f t="shared" si="11"/>
        <v>-176289</v>
      </c>
      <c r="AQ17" s="3199">
        <f t="shared" si="12"/>
        <v>-59387.02</v>
      </c>
      <c r="AR17" s="3199"/>
      <c r="AS17" s="3201">
        <f t="shared" si="13"/>
        <v>-177411.06999999998</v>
      </c>
      <c r="AT17" s="3201">
        <f t="shared" si="14"/>
        <v>-12340.23</v>
      </c>
      <c r="AU17" s="3201">
        <f t="shared" si="15"/>
        <v>-131.04419999999999</v>
      </c>
      <c r="AV17" s="3201">
        <f t="shared" si="16"/>
        <v>12471.2742</v>
      </c>
      <c r="AW17" s="3201">
        <f t="shared" si="17"/>
        <v>37256.324699999997</v>
      </c>
      <c r="BO17" s="3252"/>
      <c r="BP17" s="3252"/>
      <c r="BQ17" s="3255"/>
      <c r="CB17" s="3252"/>
      <c r="CC17" s="3252"/>
      <c r="CD17" s="3255"/>
    </row>
    <row r="18" spans="2:87" ht="15">
      <c r="B18" s="477" t="s">
        <v>2850</v>
      </c>
      <c r="R18" s="3191">
        <v>45777</v>
      </c>
      <c r="S18" s="3187">
        <f t="shared" si="0"/>
        <v>-3744.47</v>
      </c>
      <c r="W18" s="3202">
        <v>45777</v>
      </c>
      <c r="X18" s="3201"/>
      <c r="Y18" s="3201">
        <f t="shared" si="1"/>
        <v>60411.58</v>
      </c>
      <c r="Z18" s="3201">
        <f t="shared" si="2"/>
        <v>-5011.3999999999996</v>
      </c>
      <c r="AA18" s="3199">
        <f t="shared" si="3"/>
        <v>0</v>
      </c>
      <c r="AB18" s="3199">
        <f t="shared" si="4"/>
        <v>-55400.18</v>
      </c>
      <c r="AC18" s="3199"/>
      <c r="AD18" s="3201">
        <f t="shared" si="5"/>
        <v>1158600.4111409606</v>
      </c>
      <c r="AE18" s="3201">
        <f t="shared" si="6"/>
        <v>-12686.4318</v>
      </c>
      <c r="AF18" s="3201">
        <f t="shared" si="7"/>
        <v>1052.3939999999998</v>
      </c>
      <c r="AG18" s="3201">
        <f t="shared" si="8"/>
        <v>11634.0378</v>
      </c>
      <c r="AH18" s="3201">
        <f t="shared" si="9"/>
        <v>335791.52273960179</v>
      </c>
      <c r="AL18" s="3202">
        <v>45412</v>
      </c>
      <c r="AM18" s="3203">
        <v>58763</v>
      </c>
      <c r="AN18" s="3203"/>
      <c r="AO18" s="3201">
        <f t="shared" si="10"/>
        <v>875.42</v>
      </c>
      <c r="AP18" s="3199">
        <f t="shared" si="11"/>
        <v>-235052</v>
      </c>
      <c r="AQ18" s="3199">
        <f t="shared" si="12"/>
        <v>-59638.42</v>
      </c>
      <c r="AR18" s="3199"/>
      <c r="AS18" s="3201">
        <f t="shared" si="13"/>
        <v>-237049.49</v>
      </c>
      <c r="AT18" s="3201">
        <f t="shared" si="14"/>
        <v>-12340.23</v>
      </c>
      <c r="AU18" s="3201">
        <f t="shared" si="15"/>
        <v>-183.83819999999997</v>
      </c>
      <c r="AV18" s="3201">
        <f t="shared" si="16"/>
        <v>12524.0682</v>
      </c>
      <c r="AW18" s="3201">
        <f t="shared" si="17"/>
        <v>49780.392899999999</v>
      </c>
      <c r="BM18" s="2692" t="s">
        <v>764</v>
      </c>
      <c r="BO18" s="3254">
        <f>ROUND(BO16/12,2)</f>
        <v>-102811.86</v>
      </c>
      <c r="BP18" s="3254">
        <f>ROUND(BP16/12,2)</f>
        <v>-46453.7</v>
      </c>
      <c r="BQ18" s="3253"/>
      <c r="BR18" s="3252"/>
      <c r="BS18" s="3251" t="s">
        <v>2935</v>
      </c>
      <c r="BT18" s="3251"/>
      <c r="BU18" s="3250"/>
      <c r="BZ18" s="2692" t="s">
        <v>764</v>
      </c>
      <c r="CB18" s="3254">
        <f>ROUND(CB16/12,2)</f>
        <v>-113051.39</v>
      </c>
      <c r="CC18" s="3254">
        <f>ROUND(CC16/12,2)</f>
        <v>-63370.83</v>
      </c>
      <c r="CD18" s="3253"/>
      <c r="CE18" s="3252"/>
      <c r="CF18" s="3251" t="s">
        <v>2935</v>
      </c>
      <c r="CG18" s="3251"/>
      <c r="CH18" s="3250"/>
    </row>
    <row r="19" spans="2:87" ht="27" thickBot="1">
      <c r="B19" s="477" t="s">
        <v>2849</v>
      </c>
      <c r="R19" s="3192">
        <v>45808</v>
      </c>
      <c r="S19" s="3187">
        <f t="shared" si="0"/>
        <v>-3744.47</v>
      </c>
      <c r="W19" s="3202">
        <v>45808</v>
      </c>
      <c r="X19" s="3201"/>
      <c r="Y19" s="3201">
        <f t="shared" si="1"/>
        <v>60411.58</v>
      </c>
      <c r="Z19" s="3201">
        <f t="shared" si="2"/>
        <v>-4776.87</v>
      </c>
      <c r="AA19" s="3199">
        <f t="shared" si="3"/>
        <v>0</v>
      </c>
      <c r="AB19" s="3199">
        <f t="shared" si="4"/>
        <v>-55634.71</v>
      </c>
      <c r="AC19" s="3199"/>
      <c r="AD19" s="3201">
        <f t="shared" si="5"/>
        <v>1102965.7011409607</v>
      </c>
      <c r="AE19" s="3201">
        <f t="shared" si="6"/>
        <v>-12686.4318</v>
      </c>
      <c r="AF19" s="3201">
        <f t="shared" si="7"/>
        <v>1003.1427</v>
      </c>
      <c r="AG19" s="3201">
        <f t="shared" si="8"/>
        <v>11683.2891</v>
      </c>
      <c r="AH19" s="3201">
        <f t="shared" si="9"/>
        <v>347474.81183960178</v>
      </c>
      <c r="AL19" s="3202">
        <v>45443</v>
      </c>
      <c r="AM19" s="3203">
        <v>58763</v>
      </c>
      <c r="AN19" s="3203"/>
      <c r="AO19" s="3201">
        <f t="shared" si="10"/>
        <v>1127.8900000000001</v>
      </c>
      <c r="AP19" s="3199">
        <f t="shared" si="11"/>
        <v>-293815</v>
      </c>
      <c r="AQ19" s="3199">
        <f t="shared" si="12"/>
        <v>-59890.89</v>
      </c>
      <c r="AR19" s="3199"/>
      <c r="AS19" s="3201">
        <f t="shared" si="13"/>
        <v>-296940.38</v>
      </c>
      <c r="AT19" s="3201">
        <f t="shared" si="14"/>
        <v>-12340.23</v>
      </c>
      <c r="AU19" s="3201">
        <f t="shared" si="15"/>
        <v>-236.85690000000002</v>
      </c>
      <c r="AV19" s="3201">
        <f t="shared" si="16"/>
        <v>12577.0869</v>
      </c>
      <c r="AW19" s="3201">
        <f t="shared" si="17"/>
        <v>62357.479800000001</v>
      </c>
      <c r="BO19" s="3245"/>
      <c r="BP19" s="3245"/>
      <c r="BQ19" s="3245"/>
      <c r="BS19" s="3249" t="s">
        <v>2934</v>
      </c>
      <c r="BT19" s="3249" t="s">
        <v>2933</v>
      </c>
      <c r="BU19" s="3249" t="s">
        <v>2932</v>
      </c>
      <c r="BV19" s="3249" t="s">
        <v>2931</v>
      </c>
      <c r="CB19" s="3245"/>
      <c r="CC19" s="3245"/>
      <c r="CD19" s="3245"/>
      <c r="CF19" s="3249" t="s">
        <v>2934</v>
      </c>
      <c r="CG19" s="3249" t="s">
        <v>2933</v>
      </c>
      <c r="CH19" s="3249" t="s">
        <v>2932</v>
      </c>
      <c r="CI19" s="3249" t="s">
        <v>2931</v>
      </c>
    </row>
    <row r="20" spans="2:87" ht="15.75" thickBot="1">
      <c r="R20" s="3191">
        <v>45838</v>
      </c>
      <c r="S20" s="3187">
        <f t="shared" si="0"/>
        <v>-3744.47</v>
      </c>
      <c r="W20" s="3202">
        <v>45838</v>
      </c>
      <c r="X20" s="3201"/>
      <c r="Y20" s="3201">
        <f t="shared" si="1"/>
        <v>60411.58</v>
      </c>
      <c r="Z20" s="3201">
        <f t="shared" si="2"/>
        <v>-4541.3500000000004</v>
      </c>
      <c r="AA20" s="3199">
        <f t="shared" si="3"/>
        <v>0</v>
      </c>
      <c r="AB20" s="3199">
        <f t="shared" si="4"/>
        <v>-55870.23</v>
      </c>
      <c r="AC20" s="3199"/>
      <c r="AD20" s="3201">
        <f t="shared" si="5"/>
        <v>1047095.4711409607</v>
      </c>
      <c r="AE20" s="3201">
        <f t="shared" si="6"/>
        <v>-12686.4318</v>
      </c>
      <c r="AF20" s="3201">
        <f t="shared" si="7"/>
        <v>953.68350000000009</v>
      </c>
      <c r="AG20" s="3201">
        <f t="shared" si="8"/>
        <v>11732.748299999999</v>
      </c>
      <c r="AH20" s="3201">
        <f t="shared" si="9"/>
        <v>359207.56013960176</v>
      </c>
      <c r="AL20" s="3202">
        <v>45473</v>
      </c>
      <c r="AM20" s="3203">
        <v>58763</v>
      </c>
      <c r="AN20" s="3203"/>
      <c r="AO20" s="3201">
        <f t="shared" si="10"/>
        <v>1381.43</v>
      </c>
      <c r="AP20" s="3199">
        <f t="shared" si="11"/>
        <v>-352578</v>
      </c>
      <c r="AQ20" s="3199">
        <f t="shared" si="12"/>
        <v>-60144.43</v>
      </c>
      <c r="AR20" s="3199"/>
      <c r="AS20" s="3201">
        <f t="shared" si="13"/>
        <v>-357084.81</v>
      </c>
      <c r="AT20" s="3201">
        <f t="shared" si="14"/>
        <v>-12340.23</v>
      </c>
      <c r="AU20" s="3201">
        <f t="shared" si="15"/>
        <v>-290.1003</v>
      </c>
      <c r="AV20" s="3201">
        <f t="shared" si="16"/>
        <v>12630.3303</v>
      </c>
      <c r="AW20" s="3201">
        <f t="shared" si="17"/>
        <v>74987.810100000002</v>
      </c>
      <c r="BB20" s="3236" t="s">
        <v>2925</v>
      </c>
      <c r="BC20" s="3235" t="s">
        <v>2924</v>
      </c>
      <c r="BD20" s="3235" t="s">
        <v>2923</v>
      </c>
      <c r="BE20" s="3235" t="s">
        <v>2922</v>
      </c>
      <c r="BF20" s="3235" t="s">
        <v>2921</v>
      </c>
      <c r="BH20" s="954" t="s">
        <v>2920</v>
      </c>
      <c r="BI20" s="954" t="s">
        <v>2919</v>
      </c>
      <c r="BJ20" s="954" t="s">
        <v>24</v>
      </c>
      <c r="BM20" s="2692" t="s">
        <v>2930</v>
      </c>
      <c r="BO20" s="3935">
        <v>407443</v>
      </c>
      <c r="BP20" s="3936"/>
      <c r="BQ20" s="3935">
        <v>182343</v>
      </c>
      <c r="BR20" s="3936"/>
      <c r="BS20" s="3249" t="s">
        <v>2451</v>
      </c>
      <c r="BT20" s="3249" t="s">
        <v>2451</v>
      </c>
      <c r="BU20" s="3248" t="s">
        <v>2151</v>
      </c>
      <c r="BV20" s="3248" t="s">
        <v>2151</v>
      </c>
      <c r="BZ20" s="2692" t="s">
        <v>2930</v>
      </c>
      <c r="CB20" s="3935">
        <v>407443</v>
      </c>
      <c r="CC20" s="3936"/>
      <c r="CD20" s="3935">
        <v>182343</v>
      </c>
      <c r="CE20" s="3936"/>
      <c r="CF20" s="3249" t="s">
        <v>2451</v>
      </c>
      <c r="CG20" s="3249" t="s">
        <v>2451</v>
      </c>
      <c r="CH20" s="3248" t="s">
        <v>2151</v>
      </c>
      <c r="CI20" s="3248" t="s">
        <v>2151</v>
      </c>
    </row>
    <row r="21" spans="2:87" ht="15">
      <c r="R21" s="3191">
        <v>45869</v>
      </c>
      <c r="S21" s="3187">
        <f t="shared" si="0"/>
        <v>-3744.47</v>
      </c>
      <c r="W21" s="3202">
        <v>45869</v>
      </c>
      <c r="X21" s="3201"/>
      <c r="Y21" s="3201">
        <f t="shared" si="1"/>
        <v>60411.58</v>
      </c>
      <c r="Z21" s="3201">
        <f t="shared" si="2"/>
        <v>-4304.83</v>
      </c>
      <c r="AA21" s="3199">
        <f t="shared" si="3"/>
        <v>0</v>
      </c>
      <c r="AB21" s="3199">
        <f t="shared" si="4"/>
        <v>-56106.75</v>
      </c>
      <c r="AC21" s="3199"/>
      <c r="AD21" s="3201">
        <f t="shared" si="5"/>
        <v>990988.7211409607</v>
      </c>
      <c r="AE21" s="3201">
        <f t="shared" si="6"/>
        <v>-12686.4318</v>
      </c>
      <c r="AF21" s="3201">
        <f t="shared" si="7"/>
        <v>904.01429999999993</v>
      </c>
      <c r="AG21" s="3201">
        <f t="shared" si="8"/>
        <v>11782.4175</v>
      </c>
      <c r="AH21" s="3201">
        <f t="shared" si="9"/>
        <v>370989.97763960174</v>
      </c>
      <c r="AL21" s="3202">
        <v>45504</v>
      </c>
      <c r="AM21" s="3203">
        <v>58763</v>
      </c>
      <c r="AN21" s="3203"/>
      <c r="AO21" s="3201">
        <f t="shared" si="10"/>
        <v>1636.04</v>
      </c>
      <c r="AP21" s="3199">
        <f t="shared" si="11"/>
        <v>-411341</v>
      </c>
      <c r="AQ21" s="3199">
        <f t="shared" si="12"/>
        <v>-60399.040000000001</v>
      </c>
      <c r="AR21" s="3199"/>
      <c r="AS21" s="3201">
        <f t="shared" si="13"/>
        <v>-417483.85</v>
      </c>
      <c r="AT21" s="3201">
        <f t="shared" si="14"/>
        <v>-12340.23</v>
      </c>
      <c r="AU21" s="3201">
        <f t="shared" si="15"/>
        <v>-343.5684</v>
      </c>
      <c r="AV21" s="3201">
        <f t="shared" si="16"/>
        <v>12683.7984</v>
      </c>
      <c r="AW21" s="3201">
        <f t="shared" si="17"/>
        <v>87671.608500000002</v>
      </c>
      <c r="BB21" s="182" t="s">
        <v>2918</v>
      </c>
      <c r="BC21" s="1008" t="s">
        <v>2917</v>
      </c>
      <c r="BD21" s="477" t="s">
        <v>681</v>
      </c>
      <c r="BE21" s="477" t="s">
        <v>763</v>
      </c>
      <c r="BF21" s="2821">
        <v>2297868.02</v>
      </c>
      <c r="BH21" s="1082">
        <f>SUM(BF21:BF23)</f>
        <v>2109589.7599999998</v>
      </c>
      <c r="BI21" s="1082">
        <f>SUM(BF24:BF26)</f>
        <v>-89867.200000000186</v>
      </c>
      <c r="BJ21" s="1082">
        <f>SUM(BH21:BI21)</f>
        <v>2019722.5599999996</v>
      </c>
      <c r="BM21" s="2692" t="s">
        <v>2929</v>
      </c>
      <c r="BO21" s="3247" t="s">
        <v>968</v>
      </c>
      <c r="BP21" s="3247" t="s">
        <v>971</v>
      </c>
      <c r="BQ21" s="3247" t="s">
        <v>968</v>
      </c>
      <c r="BR21" s="3247" t="s">
        <v>971</v>
      </c>
      <c r="BS21" s="3246">
        <v>4.879E-2</v>
      </c>
      <c r="BT21" s="3246">
        <v>4.879E-2</v>
      </c>
      <c r="BU21" s="3245">
        <v>0</v>
      </c>
      <c r="BV21" s="3245">
        <v>0</v>
      </c>
      <c r="CB21" s="3247" t="s">
        <v>968</v>
      </c>
      <c r="CC21" s="3247" t="s">
        <v>971</v>
      </c>
      <c r="CD21" s="3247" t="s">
        <v>968</v>
      </c>
      <c r="CE21" s="3247" t="s">
        <v>971</v>
      </c>
      <c r="CF21" s="3263">
        <v>4.9000000000000002E-2</v>
      </c>
      <c r="CG21" s="3246">
        <v>4.879E-2</v>
      </c>
      <c r="CH21" s="3245">
        <v>0</v>
      </c>
      <c r="CI21" s="3245">
        <v>0</v>
      </c>
    </row>
    <row r="22" spans="2:87" ht="15">
      <c r="R22" s="3192">
        <v>45900</v>
      </c>
      <c r="S22" s="3187">
        <f t="shared" si="0"/>
        <v>-3744.47</v>
      </c>
      <c r="W22" s="3202">
        <v>45900</v>
      </c>
      <c r="X22" s="3201"/>
      <c r="Y22" s="3201">
        <f t="shared" si="1"/>
        <v>60411.58</v>
      </c>
      <c r="Z22" s="3201">
        <f t="shared" si="2"/>
        <v>-4067.31</v>
      </c>
      <c r="AA22" s="3199">
        <f t="shared" si="3"/>
        <v>0</v>
      </c>
      <c r="AB22" s="3199">
        <f t="shared" si="4"/>
        <v>-56344.270000000004</v>
      </c>
      <c r="AC22" s="3199"/>
      <c r="AD22" s="3201">
        <f t="shared" si="5"/>
        <v>934644.45114096079</v>
      </c>
      <c r="AE22" s="3201">
        <f t="shared" si="6"/>
        <v>-12686.4318</v>
      </c>
      <c r="AF22" s="3201">
        <f t="shared" si="7"/>
        <v>854.13509999999997</v>
      </c>
      <c r="AG22" s="3201">
        <f t="shared" si="8"/>
        <v>11832.296700000001</v>
      </c>
      <c r="AH22" s="3201">
        <f t="shared" si="9"/>
        <v>382822.27433960175</v>
      </c>
      <c r="AL22" s="3202">
        <v>45535</v>
      </c>
      <c r="AM22" s="3203">
        <v>58763</v>
      </c>
      <c r="AN22" s="3203"/>
      <c r="AO22" s="3201">
        <f t="shared" si="10"/>
        <v>1891.73</v>
      </c>
      <c r="AP22" s="3199">
        <f t="shared" si="11"/>
        <v>-470104</v>
      </c>
      <c r="AQ22" s="3199">
        <f t="shared" si="12"/>
        <v>-60654.73</v>
      </c>
      <c r="AR22" s="3199"/>
      <c r="AS22" s="3201">
        <f t="shared" si="13"/>
        <v>-478138.57999999996</v>
      </c>
      <c r="AT22" s="3201">
        <f t="shared" si="14"/>
        <v>-12340.23</v>
      </c>
      <c r="AU22" s="3201">
        <f t="shared" si="15"/>
        <v>-397.26330000000002</v>
      </c>
      <c r="AV22" s="3201">
        <f t="shared" si="16"/>
        <v>12737.4933</v>
      </c>
      <c r="AW22" s="3201">
        <f t="shared" si="17"/>
        <v>100409.1018</v>
      </c>
      <c r="BB22" s="182" t="s">
        <v>2916</v>
      </c>
      <c r="BC22" s="1008" t="s">
        <v>2915</v>
      </c>
      <c r="BD22" s="477" t="s">
        <v>681</v>
      </c>
      <c r="BE22" s="477" t="s">
        <v>763</v>
      </c>
      <c r="BF22" s="2821">
        <v>5338074.74</v>
      </c>
      <c r="BM22" s="2692" t="s">
        <v>852</v>
      </c>
      <c r="BO22" s="3243">
        <v>0</v>
      </c>
      <c r="BP22" s="3243">
        <v>0</v>
      </c>
      <c r="BQ22" s="3243">
        <f t="shared" ref="BQ22:BQ33" si="18">-BO22</f>
        <v>0</v>
      </c>
      <c r="BR22" s="3243">
        <f t="shared" ref="BR22:BR33" si="19">-BP22</f>
        <v>0</v>
      </c>
      <c r="BS22" s="3245">
        <f t="shared" ref="BS22:BS33" si="20">(BU21+BQ22/2)*BS$21/12</f>
        <v>0</v>
      </c>
      <c r="BT22" s="3245">
        <f t="shared" ref="BT22:BT33" si="21">(BV21+BR22/2)*BT$21/12</f>
        <v>0</v>
      </c>
      <c r="BU22" s="3245">
        <f t="shared" ref="BU22:BU33" si="22">BU21+BQ22+BS22</f>
        <v>0</v>
      </c>
      <c r="BV22" s="3245">
        <f>BV21+BR22+BU22</f>
        <v>0</v>
      </c>
      <c r="BZ22" s="2692" t="s">
        <v>852</v>
      </c>
      <c r="CB22" s="3243">
        <f t="shared" ref="CB22:CB33" si="23">+$CB$18</f>
        <v>-113051.39</v>
      </c>
      <c r="CC22" s="3243">
        <f t="shared" ref="CC22:CC33" si="24">+$CC$18</f>
        <v>-63370.83</v>
      </c>
      <c r="CD22" s="3243">
        <f t="shared" ref="CD22:CD33" si="25">-CB22</f>
        <v>113051.39</v>
      </c>
      <c r="CE22" s="3243">
        <f t="shared" ref="CE22:CE33" si="26">-CC22</f>
        <v>63370.83</v>
      </c>
      <c r="CF22" s="3245">
        <f t="shared" ref="CF22:CF33" si="27">(CH21+CD22/2)*CF$21/12</f>
        <v>230.81325458333333</v>
      </c>
      <c r="CG22" s="3239">
        <f t="shared" ref="CG22:CG33" si="28">(CI21+CE22/2)*CG$21/12</f>
        <v>128.82761648749999</v>
      </c>
      <c r="CH22" s="3245">
        <f t="shared" ref="CH22:CH33" si="29">CH21+CD22+CF22</f>
        <v>113282.20325458334</v>
      </c>
      <c r="CI22" s="3239">
        <f t="shared" ref="CI22:CI33" si="30">CI21+CE22+CG22</f>
        <v>63499.6576164875</v>
      </c>
    </row>
    <row r="23" spans="2:87" ht="15">
      <c r="R23" s="3192">
        <v>45930</v>
      </c>
      <c r="S23" s="3187">
        <f t="shared" si="0"/>
        <v>-3744.47</v>
      </c>
      <c r="W23" s="3202">
        <v>45930</v>
      </c>
      <c r="X23" s="3201"/>
      <c r="Y23" s="3201">
        <f t="shared" si="1"/>
        <v>60411.58</v>
      </c>
      <c r="Z23" s="3201">
        <f t="shared" si="2"/>
        <v>-3828.79</v>
      </c>
      <c r="AA23" s="3199">
        <f t="shared" si="3"/>
        <v>0</v>
      </c>
      <c r="AB23" s="3199">
        <f t="shared" si="4"/>
        <v>-56582.79</v>
      </c>
      <c r="AC23" s="3199"/>
      <c r="AD23" s="3201">
        <f t="shared" si="5"/>
        <v>878061.66114096087</v>
      </c>
      <c r="AE23" s="3201">
        <f t="shared" si="6"/>
        <v>-12686.4318</v>
      </c>
      <c r="AF23" s="3201">
        <f t="shared" si="7"/>
        <v>804.04589999999996</v>
      </c>
      <c r="AG23" s="3201">
        <f t="shared" si="8"/>
        <v>11882.385900000001</v>
      </c>
      <c r="AH23" s="3201">
        <f t="shared" si="9"/>
        <v>394704.66023960174</v>
      </c>
      <c r="AL23" s="3202">
        <v>45565</v>
      </c>
      <c r="AM23" s="3203">
        <v>58763</v>
      </c>
      <c r="AN23" s="3203"/>
      <c r="AO23" s="3201">
        <f t="shared" si="10"/>
        <v>2148.5</v>
      </c>
      <c r="AP23" s="3199">
        <f t="shared" si="11"/>
        <v>-528867</v>
      </c>
      <c r="AQ23" s="3199">
        <f t="shared" si="12"/>
        <v>-60911.5</v>
      </c>
      <c r="AR23" s="3199"/>
      <c r="AS23" s="3201">
        <f t="shared" si="13"/>
        <v>-539050.07999999996</v>
      </c>
      <c r="AT23" s="3201">
        <f t="shared" si="14"/>
        <v>-12340.23</v>
      </c>
      <c r="AU23" s="3201">
        <f t="shared" si="15"/>
        <v>-451.185</v>
      </c>
      <c r="AV23" s="3201">
        <f t="shared" si="16"/>
        <v>12791.414999999999</v>
      </c>
      <c r="AW23" s="3201">
        <f t="shared" si="17"/>
        <v>113200.5168</v>
      </c>
      <c r="BB23" s="182" t="s">
        <v>2914</v>
      </c>
      <c r="BC23" s="1008" t="s">
        <v>2913</v>
      </c>
      <c r="BD23" s="477" t="s">
        <v>681</v>
      </c>
      <c r="BE23" s="477" t="s">
        <v>763</v>
      </c>
      <c r="BF23" s="2821">
        <v>-5526353</v>
      </c>
      <c r="BM23" s="2692" t="s">
        <v>851</v>
      </c>
      <c r="BO23" s="3243">
        <f>+BO18*2</f>
        <v>-205623.72</v>
      </c>
      <c r="BP23" s="3243">
        <f>+BP18*2</f>
        <v>-92907.4</v>
      </c>
      <c r="BQ23" s="3243">
        <f t="shared" si="18"/>
        <v>205623.72</v>
      </c>
      <c r="BR23" s="3243">
        <f t="shared" si="19"/>
        <v>92907.4</v>
      </c>
      <c r="BS23" s="3239">
        <f t="shared" si="20"/>
        <v>418.01588745000004</v>
      </c>
      <c r="BT23" s="3239">
        <f t="shared" si="21"/>
        <v>188.87300191666665</v>
      </c>
      <c r="BU23" s="3239">
        <f t="shared" si="22"/>
        <v>206041.73588744999</v>
      </c>
      <c r="BV23" s="3239">
        <f t="shared" ref="BV23:BV33" si="31">BV22+BR23+BT23</f>
        <v>93096.273001916663</v>
      </c>
      <c r="BZ23" s="2692" t="s">
        <v>851</v>
      </c>
      <c r="CB23" s="3243">
        <f t="shared" si="23"/>
        <v>-113051.39</v>
      </c>
      <c r="CC23" s="3243">
        <f t="shared" si="24"/>
        <v>-63370.83</v>
      </c>
      <c r="CD23" s="3243">
        <f t="shared" si="25"/>
        <v>113051.39</v>
      </c>
      <c r="CE23" s="3243">
        <f t="shared" si="26"/>
        <v>63370.83</v>
      </c>
      <c r="CF23" s="3245">
        <f t="shared" si="27"/>
        <v>693.3822512062153</v>
      </c>
      <c r="CG23" s="3239">
        <f t="shared" si="28"/>
        <v>387.00664107986881</v>
      </c>
      <c r="CH23" s="3245">
        <f t="shared" si="29"/>
        <v>227026.97550578954</v>
      </c>
      <c r="CI23" s="3239">
        <f t="shared" si="30"/>
        <v>127257.49425756738</v>
      </c>
    </row>
    <row r="24" spans="2:87" ht="15">
      <c r="R24" s="3191">
        <v>45961</v>
      </c>
      <c r="S24" s="3187">
        <f t="shared" si="0"/>
        <v>-3744.47</v>
      </c>
      <c r="W24" s="3202">
        <v>45961</v>
      </c>
      <c r="X24" s="3201"/>
      <c r="Y24" s="3201">
        <f t="shared" si="1"/>
        <v>60411.58</v>
      </c>
      <c r="Z24" s="3201">
        <f t="shared" si="2"/>
        <v>-3589.26</v>
      </c>
      <c r="AA24" s="3199">
        <f t="shared" si="3"/>
        <v>0</v>
      </c>
      <c r="AB24" s="3199">
        <f t="shared" si="4"/>
        <v>-56822.32</v>
      </c>
      <c r="AC24" s="3199"/>
      <c r="AD24" s="3201">
        <f t="shared" si="5"/>
        <v>821239.34114096093</v>
      </c>
      <c r="AE24" s="3201">
        <f t="shared" si="6"/>
        <v>-12686.4318</v>
      </c>
      <c r="AF24" s="3201">
        <f t="shared" si="7"/>
        <v>753.74459999999999</v>
      </c>
      <c r="AG24" s="3201">
        <f t="shared" si="8"/>
        <v>11932.6872</v>
      </c>
      <c r="AH24" s="3201">
        <f t="shared" si="9"/>
        <v>406637.34743960173</v>
      </c>
      <c r="AL24" s="3202">
        <v>45596</v>
      </c>
      <c r="AM24" s="3203">
        <v>58763</v>
      </c>
      <c r="AN24" s="3203"/>
      <c r="AO24" s="3201">
        <f t="shared" si="10"/>
        <v>2406.36</v>
      </c>
      <c r="AP24" s="3199">
        <f t="shared" si="11"/>
        <v>-587630</v>
      </c>
      <c r="AQ24" s="3199">
        <f t="shared" si="12"/>
        <v>-61169.36</v>
      </c>
      <c r="AR24" s="3199"/>
      <c r="AS24" s="3201">
        <f t="shared" si="13"/>
        <v>-600219.43999999994</v>
      </c>
      <c r="AT24" s="3201">
        <f t="shared" si="14"/>
        <v>-12340.23</v>
      </c>
      <c r="AU24" s="3201">
        <f t="shared" si="15"/>
        <v>-505.3356</v>
      </c>
      <c r="AV24" s="3201">
        <f t="shared" si="16"/>
        <v>12845.5656</v>
      </c>
      <c r="AW24" s="3201">
        <f t="shared" si="17"/>
        <v>126046.0824</v>
      </c>
      <c r="BB24" s="182" t="s">
        <v>2918</v>
      </c>
      <c r="BC24" s="1008" t="s">
        <v>2917</v>
      </c>
      <c r="BD24" s="477" t="s">
        <v>680</v>
      </c>
      <c r="BE24" s="477" t="s">
        <v>763</v>
      </c>
      <c r="BF24" s="2821">
        <v>953914.54</v>
      </c>
      <c r="BM24" s="2692" t="s">
        <v>850</v>
      </c>
      <c r="BO24" s="3243">
        <f t="shared" ref="BO24:BO33" si="32">+$BO$18</f>
        <v>-102811.86</v>
      </c>
      <c r="BP24" s="3243">
        <f t="shared" ref="BP24:BP33" si="33">+$BP$18</f>
        <v>-46453.7</v>
      </c>
      <c r="BQ24" s="3243">
        <f t="shared" si="18"/>
        <v>102811.86</v>
      </c>
      <c r="BR24" s="3243">
        <f t="shared" si="19"/>
        <v>46453.7</v>
      </c>
      <c r="BS24" s="3239">
        <f t="shared" si="20"/>
        <v>1046.7393015540572</v>
      </c>
      <c r="BT24" s="3239">
        <f t="shared" si="21"/>
        <v>472.95043093862614</v>
      </c>
      <c r="BU24" s="3239">
        <f t="shared" si="22"/>
        <v>309900.33518900402</v>
      </c>
      <c r="BV24" s="3239">
        <f t="shared" si="31"/>
        <v>140022.92343285528</v>
      </c>
      <c r="BZ24" s="2692" t="s">
        <v>850</v>
      </c>
      <c r="CB24" s="3243">
        <f t="shared" si="23"/>
        <v>-113051.39</v>
      </c>
      <c r="CC24" s="3243">
        <f t="shared" si="24"/>
        <v>-63370.83</v>
      </c>
      <c r="CD24" s="3243">
        <f t="shared" si="25"/>
        <v>113051.39</v>
      </c>
      <c r="CE24" s="3243">
        <f t="shared" si="26"/>
        <v>63370.83</v>
      </c>
      <c r="CF24" s="3245">
        <f t="shared" si="27"/>
        <v>1157.8400712319738</v>
      </c>
      <c r="CG24" s="3239">
        <f t="shared" si="28"/>
        <v>646.23537855639267</v>
      </c>
      <c r="CH24" s="3245">
        <f t="shared" si="29"/>
        <v>341236.20557702152</v>
      </c>
      <c r="CI24" s="3239">
        <f t="shared" si="30"/>
        <v>191274.55963612377</v>
      </c>
    </row>
    <row r="25" spans="2:87" ht="15">
      <c r="R25" s="3191">
        <v>45991</v>
      </c>
      <c r="S25" s="3187">
        <f t="shared" si="0"/>
        <v>-3744.47</v>
      </c>
      <c r="W25" s="3202">
        <v>45991</v>
      </c>
      <c r="X25" s="3201"/>
      <c r="Y25" s="3201">
        <f t="shared" si="1"/>
        <v>60411.58</v>
      </c>
      <c r="Z25" s="3201">
        <f t="shared" si="2"/>
        <v>-3348.71</v>
      </c>
      <c r="AA25" s="3199">
        <f t="shared" si="3"/>
        <v>0</v>
      </c>
      <c r="AB25" s="3199">
        <f t="shared" si="4"/>
        <v>-57062.87</v>
      </c>
      <c r="AC25" s="3199"/>
      <c r="AD25" s="3201">
        <f t="shared" si="5"/>
        <v>764176.47114096093</v>
      </c>
      <c r="AE25" s="3201">
        <f t="shared" si="6"/>
        <v>-12686.4318</v>
      </c>
      <c r="AF25" s="3201">
        <f t="shared" si="7"/>
        <v>703.22910000000002</v>
      </c>
      <c r="AG25" s="3201">
        <f t="shared" si="8"/>
        <v>11983.2027</v>
      </c>
      <c r="AH25" s="3201">
        <f t="shared" si="9"/>
        <v>418620.55013960175</v>
      </c>
      <c r="AL25" s="3202">
        <v>45626</v>
      </c>
      <c r="AM25" s="3203">
        <v>58763</v>
      </c>
      <c r="AN25" s="3203"/>
      <c r="AO25" s="3201">
        <f t="shared" si="10"/>
        <v>2665.31</v>
      </c>
      <c r="AP25" s="3199">
        <f t="shared" si="11"/>
        <v>-646393</v>
      </c>
      <c r="AQ25" s="3199">
        <f t="shared" si="12"/>
        <v>-61428.31</v>
      </c>
      <c r="AR25" s="3199"/>
      <c r="AS25" s="3201">
        <f t="shared" si="13"/>
        <v>-661647.75</v>
      </c>
      <c r="AT25" s="3201">
        <f t="shared" si="14"/>
        <v>-12340.23</v>
      </c>
      <c r="AU25" s="3201">
        <f t="shared" si="15"/>
        <v>-559.71510000000001</v>
      </c>
      <c r="AV25" s="3201">
        <f t="shared" si="16"/>
        <v>12899.945099999999</v>
      </c>
      <c r="AW25" s="3201">
        <f t="shared" si="17"/>
        <v>138946.0275</v>
      </c>
      <c r="BB25" s="182" t="s">
        <v>2916</v>
      </c>
      <c r="BC25" s="1008" t="s">
        <v>2915</v>
      </c>
      <c r="BD25" s="477" t="s">
        <v>680</v>
      </c>
      <c r="BE25" s="477" t="s">
        <v>763</v>
      </c>
      <c r="BF25" s="2821">
        <v>1178965.26</v>
      </c>
      <c r="BM25" s="2692" t="s">
        <v>848</v>
      </c>
      <c r="BO25" s="3243">
        <f t="shared" si="32"/>
        <v>-102811.86</v>
      </c>
      <c r="BP25" s="3243">
        <f t="shared" si="33"/>
        <v>-46453.7</v>
      </c>
      <c r="BQ25" s="3243">
        <f t="shared" si="18"/>
        <v>102811.86</v>
      </c>
      <c r="BR25" s="3243">
        <f t="shared" si="19"/>
        <v>46453.7</v>
      </c>
      <c r="BS25" s="3239">
        <f t="shared" si="20"/>
        <v>1469.0110565476255</v>
      </c>
      <c r="BT25" s="3239">
        <f t="shared" si="21"/>
        <v>663.74637048241743</v>
      </c>
      <c r="BU25" s="3239">
        <f t="shared" si="22"/>
        <v>414181.20624555164</v>
      </c>
      <c r="BV25" s="3239">
        <f t="shared" si="31"/>
        <v>187140.3698033377</v>
      </c>
      <c r="BZ25" s="2692" t="s">
        <v>848</v>
      </c>
      <c r="CB25" s="3243">
        <f t="shared" si="23"/>
        <v>-113051.39</v>
      </c>
      <c r="CC25" s="3243">
        <f t="shared" si="24"/>
        <v>-63370.83</v>
      </c>
      <c r="CD25" s="3243">
        <f t="shared" si="25"/>
        <v>113051.39</v>
      </c>
      <c r="CE25" s="3243">
        <f t="shared" si="26"/>
        <v>63370.83</v>
      </c>
      <c r="CF25" s="3245">
        <f t="shared" si="27"/>
        <v>1624.1944273561712</v>
      </c>
      <c r="CG25" s="3239">
        <f t="shared" si="28"/>
        <v>906.51809687470666</v>
      </c>
      <c r="CH25" s="3245">
        <f t="shared" si="29"/>
        <v>455911.79000437772</v>
      </c>
      <c r="CI25" s="3239">
        <f t="shared" si="30"/>
        <v>255551.90773299849</v>
      </c>
    </row>
    <row r="26" spans="2:87" ht="15">
      <c r="R26" s="3192">
        <v>46022</v>
      </c>
      <c r="S26" s="3187">
        <f t="shared" si="0"/>
        <v>-3744.47</v>
      </c>
      <c r="W26" s="3202">
        <v>46022</v>
      </c>
      <c r="X26" s="3201"/>
      <c r="Y26" s="3201">
        <f t="shared" si="1"/>
        <v>60411.58</v>
      </c>
      <c r="Z26" s="3201">
        <f t="shared" si="2"/>
        <v>-3107.14</v>
      </c>
      <c r="AA26" s="3199">
        <f t="shared" si="3"/>
        <v>0</v>
      </c>
      <c r="AB26" s="3199">
        <f t="shared" si="4"/>
        <v>-57304.44</v>
      </c>
      <c r="AC26" s="3199"/>
      <c r="AD26" s="3201">
        <f t="shared" si="5"/>
        <v>706872.03114096099</v>
      </c>
      <c r="AE26" s="3201">
        <f t="shared" si="6"/>
        <v>-12686.4318</v>
      </c>
      <c r="AF26" s="3201">
        <f t="shared" si="7"/>
        <v>652.49939999999992</v>
      </c>
      <c r="AG26" s="3201">
        <f t="shared" si="8"/>
        <v>12033.9324</v>
      </c>
      <c r="AH26" s="3201">
        <f t="shared" si="9"/>
        <v>430654.48253960174</v>
      </c>
      <c r="AL26" s="3202">
        <v>45657</v>
      </c>
      <c r="AM26" s="3203">
        <v>58763</v>
      </c>
      <c r="AN26" s="3203"/>
      <c r="AO26" s="3201">
        <f t="shared" si="10"/>
        <v>2925.36</v>
      </c>
      <c r="AP26" s="3199">
        <f t="shared" si="11"/>
        <v>-705156</v>
      </c>
      <c r="AQ26" s="3199">
        <f t="shared" si="12"/>
        <v>-61688.36</v>
      </c>
      <c r="AR26" s="3199"/>
      <c r="AS26" s="3233">
        <f t="shared" si="13"/>
        <v>-723336.11</v>
      </c>
      <c r="AT26" s="3201">
        <f t="shared" si="14"/>
        <v>-12340.23</v>
      </c>
      <c r="AU26" s="3201">
        <f t="shared" si="15"/>
        <v>-614.32560000000001</v>
      </c>
      <c r="AV26" s="3201">
        <f t="shared" si="16"/>
        <v>12954.5556</v>
      </c>
      <c r="AW26" s="3201">
        <f t="shared" si="17"/>
        <v>151900.58309999999</v>
      </c>
      <c r="BB26" s="182" t="s">
        <v>2914</v>
      </c>
      <c r="BC26" s="1008" t="s">
        <v>2913</v>
      </c>
      <c r="BD26" s="477" t="s">
        <v>680</v>
      </c>
      <c r="BE26" s="477" t="s">
        <v>763</v>
      </c>
      <c r="BF26" s="3234">
        <v>-2222747</v>
      </c>
      <c r="BM26" s="2692" t="s">
        <v>846</v>
      </c>
      <c r="BO26" s="3243">
        <f t="shared" si="32"/>
        <v>-102811.86</v>
      </c>
      <c r="BP26" s="3243">
        <f t="shared" si="33"/>
        <v>-46453.7</v>
      </c>
      <c r="BQ26" s="3243">
        <f t="shared" si="18"/>
        <v>102811.86</v>
      </c>
      <c r="BR26" s="3243">
        <f t="shared" si="19"/>
        <v>46453.7</v>
      </c>
      <c r="BS26" s="3239">
        <f t="shared" si="20"/>
        <v>1892.999698118372</v>
      </c>
      <c r="BT26" s="3239">
        <f t="shared" si="21"/>
        <v>855.31805451707066</v>
      </c>
      <c r="BU26" s="3239">
        <f t="shared" si="22"/>
        <v>518886.06594366999</v>
      </c>
      <c r="BV26" s="3239">
        <f t="shared" si="31"/>
        <v>234449.38785785474</v>
      </c>
      <c r="BZ26" s="2692" t="s">
        <v>846</v>
      </c>
      <c r="CB26" s="3243">
        <f t="shared" si="23"/>
        <v>-113051.39</v>
      </c>
      <c r="CC26" s="3243">
        <f t="shared" si="24"/>
        <v>-63370.83</v>
      </c>
      <c r="CD26" s="3243">
        <f t="shared" si="25"/>
        <v>113051.39</v>
      </c>
      <c r="CE26" s="3243">
        <f t="shared" si="26"/>
        <v>63370.83</v>
      </c>
      <c r="CF26" s="3245">
        <f t="shared" si="27"/>
        <v>2092.4530637678758</v>
      </c>
      <c r="CG26" s="3239">
        <f t="shared" si="28"/>
        <v>1167.8590813452495</v>
      </c>
      <c r="CH26" s="3245">
        <f t="shared" si="29"/>
        <v>571055.6330681456</v>
      </c>
      <c r="CI26" s="3239">
        <f t="shared" si="30"/>
        <v>320090.59681434376</v>
      </c>
    </row>
    <row r="27" spans="2:87" ht="15">
      <c r="R27" s="3191">
        <v>46053</v>
      </c>
      <c r="S27" s="3187">
        <f t="shared" si="0"/>
        <v>-3744.47</v>
      </c>
      <c r="W27" s="3202">
        <v>46053</v>
      </c>
      <c r="X27" s="3201"/>
      <c r="Y27" s="3201">
        <f t="shared" si="1"/>
        <v>60411.58</v>
      </c>
      <c r="Z27" s="3201">
        <f t="shared" si="2"/>
        <v>-2864.55</v>
      </c>
      <c r="AA27" s="3199">
        <f t="shared" si="3"/>
        <v>0</v>
      </c>
      <c r="AB27" s="3199">
        <f t="shared" si="4"/>
        <v>-57547.03</v>
      </c>
      <c r="AC27" s="3199"/>
      <c r="AD27" s="3201">
        <f t="shared" si="5"/>
        <v>649325.00114096107</v>
      </c>
      <c r="AE27" s="3201">
        <f t="shared" si="6"/>
        <v>-12686.4318</v>
      </c>
      <c r="AF27" s="3201">
        <f t="shared" si="7"/>
        <v>601.55550000000005</v>
      </c>
      <c r="AG27" s="3201">
        <f t="shared" si="8"/>
        <v>12084.8763</v>
      </c>
      <c r="AH27" s="3201">
        <f t="shared" si="9"/>
        <v>442739.35883960174</v>
      </c>
      <c r="AL27" s="3202">
        <v>45688</v>
      </c>
      <c r="AM27" s="3201"/>
      <c r="AN27" s="3201">
        <f t="shared" ref="AN27:AN49" si="34">ROUND((AP26+$AO$52)/$AO$10,2)</f>
        <v>-31692.6</v>
      </c>
      <c r="AO27" s="3201">
        <f t="shared" si="10"/>
        <v>2995.04</v>
      </c>
      <c r="AP27" s="3199">
        <f t="shared" si="11"/>
        <v>-705156</v>
      </c>
      <c r="AQ27" s="3199">
        <f t="shared" si="12"/>
        <v>28697.559999999998</v>
      </c>
      <c r="AR27" s="3199"/>
      <c r="AS27" s="3201">
        <f t="shared" si="13"/>
        <v>-694638.55</v>
      </c>
      <c r="AT27" s="3201">
        <f t="shared" si="14"/>
        <v>6655.445999999999</v>
      </c>
      <c r="AU27" s="3201">
        <f t="shared" si="15"/>
        <v>-628.95839999999998</v>
      </c>
      <c r="AV27" s="3201">
        <f t="shared" si="16"/>
        <v>-6026.4875999999986</v>
      </c>
      <c r="AW27" s="3201">
        <f t="shared" si="17"/>
        <v>145874.0955</v>
      </c>
      <c r="BF27" s="1082">
        <f>SUM(BF21:BF26)</f>
        <v>2019722.5599999996</v>
      </c>
      <c r="BM27" s="2692" t="s">
        <v>844</v>
      </c>
      <c r="BO27" s="3243">
        <f t="shared" si="32"/>
        <v>-102811.86</v>
      </c>
      <c r="BP27" s="3243">
        <f t="shared" si="33"/>
        <v>-46453.7</v>
      </c>
      <c r="BQ27" s="3243">
        <f t="shared" si="18"/>
        <v>102811.86</v>
      </c>
      <c r="BR27" s="3243">
        <f t="shared" si="19"/>
        <v>46453.7</v>
      </c>
      <c r="BS27" s="3239">
        <f t="shared" si="20"/>
        <v>2318.7122068409717</v>
      </c>
      <c r="BT27" s="3239">
        <f t="shared" si="21"/>
        <v>1047.6686370903944</v>
      </c>
      <c r="BU27" s="3239">
        <f t="shared" si="22"/>
        <v>624016.63815051096</v>
      </c>
      <c r="BV27" s="3239">
        <f t="shared" si="31"/>
        <v>281950.75649494515</v>
      </c>
      <c r="BZ27" s="2692" t="s">
        <v>844</v>
      </c>
      <c r="CB27" s="3243">
        <f t="shared" si="23"/>
        <v>-113051.39</v>
      </c>
      <c r="CC27" s="3243">
        <f t="shared" si="24"/>
        <v>-63370.83</v>
      </c>
      <c r="CD27" s="3243">
        <f t="shared" si="25"/>
        <v>113051.39</v>
      </c>
      <c r="CE27" s="3243">
        <f t="shared" si="26"/>
        <v>63370.83</v>
      </c>
      <c r="CF27" s="3245">
        <f t="shared" si="27"/>
        <v>2562.6237562782612</v>
      </c>
      <c r="CG27" s="3239">
        <f t="shared" si="28"/>
        <v>1430.2626347018193</v>
      </c>
      <c r="CH27" s="3245">
        <f t="shared" si="29"/>
        <v>686669.64682442392</v>
      </c>
      <c r="CI27" s="3239">
        <f t="shared" si="30"/>
        <v>384891.68944904557</v>
      </c>
    </row>
    <row r="28" spans="2:87" ht="15">
      <c r="R28" s="3191">
        <v>46081</v>
      </c>
      <c r="S28" s="3187">
        <f t="shared" si="0"/>
        <v>-3744.47</v>
      </c>
      <c r="W28" s="3202">
        <v>46081</v>
      </c>
      <c r="X28" s="3201"/>
      <c r="Y28" s="3201">
        <f t="shared" si="1"/>
        <v>60411.58</v>
      </c>
      <c r="Z28" s="3201">
        <f t="shared" si="2"/>
        <v>-2620.94</v>
      </c>
      <c r="AA28" s="3199">
        <f t="shared" si="3"/>
        <v>0</v>
      </c>
      <c r="AB28" s="3199">
        <f t="shared" si="4"/>
        <v>-57790.64</v>
      </c>
      <c r="AC28" s="3199"/>
      <c r="AD28" s="3201">
        <f t="shared" si="5"/>
        <v>591534.36114096106</v>
      </c>
      <c r="AE28" s="3201">
        <f t="shared" si="6"/>
        <v>-12686.4318</v>
      </c>
      <c r="AF28" s="3201">
        <f t="shared" si="7"/>
        <v>550.39739999999995</v>
      </c>
      <c r="AG28" s="3201">
        <f t="shared" si="8"/>
        <v>12136.0344</v>
      </c>
      <c r="AH28" s="3201">
        <f t="shared" si="9"/>
        <v>454875.39323960175</v>
      </c>
      <c r="AL28" s="3202">
        <v>45716</v>
      </c>
      <c r="AM28" s="3201"/>
      <c r="AN28" s="3201">
        <f t="shared" si="34"/>
        <v>-31692.6</v>
      </c>
      <c r="AO28" s="3201">
        <f t="shared" si="10"/>
        <v>2873.55</v>
      </c>
      <c r="AP28" s="3199">
        <f t="shared" si="11"/>
        <v>-705156</v>
      </c>
      <c r="AQ28" s="3199">
        <f t="shared" si="12"/>
        <v>28819.05</v>
      </c>
      <c r="AR28" s="3199"/>
      <c r="AS28" s="3201">
        <f t="shared" si="13"/>
        <v>-665819.50000000012</v>
      </c>
      <c r="AT28" s="3201">
        <f t="shared" si="14"/>
        <v>6655.445999999999</v>
      </c>
      <c r="AU28" s="3201">
        <f t="shared" si="15"/>
        <v>-603.44550000000004</v>
      </c>
      <c r="AV28" s="3201">
        <f t="shared" si="16"/>
        <v>-6052.0004999999992</v>
      </c>
      <c r="AW28" s="3201">
        <f t="shared" si="17"/>
        <v>139822.095</v>
      </c>
      <c r="BM28" s="2692" t="s">
        <v>863</v>
      </c>
      <c r="BO28" s="3243">
        <f t="shared" si="32"/>
        <v>-102811.86</v>
      </c>
      <c r="BP28" s="3243">
        <f t="shared" si="33"/>
        <v>-46453.7</v>
      </c>
      <c r="BQ28" s="3243">
        <f t="shared" si="18"/>
        <v>102811.86</v>
      </c>
      <c r="BR28" s="3243">
        <f t="shared" si="19"/>
        <v>46453.7</v>
      </c>
      <c r="BS28" s="3239">
        <f t="shared" si="20"/>
        <v>2746.1555916719531</v>
      </c>
      <c r="BT28" s="3239">
        <f t="shared" si="21"/>
        <v>1240.8012850740311</v>
      </c>
      <c r="BU28" s="3239">
        <f t="shared" si="22"/>
        <v>729574.65374218288</v>
      </c>
      <c r="BV28" s="3239">
        <f t="shared" si="31"/>
        <v>329645.25778001919</v>
      </c>
      <c r="BZ28" s="2692" t="s">
        <v>863</v>
      </c>
      <c r="CB28" s="3243">
        <f t="shared" si="23"/>
        <v>-113051.39</v>
      </c>
      <c r="CC28" s="3243">
        <f t="shared" si="24"/>
        <v>-63370.83</v>
      </c>
      <c r="CD28" s="3243">
        <f t="shared" si="25"/>
        <v>113051.39</v>
      </c>
      <c r="CE28" s="3243">
        <f t="shared" si="26"/>
        <v>63370.83</v>
      </c>
      <c r="CF28" s="3245">
        <f t="shared" si="27"/>
        <v>3034.7143124497306</v>
      </c>
      <c r="CG28" s="3239">
        <f t="shared" si="28"/>
        <v>1693.733077172411</v>
      </c>
      <c r="CH28" s="3245">
        <f t="shared" si="29"/>
        <v>802755.75113687362</v>
      </c>
      <c r="CI28" s="3239">
        <f t="shared" si="30"/>
        <v>449956.25252621801</v>
      </c>
    </row>
    <row r="29" spans="2:87" ht="15">
      <c r="R29" s="3192">
        <v>46112</v>
      </c>
      <c r="S29" s="3187">
        <f t="shared" si="0"/>
        <v>-3744.47</v>
      </c>
      <c r="W29" s="3202">
        <v>46112</v>
      </c>
      <c r="X29" s="3201"/>
      <c r="Y29" s="3201">
        <f t="shared" si="1"/>
        <v>60411.58</v>
      </c>
      <c r="Z29" s="3201">
        <f t="shared" si="2"/>
        <v>-2376.29</v>
      </c>
      <c r="AA29" s="3199">
        <f t="shared" si="3"/>
        <v>0</v>
      </c>
      <c r="AB29" s="3199">
        <f t="shared" si="4"/>
        <v>-58035.29</v>
      </c>
      <c r="AC29" s="3199"/>
      <c r="AD29" s="3201">
        <f t="shared" si="5"/>
        <v>533499.07114096114</v>
      </c>
      <c r="AE29" s="3201">
        <f t="shared" si="6"/>
        <v>-12686.4318</v>
      </c>
      <c r="AF29" s="3201">
        <f t="shared" si="7"/>
        <v>499.02089999999998</v>
      </c>
      <c r="AG29" s="3201">
        <f t="shared" si="8"/>
        <v>12187.410900000001</v>
      </c>
      <c r="AH29" s="3201">
        <f t="shared" si="9"/>
        <v>467062.80413960177</v>
      </c>
      <c r="AL29" s="3202">
        <v>45747</v>
      </c>
      <c r="AM29" s="3201"/>
      <c r="AN29" s="3201">
        <f t="shared" si="34"/>
        <v>-31692.6</v>
      </c>
      <c r="AO29" s="3201">
        <f t="shared" si="10"/>
        <v>2751.55</v>
      </c>
      <c r="AP29" s="3199">
        <f t="shared" si="11"/>
        <v>-705156</v>
      </c>
      <c r="AQ29" s="3199">
        <f t="shared" si="12"/>
        <v>28941.05</v>
      </c>
      <c r="AR29" s="3199"/>
      <c r="AS29" s="3201">
        <f t="shared" si="13"/>
        <v>-636878.45000000019</v>
      </c>
      <c r="AT29" s="3201">
        <f t="shared" si="14"/>
        <v>6655.445999999999</v>
      </c>
      <c r="AU29" s="3201">
        <f t="shared" si="15"/>
        <v>-577.82550000000003</v>
      </c>
      <c r="AV29" s="3201">
        <f t="shared" si="16"/>
        <v>-6077.6204999999991</v>
      </c>
      <c r="AW29" s="3201">
        <f t="shared" si="17"/>
        <v>133744.47450000001</v>
      </c>
      <c r="BM29" s="2692" t="s">
        <v>861</v>
      </c>
      <c r="BO29" s="3243">
        <f t="shared" si="32"/>
        <v>-102811.86</v>
      </c>
      <c r="BP29" s="3243">
        <f t="shared" si="33"/>
        <v>-46453.7</v>
      </c>
      <c r="BQ29" s="3243">
        <f t="shared" si="18"/>
        <v>102811.86</v>
      </c>
      <c r="BR29" s="3243">
        <f t="shared" si="19"/>
        <v>46453.7</v>
      </c>
      <c r="BS29" s="3239">
        <f t="shared" si="20"/>
        <v>3175.3368900650917</v>
      </c>
      <c r="BT29" s="3239">
        <f t="shared" si="21"/>
        <v>1434.7191782155944</v>
      </c>
      <c r="BU29" s="3239">
        <f t="shared" si="22"/>
        <v>835561.85063224798</v>
      </c>
      <c r="BV29" s="3239">
        <f t="shared" si="31"/>
        <v>377533.67695823481</v>
      </c>
      <c r="BZ29" s="2692" t="s">
        <v>861</v>
      </c>
      <c r="CB29" s="3243">
        <f t="shared" si="23"/>
        <v>-113051.39</v>
      </c>
      <c r="CC29" s="3243">
        <f t="shared" si="24"/>
        <v>-63370.83</v>
      </c>
      <c r="CD29" s="3243">
        <f t="shared" si="25"/>
        <v>113051.39</v>
      </c>
      <c r="CE29" s="3243">
        <f t="shared" si="26"/>
        <v>63370.83</v>
      </c>
      <c r="CF29" s="3245">
        <f t="shared" si="27"/>
        <v>3508.7325717255676</v>
      </c>
      <c r="CG29" s="3239">
        <f t="shared" si="28"/>
        <v>1958.274746550348</v>
      </c>
      <c r="CH29" s="3245">
        <f t="shared" si="29"/>
        <v>919315.87370859925</v>
      </c>
      <c r="CI29" s="3239">
        <f t="shared" si="30"/>
        <v>515285.35727276839</v>
      </c>
    </row>
    <row r="30" spans="2:87" ht="15">
      <c r="R30" s="3192">
        <v>46142</v>
      </c>
      <c r="S30" s="3187">
        <f t="shared" si="0"/>
        <v>-3744.47</v>
      </c>
      <c r="W30" s="3202">
        <v>46142</v>
      </c>
      <c r="X30" s="3201"/>
      <c r="Y30" s="3201">
        <f t="shared" si="1"/>
        <v>60411.58</v>
      </c>
      <c r="Z30" s="3201">
        <f t="shared" si="2"/>
        <v>-2130.61</v>
      </c>
      <c r="AA30" s="3199">
        <f t="shared" si="3"/>
        <v>0</v>
      </c>
      <c r="AB30" s="3199">
        <f t="shared" si="4"/>
        <v>-58280.97</v>
      </c>
      <c r="AC30" s="3199"/>
      <c r="AD30" s="3201">
        <f t="shared" si="5"/>
        <v>475218.10114096111</v>
      </c>
      <c r="AE30" s="3201">
        <f t="shared" si="6"/>
        <v>-12686.4318</v>
      </c>
      <c r="AF30" s="3201">
        <f t="shared" si="7"/>
        <v>447.42810000000003</v>
      </c>
      <c r="AG30" s="3201">
        <f t="shared" si="8"/>
        <v>12239.003700000001</v>
      </c>
      <c r="AH30" s="3201">
        <f t="shared" si="9"/>
        <v>479301.80783960177</v>
      </c>
      <c r="AL30" s="3202">
        <v>45777</v>
      </c>
      <c r="AM30" s="3201"/>
      <c r="AN30" s="3201">
        <f t="shared" si="34"/>
        <v>-31692.6</v>
      </c>
      <c r="AO30" s="3201">
        <f t="shared" si="10"/>
        <v>2629.04</v>
      </c>
      <c r="AP30" s="3199">
        <f t="shared" si="11"/>
        <v>-705156</v>
      </c>
      <c r="AQ30" s="3199">
        <f t="shared" si="12"/>
        <v>29063.559999999998</v>
      </c>
      <c r="AR30" s="3199"/>
      <c r="AS30" s="3201">
        <f t="shared" si="13"/>
        <v>-607814.89000000025</v>
      </c>
      <c r="AT30" s="3201">
        <f t="shared" si="14"/>
        <v>6655.445999999999</v>
      </c>
      <c r="AU30" s="3201">
        <f t="shared" si="15"/>
        <v>-552.09839999999997</v>
      </c>
      <c r="AV30" s="3201">
        <f t="shared" si="16"/>
        <v>-6103.3475999999991</v>
      </c>
      <c r="AW30" s="3201">
        <f t="shared" si="17"/>
        <v>127641.12690000002</v>
      </c>
      <c r="BM30" s="2692" t="s">
        <v>857</v>
      </c>
      <c r="BO30" s="3243">
        <f t="shared" si="32"/>
        <v>-102811.86</v>
      </c>
      <c r="BP30" s="3243">
        <f t="shared" si="33"/>
        <v>-46453.7</v>
      </c>
      <c r="BQ30" s="3243">
        <f t="shared" si="18"/>
        <v>102811.86</v>
      </c>
      <c r="BR30" s="3243">
        <f t="shared" si="19"/>
        <v>46453.7</v>
      </c>
      <c r="BS30" s="3239">
        <f t="shared" si="20"/>
        <v>3606.2631680872819</v>
      </c>
      <c r="BT30" s="3239">
        <f t="shared" si="21"/>
        <v>1629.4255091910229</v>
      </c>
      <c r="BU30" s="3239">
        <f t="shared" si="22"/>
        <v>941979.9738003352</v>
      </c>
      <c r="BV30" s="3239">
        <f t="shared" si="31"/>
        <v>425616.80246742582</v>
      </c>
      <c r="BZ30" s="2692" t="s">
        <v>857</v>
      </c>
      <c r="CB30" s="3243">
        <f t="shared" si="23"/>
        <v>-113051.39</v>
      </c>
      <c r="CC30" s="3243">
        <f t="shared" si="24"/>
        <v>-63370.83</v>
      </c>
      <c r="CD30" s="3243">
        <f t="shared" si="25"/>
        <v>113051.39</v>
      </c>
      <c r="CE30" s="3243">
        <f t="shared" si="26"/>
        <v>63370.83</v>
      </c>
      <c r="CF30" s="3245">
        <f t="shared" si="27"/>
        <v>3984.6864055601131</v>
      </c>
      <c r="CG30" s="3239">
        <f t="shared" si="28"/>
        <v>2223.8919982656976</v>
      </c>
      <c r="CH30" s="3245">
        <f t="shared" si="29"/>
        <v>1036351.9501141594</v>
      </c>
      <c r="CI30" s="3239">
        <f t="shared" si="30"/>
        <v>580880.0792710341</v>
      </c>
    </row>
    <row r="31" spans="2:87" ht="15">
      <c r="R31" s="3191">
        <v>46173</v>
      </c>
      <c r="S31" s="3187">
        <f t="shared" si="0"/>
        <v>-3744.47</v>
      </c>
      <c r="W31" s="3202">
        <v>46173</v>
      </c>
      <c r="X31" s="3201"/>
      <c r="Y31" s="3201">
        <f t="shared" si="1"/>
        <v>60411.58</v>
      </c>
      <c r="Z31" s="3201">
        <f t="shared" si="2"/>
        <v>-1883.89</v>
      </c>
      <c r="AA31" s="3199">
        <f t="shared" si="3"/>
        <v>0</v>
      </c>
      <c r="AB31" s="3199">
        <f t="shared" si="4"/>
        <v>-58527.69</v>
      </c>
      <c r="AC31" s="3199"/>
      <c r="AD31" s="3201">
        <f t="shared" si="5"/>
        <v>416690.41114096111</v>
      </c>
      <c r="AE31" s="3201">
        <f t="shared" si="6"/>
        <v>-12686.4318</v>
      </c>
      <c r="AF31" s="3201">
        <f t="shared" si="7"/>
        <v>395.61689999999999</v>
      </c>
      <c r="AG31" s="3201">
        <f t="shared" si="8"/>
        <v>12290.814900000001</v>
      </c>
      <c r="AH31" s="3201">
        <f t="shared" si="9"/>
        <v>491592.62273960176</v>
      </c>
      <c r="AL31" s="3202">
        <v>45808</v>
      </c>
      <c r="AM31" s="3201"/>
      <c r="AN31" s="3201">
        <f t="shared" si="34"/>
        <v>-31692.6</v>
      </c>
      <c r="AO31" s="3201">
        <f t="shared" si="10"/>
        <v>2506</v>
      </c>
      <c r="AP31" s="3199">
        <f t="shared" si="11"/>
        <v>-705156</v>
      </c>
      <c r="AQ31" s="3199">
        <f t="shared" si="12"/>
        <v>29186.6</v>
      </c>
      <c r="AR31" s="3199"/>
      <c r="AS31" s="3201">
        <f t="shared" si="13"/>
        <v>-578628.29000000027</v>
      </c>
      <c r="AT31" s="3201">
        <f t="shared" si="14"/>
        <v>6655.445999999999</v>
      </c>
      <c r="AU31" s="3201">
        <f t="shared" si="15"/>
        <v>-526.26</v>
      </c>
      <c r="AV31" s="3201">
        <f t="shared" si="16"/>
        <v>-6129.1859999999988</v>
      </c>
      <c r="AW31" s="3201">
        <f t="shared" si="17"/>
        <v>121511.94090000002</v>
      </c>
      <c r="BM31" s="2692" t="s">
        <v>855</v>
      </c>
      <c r="BO31" s="3243">
        <f t="shared" si="32"/>
        <v>-102811.86</v>
      </c>
      <c r="BP31" s="3243">
        <f t="shared" si="33"/>
        <v>-46453.7</v>
      </c>
      <c r="BQ31" s="3243">
        <f t="shared" si="18"/>
        <v>102811.86</v>
      </c>
      <c r="BR31" s="3243">
        <f t="shared" si="19"/>
        <v>46453.7</v>
      </c>
      <c r="BS31" s="3239">
        <f t="shared" si="20"/>
        <v>4038.9415205348632</v>
      </c>
      <c r="BT31" s="3239">
        <f t="shared" si="21"/>
        <v>1824.923483657142</v>
      </c>
      <c r="BU31" s="3239">
        <f t="shared" si="22"/>
        <v>1048830.7753208701</v>
      </c>
      <c r="BV31" s="3239">
        <f t="shared" si="31"/>
        <v>473895.42595108296</v>
      </c>
      <c r="BZ31" s="2692" t="s">
        <v>855</v>
      </c>
      <c r="CB31" s="3243">
        <f t="shared" si="23"/>
        <v>-113051.39</v>
      </c>
      <c r="CC31" s="3243">
        <f t="shared" si="24"/>
        <v>-63370.83</v>
      </c>
      <c r="CD31" s="3243">
        <f t="shared" si="25"/>
        <v>113051.39</v>
      </c>
      <c r="CE31" s="3243">
        <f t="shared" si="26"/>
        <v>63370.83</v>
      </c>
      <c r="CF31" s="3245">
        <f t="shared" si="27"/>
        <v>4462.5837175494844</v>
      </c>
      <c r="CG31" s="3239">
        <f t="shared" si="28"/>
        <v>2490.5892054569799</v>
      </c>
      <c r="CH31" s="3245">
        <f t="shared" si="29"/>
        <v>1153865.9238317087</v>
      </c>
      <c r="CI31" s="3239">
        <f t="shared" si="30"/>
        <v>646741.49847649108</v>
      </c>
    </row>
    <row r="32" spans="2:87" ht="15.75" thickBot="1">
      <c r="R32" s="3191">
        <v>46203</v>
      </c>
      <c r="S32" s="3187">
        <f t="shared" si="0"/>
        <v>-3744.47</v>
      </c>
      <c r="W32" s="3202">
        <v>46203</v>
      </c>
      <c r="X32" s="3201"/>
      <c r="Y32" s="3201">
        <f t="shared" si="1"/>
        <v>60411.58</v>
      </c>
      <c r="Z32" s="3201">
        <f t="shared" si="2"/>
        <v>-1636.12</v>
      </c>
      <c r="AA32" s="3199">
        <f t="shared" si="3"/>
        <v>0</v>
      </c>
      <c r="AB32" s="3199">
        <f t="shared" si="4"/>
        <v>-58775.46</v>
      </c>
      <c r="AC32" s="3199"/>
      <c r="AD32" s="3201">
        <f t="shared" si="5"/>
        <v>357914.95114096109</v>
      </c>
      <c r="AE32" s="3201">
        <f t="shared" si="6"/>
        <v>-12686.4318</v>
      </c>
      <c r="AF32" s="3201">
        <f t="shared" si="7"/>
        <v>343.58519999999999</v>
      </c>
      <c r="AG32" s="3201">
        <f t="shared" si="8"/>
        <v>12342.846600000001</v>
      </c>
      <c r="AH32" s="3201">
        <f t="shared" si="9"/>
        <v>503935.46933960175</v>
      </c>
      <c r="AL32" s="3202">
        <v>45838</v>
      </c>
      <c r="AM32" s="3201"/>
      <c r="AN32" s="3201">
        <f t="shared" si="34"/>
        <v>-31692.6</v>
      </c>
      <c r="AO32" s="3201">
        <f t="shared" si="10"/>
        <v>2382.44</v>
      </c>
      <c r="AP32" s="3199">
        <f t="shared" si="11"/>
        <v>-705156</v>
      </c>
      <c r="AQ32" s="3199">
        <f t="shared" si="12"/>
        <v>29310.16</v>
      </c>
      <c r="AR32" s="3199"/>
      <c r="AS32" s="3201">
        <f t="shared" si="13"/>
        <v>-549318.13000000024</v>
      </c>
      <c r="AT32" s="3201">
        <f t="shared" si="14"/>
        <v>6655.445999999999</v>
      </c>
      <c r="AU32" s="3201">
        <f t="shared" si="15"/>
        <v>-500.31239999999997</v>
      </c>
      <c r="AV32" s="3201">
        <f t="shared" si="16"/>
        <v>-6155.1335999999992</v>
      </c>
      <c r="AW32" s="3201">
        <f t="shared" si="17"/>
        <v>115356.80730000001</v>
      </c>
      <c r="BM32" s="2692" t="s">
        <v>854</v>
      </c>
      <c r="BO32" s="3243">
        <f t="shared" si="32"/>
        <v>-102811.86</v>
      </c>
      <c r="BP32" s="3243">
        <f t="shared" si="33"/>
        <v>-46453.7</v>
      </c>
      <c r="BQ32" s="3243">
        <f t="shared" si="18"/>
        <v>102811.86</v>
      </c>
      <c r="BR32" s="3243">
        <f t="shared" si="19"/>
        <v>46453.7</v>
      </c>
      <c r="BS32" s="3239">
        <f t="shared" si="20"/>
        <v>4473.3790710504372</v>
      </c>
      <c r="BT32" s="3239">
        <f t="shared" si="21"/>
        <v>2021.2163203044447</v>
      </c>
      <c r="BU32" s="3239">
        <f t="shared" si="22"/>
        <v>1156116.0143919205</v>
      </c>
      <c r="BV32" s="3239">
        <f t="shared" si="31"/>
        <v>522370.3422713874</v>
      </c>
      <c r="BZ32" s="2692" t="s">
        <v>854</v>
      </c>
      <c r="CB32" s="3243">
        <f t="shared" si="23"/>
        <v>-113051.39</v>
      </c>
      <c r="CC32" s="3243">
        <f t="shared" si="24"/>
        <v>-63370.83</v>
      </c>
      <c r="CD32" s="3243">
        <f t="shared" si="25"/>
        <v>113051.39</v>
      </c>
      <c r="CE32" s="3243">
        <f t="shared" si="26"/>
        <v>63370.83</v>
      </c>
      <c r="CF32" s="3245">
        <f t="shared" si="27"/>
        <v>4942.4324435628114</v>
      </c>
      <c r="CG32" s="3239">
        <f t="shared" si="28"/>
        <v>2758.3707590431663</v>
      </c>
      <c r="CH32" s="3245">
        <f t="shared" si="29"/>
        <v>1271859.7462752715</v>
      </c>
      <c r="CI32" s="3239">
        <f t="shared" si="30"/>
        <v>712870.69923553418</v>
      </c>
    </row>
    <row r="33" spans="18:87" ht="15.75" thickBot="1">
      <c r="R33" s="3192">
        <v>46234</v>
      </c>
      <c r="S33" s="3187">
        <f t="shared" si="0"/>
        <v>-3744.47</v>
      </c>
      <c r="W33" s="3202">
        <v>46234</v>
      </c>
      <c r="X33" s="3201"/>
      <c r="Y33" s="3201">
        <f t="shared" si="1"/>
        <v>60411.58</v>
      </c>
      <c r="Z33" s="3201">
        <f t="shared" si="2"/>
        <v>-1387.3</v>
      </c>
      <c r="AA33" s="3199">
        <f t="shared" si="3"/>
        <v>0</v>
      </c>
      <c r="AB33" s="3199">
        <f t="shared" si="4"/>
        <v>-59024.28</v>
      </c>
      <c r="AC33" s="3199"/>
      <c r="AD33" s="3201">
        <f t="shared" si="5"/>
        <v>298890.67114096106</v>
      </c>
      <c r="AE33" s="3201">
        <f t="shared" si="6"/>
        <v>-12686.4318</v>
      </c>
      <c r="AF33" s="3201">
        <f t="shared" si="7"/>
        <v>291.33299999999997</v>
      </c>
      <c r="AG33" s="3201">
        <f t="shared" si="8"/>
        <v>12395.0988</v>
      </c>
      <c r="AH33" s="3201">
        <f t="shared" si="9"/>
        <v>516330.56813960173</v>
      </c>
      <c r="AL33" s="3202">
        <v>45869</v>
      </c>
      <c r="AM33" s="3201"/>
      <c r="AN33" s="3201">
        <f t="shared" si="34"/>
        <v>-31692.6</v>
      </c>
      <c r="AO33" s="3201">
        <f t="shared" si="10"/>
        <v>2258.36</v>
      </c>
      <c r="AP33" s="3199">
        <f t="shared" si="11"/>
        <v>-705156</v>
      </c>
      <c r="AQ33" s="3199">
        <f t="shared" si="12"/>
        <v>29434.239999999998</v>
      </c>
      <c r="AR33" s="3199"/>
      <c r="AS33" s="3201">
        <f t="shared" si="13"/>
        <v>-519883.89000000025</v>
      </c>
      <c r="AT33" s="3201">
        <f t="shared" si="14"/>
        <v>6655.445999999999</v>
      </c>
      <c r="AU33" s="3201">
        <f t="shared" si="15"/>
        <v>-474.25560000000002</v>
      </c>
      <c r="AV33" s="3201">
        <f t="shared" si="16"/>
        <v>-6181.1903999999986</v>
      </c>
      <c r="AW33" s="3201">
        <f t="shared" si="17"/>
        <v>109175.61690000002</v>
      </c>
      <c r="BM33" s="2692" t="s">
        <v>853</v>
      </c>
      <c r="BO33" s="3243">
        <f t="shared" si="32"/>
        <v>-102811.86</v>
      </c>
      <c r="BP33" s="3244">
        <f t="shared" si="33"/>
        <v>-46453.7</v>
      </c>
      <c r="BQ33" s="3243">
        <f t="shared" si="18"/>
        <v>102811.86</v>
      </c>
      <c r="BR33" s="3243">
        <f t="shared" si="19"/>
        <v>46453.7</v>
      </c>
      <c r="BS33" s="3239">
        <f t="shared" si="20"/>
        <v>4909.5829722401495</v>
      </c>
      <c r="BT33" s="3239">
        <f t="shared" si="21"/>
        <v>2218.3072509100825</v>
      </c>
      <c r="BU33" s="3242">
        <f t="shared" si="22"/>
        <v>1263837.4573641608</v>
      </c>
      <c r="BV33" s="3242">
        <f t="shared" si="31"/>
        <v>571042.3495222975</v>
      </c>
      <c r="BZ33" s="2692" t="s">
        <v>853</v>
      </c>
      <c r="CB33" s="3243">
        <f t="shared" si="23"/>
        <v>-113051.39</v>
      </c>
      <c r="CC33" s="3244">
        <f t="shared" si="24"/>
        <v>-63370.83</v>
      </c>
      <c r="CD33" s="3243">
        <f t="shared" si="25"/>
        <v>113051.39</v>
      </c>
      <c r="CE33" s="3243">
        <f t="shared" si="26"/>
        <v>63370.83</v>
      </c>
      <c r="CF33" s="3245">
        <f t="shared" si="27"/>
        <v>5424.2405518740261</v>
      </c>
      <c r="CG33" s="3239">
        <f t="shared" si="28"/>
        <v>3027.2410677959761</v>
      </c>
      <c r="CH33" s="3262">
        <f t="shared" si="29"/>
        <v>1390335.3768271455</v>
      </c>
      <c r="CI33" s="3238">
        <f t="shared" si="30"/>
        <v>779268.77030333015</v>
      </c>
    </row>
    <row r="34" spans="18:87" ht="15">
      <c r="R34" s="3191">
        <v>46265</v>
      </c>
      <c r="S34" s="3187">
        <f t="shared" si="0"/>
        <v>-3744.47</v>
      </c>
      <c r="W34" s="3202">
        <v>46265</v>
      </c>
      <c r="X34" s="3201"/>
      <c r="Y34" s="3201">
        <f t="shared" si="1"/>
        <v>60411.58</v>
      </c>
      <c r="Z34" s="3201">
        <f t="shared" si="2"/>
        <v>-1137.43</v>
      </c>
      <c r="AA34" s="3199">
        <f t="shared" si="3"/>
        <v>0</v>
      </c>
      <c r="AB34" s="3199">
        <f t="shared" si="4"/>
        <v>-59274.15</v>
      </c>
      <c r="AC34" s="3199"/>
      <c r="AD34" s="3201">
        <f t="shared" si="5"/>
        <v>239616.52114096103</v>
      </c>
      <c r="AE34" s="3201">
        <f t="shared" si="6"/>
        <v>-12686.4318</v>
      </c>
      <c r="AF34" s="3201">
        <f t="shared" si="7"/>
        <v>238.8603</v>
      </c>
      <c r="AG34" s="3201">
        <f t="shared" si="8"/>
        <v>12447.5715</v>
      </c>
      <c r="AH34" s="3201">
        <f t="shared" si="9"/>
        <v>528778.13963960169</v>
      </c>
      <c r="AL34" s="3202">
        <v>45900</v>
      </c>
      <c r="AM34" s="3201"/>
      <c r="AN34" s="3201">
        <f t="shared" si="34"/>
        <v>-31692.6</v>
      </c>
      <c r="AO34" s="3201">
        <f t="shared" si="10"/>
        <v>2133.7600000000002</v>
      </c>
      <c r="AP34" s="3199">
        <f t="shared" si="11"/>
        <v>-705156</v>
      </c>
      <c r="AQ34" s="3199">
        <f t="shared" si="12"/>
        <v>29558.839999999997</v>
      </c>
      <c r="AR34" s="3199"/>
      <c r="AS34" s="3201">
        <f t="shared" si="13"/>
        <v>-490325.05000000028</v>
      </c>
      <c r="AT34" s="3201">
        <f t="shared" si="14"/>
        <v>6655.445999999999</v>
      </c>
      <c r="AU34" s="3201">
        <f t="shared" si="15"/>
        <v>-448.08960000000002</v>
      </c>
      <c r="AV34" s="3201">
        <f t="shared" si="16"/>
        <v>-6207.3563999999988</v>
      </c>
      <c r="AW34" s="3201">
        <f t="shared" si="17"/>
        <v>102968.26050000002</v>
      </c>
      <c r="BM34" s="2692" t="s">
        <v>1085</v>
      </c>
      <c r="BO34" s="3241">
        <f>SUM(BO22:BO33)</f>
        <v>-1233742.32</v>
      </c>
      <c r="BP34" s="3241">
        <f>SUM(BP22:BP33)</f>
        <v>-557444.4</v>
      </c>
      <c r="BQ34" s="3241">
        <f>SUM(BQ22:BQ33)</f>
        <v>1233742.32</v>
      </c>
      <c r="BR34" s="3241">
        <f>SUM(BR22:BR33)</f>
        <v>557444.4</v>
      </c>
      <c r="BZ34" s="2692" t="s">
        <v>1085</v>
      </c>
      <c r="CB34" s="3241">
        <f>SUM(CB22:CB33)</f>
        <v>-1356616.6799999997</v>
      </c>
      <c r="CC34" s="3241">
        <f>SUM(CC22:CC33)</f>
        <v>-760449.96</v>
      </c>
      <c r="CD34" s="3241">
        <f>SUM(CD22:CD33)</f>
        <v>1356616.6799999997</v>
      </c>
      <c r="CE34" s="3241">
        <f>SUM(CE22:CE33)</f>
        <v>760449.96</v>
      </c>
      <c r="CH34" s="3237">
        <v>2024</v>
      </c>
      <c r="CI34" s="3237">
        <v>2024</v>
      </c>
    </row>
    <row r="35" spans="18:87" ht="15">
      <c r="R35" s="3191">
        <v>46295</v>
      </c>
      <c r="S35" s="3187">
        <f t="shared" si="0"/>
        <v>-3744.47</v>
      </c>
      <c r="W35" s="3202">
        <v>46295</v>
      </c>
      <c r="X35" s="3201"/>
      <c r="Y35" s="3201">
        <f t="shared" si="1"/>
        <v>60411.58</v>
      </c>
      <c r="Z35" s="3201">
        <f t="shared" si="2"/>
        <v>-886.51</v>
      </c>
      <c r="AA35" s="3199">
        <f t="shared" si="3"/>
        <v>0</v>
      </c>
      <c r="AB35" s="3199">
        <f t="shared" si="4"/>
        <v>-59525.07</v>
      </c>
      <c r="AC35" s="3199"/>
      <c r="AD35" s="3201">
        <f t="shared" si="5"/>
        <v>180091.45114096103</v>
      </c>
      <c r="AE35" s="3201">
        <f t="shared" si="6"/>
        <v>-12686.4318</v>
      </c>
      <c r="AF35" s="3201">
        <f t="shared" si="7"/>
        <v>186.1671</v>
      </c>
      <c r="AG35" s="3201">
        <f t="shared" si="8"/>
        <v>12500.2647</v>
      </c>
      <c r="AH35" s="3201">
        <f t="shared" si="9"/>
        <v>541278.40433960175</v>
      </c>
      <c r="AL35" s="3202">
        <v>45930</v>
      </c>
      <c r="AM35" s="3201"/>
      <c r="AN35" s="3201">
        <f t="shared" si="34"/>
        <v>-31692.6</v>
      </c>
      <c r="AO35" s="3201">
        <f t="shared" si="10"/>
        <v>2008.63</v>
      </c>
      <c r="AP35" s="3199">
        <f t="shared" si="11"/>
        <v>-705156</v>
      </c>
      <c r="AQ35" s="3199">
        <f t="shared" si="12"/>
        <v>29683.969999999998</v>
      </c>
      <c r="AR35" s="3199"/>
      <c r="AS35" s="3201">
        <f t="shared" si="13"/>
        <v>-460641.08000000031</v>
      </c>
      <c r="AT35" s="3201">
        <f t="shared" si="14"/>
        <v>6655.445999999999</v>
      </c>
      <c r="AU35" s="3201">
        <f t="shared" si="15"/>
        <v>-421.81229999999999</v>
      </c>
      <c r="AV35" s="3201">
        <f t="shared" si="16"/>
        <v>-6233.6336999999994</v>
      </c>
      <c r="AW35" s="3201">
        <f t="shared" si="17"/>
        <v>96734.626800000013</v>
      </c>
      <c r="BO35" s="3240">
        <f>+BO34-BO16</f>
        <v>2.7844852302223444E-2</v>
      </c>
      <c r="BP35" s="3240">
        <f>+BP34-BP16</f>
        <v>9.3599999090656638E-3</v>
      </c>
      <c r="CB35" s="3240">
        <f>+CB34-CB16</f>
        <v>-5.814835405908525E-2</v>
      </c>
      <c r="CC35" s="3240">
        <f>+CC34-CC16</f>
        <v>1.2780615594238043E-2</v>
      </c>
    </row>
    <row r="36" spans="18:87" ht="15">
      <c r="R36" s="3192">
        <v>46326</v>
      </c>
      <c r="S36" s="3187">
        <f t="shared" si="0"/>
        <v>-3744.47</v>
      </c>
      <c r="W36" s="3202">
        <v>46326</v>
      </c>
      <c r="X36" s="3201"/>
      <c r="Y36" s="3201">
        <f t="shared" si="1"/>
        <v>60411.58</v>
      </c>
      <c r="Z36" s="3201">
        <f t="shared" si="2"/>
        <v>-634.52</v>
      </c>
      <c r="AA36" s="3199">
        <f t="shared" si="3"/>
        <v>0</v>
      </c>
      <c r="AB36" s="3199">
        <f t="shared" si="4"/>
        <v>-59777.060000000005</v>
      </c>
      <c r="AC36" s="3199"/>
      <c r="AD36" s="3201">
        <f t="shared" si="5"/>
        <v>120314.39114096103</v>
      </c>
      <c r="AE36" s="3201">
        <f t="shared" si="6"/>
        <v>-12686.4318</v>
      </c>
      <c r="AF36" s="3201">
        <f t="shared" si="7"/>
        <v>133.2492</v>
      </c>
      <c r="AG36" s="3201">
        <f t="shared" si="8"/>
        <v>12553.1826</v>
      </c>
      <c r="AH36" s="3201">
        <f t="shared" si="9"/>
        <v>553831.58693960169</v>
      </c>
      <c r="AL36" s="3202">
        <v>45961</v>
      </c>
      <c r="AM36" s="3201"/>
      <c r="AN36" s="3201">
        <f t="shared" si="34"/>
        <v>-31692.6</v>
      </c>
      <c r="AO36" s="3201">
        <f t="shared" si="10"/>
        <v>1882.96</v>
      </c>
      <c r="AP36" s="3199">
        <f t="shared" si="11"/>
        <v>-705156</v>
      </c>
      <c r="AQ36" s="3199">
        <f t="shared" si="12"/>
        <v>29809.64</v>
      </c>
      <c r="AR36" s="3199"/>
      <c r="AS36" s="3201">
        <f t="shared" si="13"/>
        <v>-430831.44000000035</v>
      </c>
      <c r="AT36" s="3201">
        <f t="shared" si="14"/>
        <v>6655.445999999999</v>
      </c>
      <c r="AU36" s="3201">
        <f t="shared" si="15"/>
        <v>-395.42160000000001</v>
      </c>
      <c r="AV36" s="3201">
        <f t="shared" si="16"/>
        <v>-6260.0243999999993</v>
      </c>
      <c r="AW36" s="3201">
        <f t="shared" si="17"/>
        <v>90474.602400000018</v>
      </c>
      <c r="BM36" s="2692" t="s">
        <v>2928</v>
      </c>
    </row>
    <row r="37" spans="18:87" ht="15">
      <c r="R37" s="3192">
        <v>46356</v>
      </c>
      <c r="S37" s="3187">
        <f t="shared" si="0"/>
        <v>-3744.47</v>
      </c>
      <c r="W37" s="3202">
        <v>46356</v>
      </c>
      <c r="X37" s="3201"/>
      <c r="Y37" s="3201">
        <f t="shared" si="1"/>
        <v>60411.58</v>
      </c>
      <c r="Z37" s="3201">
        <f t="shared" si="2"/>
        <v>-381.46</v>
      </c>
      <c r="AA37" s="3199">
        <f t="shared" si="3"/>
        <v>0</v>
      </c>
      <c r="AB37" s="3199">
        <f t="shared" si="4"/>
        <v>-60030.12</v>
      </c>
      <c r="AC37" s="3199"/>
      <c r="AD37" s="3201">
        <f t="shared" si="5"/>
        <v>60284.271140961027</v>
      </c>
      <c r="AE37" s="3201">
        <f t="shared" si="6"/>
        <v>-12686.4318</v>
      </c>
      <c r="AF37" s="3201">
        <f t="shared" si="7"/>
        <v>80.106599999999986</v>
      </c>
      <c r="AG37" s="3201">
        <f t="shared" si="8"/>
        <v>12606.325200000001</v>
      </c>
      <c r="AH37" s="3201">
        <f t="shared" si="9"/>
        <v>566437.91213960166</v>
      </c>
      <c r="AL37" s="3202">
        <v>45991</v>
      </c>
      <c r="AM37" s="3201"/>
      <c r="AN37" s="3201">
        <f t="shared" si="34"/>
        <v>-31692.6</v>
      </c>
      <c r="AO37" s="3201">
        <f t="shared" si="10"/>
        <v>1756.77</v>
      </c>
      <c r="AP37" s="3199">
        <f t="shared" si="11"/>
        <v>-705156</v>
      </c>
      <c r="AQ37" s="3199">
        <f t="shared" si="12"/>
        <v>29935.829999999998</v>
      </c>
      <c r="AR37" s="3199"/>
      <c r="AS37" s="3201">
        <f t="shared" si="13"/>
        <v>-400895.61000000039</v>
      </c>
      <c r="AT37" s="3201">
        <f t="shared" si="14"/>
        <v>6655.445999999999</v>
      </c>
      <c r="AU37" s="3201">
        <f t="shared" si="15"/>
        <v>-368.92169999999999</v>
      </c>
      <c r="AV37" s="3201">
        <f t="shared" si="16"/>
        <v>-6286.5242999999991</v>
      </c>
      <c r="AW37" s="3201">
        <f t="shared" si="17"/>
        <v>84188.078100000013</v>
      </c>
      <c r="BM37" s="2692" t="s">
        <v>852</v>
      </c>
      <c r="BQ37" s="3239">
        <f>BU33</f>
        <v>1263837.4573641608</v>
      </c>
      <c r="BR37" s="3239">
        <f>BV33</f>
        <v>571042.3495222975</v>
      </c>
      <c r="BS37" s="3239">
        <f t="shared" ref="BS37:BS48" si="35">BQ37*$BS$21/12</f>
        <v>5138.5524620664501</v>
      </c>
      <c r="BT37" s="3239">
        <f t="shared" ref="BT37:BT48" si="36">BR37*$BS$21/12</f>
        <v>2321.7630194327412</v>
      </c>
      <c r="BU37" s="3239">
        <f t="shared" ref="BU37:BU48" si="37">BQ37+BS37</f>
        <v>1268976.0098262273</v>
      </c>
      <c r="BV37" s="3239">
        <f t="shared" ref="BV37:BV48" si="38">BR37+BT37</f>
        <v>573364.11254173028</v>
      </c>
    </row>
    <row r="38" spans="18:87" ht="15">
      <c r="R38" s="3191">
        <v>46387</v>
      </c>
      <c r="S38" s="3187">
        <f>ROUND($S$14/S$8,2)+0.08</f>
        <v>-3744.39</v>
      </c>
      <c r="W38" s="3202">
        <v>46387</v>
      </c>
      <c r="X38" s="3201"/>
      <c r="Y38" s="3201">
        <f>ROUND((AA37+$Z$40)/$Z$10,2)+0.02</f>
        <v>60411.6</v>
      </c>
      <c r="Z38" s="3201">
        <f t="shared" si="2"/>
        <v>-127.33</v>
      </c>
      <c r="AA38" s="3199">
        <f t="shared" si="3"/>
        <v>0</v>
      </c>
      <c r="AB38" s="3199">
        <f t="shared" si="4"/>
        <v>-60284.27</v>
      </c>
      <c r="AC38" s="3199"/>
      <c r="AD38" s="3201">
        <f t="shared" si="5"/>
        <v>1.1409610288666272E-3</v>
      </c>
      <c r="AE38" s="3201">
        <f t="shared" si="6"/>
        <v>-12686.436</v>
      </c>
      <c r="AF38" s="3201">
        <f t="shared" si="7"/>
        <v>26.7393</v>
      </c>
      <c r="AG38" s="3201">
        <f t="shared" si="8"/>
        <v>12659.6967</v>
      </c>
      <c r="AH38" s="3201">
        <f t="shared" si="9"/>
        <v>579097.60883960163</v>
      </c>
      <c r="AL38" s="3202">
        <v>46022</v>
      </c>
      <c r="AM38" s="3201"/>
      <c r="AN38" s="3201">
        <f t="shared" si="34"/>
        <v>-31692.6</v>
      </c>
      <c r="AO38" s="3201">
        <f t="shared" si="10"/>
        <v>1630.04</v>
      </c>
      <c r="AP38" s="3199">
        <f t="shared" si="11"/>
        <v>-705156</v>
      </c>
      <c r="AQ38" s="3199">
        <f t="shared" si="12"/>
        <v>30062.559999999998</v>
      </c>
      <c r="AR38" s="3199"/>
      <c r="AS38" s="3201">
        <f t="shared" si="13"/>
        <v>-370833.0500000004</v>
      </c>
      <c r="AT38" s="3201">
        <f t="shared" si="14"/>
        <v>6655.445999999999</v>
      </c>
      <c r="AU38" s="3201">
        <f t="shared" si="15"/>
        <v>-342.30840000000001</v>
      </c>
      <c r="AV38" s="3201">
        <f t="shared" si="16"/>
        <v>-6313.1375999999991</v>
      </c>
      <c r="AW38" s="3201">
        <f t="shared" si="17"/>
        <v>77874.940500000012</v>
      </c>
      <c r="BM38" s="2692" t="s">
        <v>851</v>
      </c>
      <c r="BQ38" s="3239">
        <f t="shared" ref="BQ38:BQ48" si="39">BU37</f>
        <v>1268976.0098262273</v>
      </c>
      <c r="BR38" s="3239">
        <f t="shared" ref="BR38:BR48" si="40">BV37</f>
        <v>573364.11254173028</v>
      </c>
      <c r="BS38" s="3239">
        <f t="shared" si="35"/>
        <v>5159.444959951802</v>
      </c>
      <c r="BT38" s="3239">
        <f t="shared" si="36"/>
        <v>2331.2029209092516</v>
      </c>
      <c r="BU38" s="3239">
        <f t="shared" si="37"/>
        <v>1274135.4547861791</v>
      </c>
      <c r="BV38" s="3239">
        <f t="shared" si="38"/>
        <v>575695.31546263956</v>
      </c>
    </row>
    <row r="39" spans="18:87" ht="15" thickBot="1">
      <c r="S39" s="3187">
        <f>SUM(S15:S38)</f>
        <v>-89867.200000000012</v>
      </c>
      <c r="X39" s="3200">
        <f>SUM(X15:X37)</f>
        <v>0</v>
      </c>
      <c r="Y39" s="3200">
        <f>SUM(Y15:Y38)</f>
        <v>1449877.9400000002</v>
      </c>
      <c r="Z39" s="3200">
        <f>SUM(Z15:Z38)</f>
        <v>-71074.110000000015</v>
      </c>
      <c r="AA39" s="3200"/>
      <c r="AB39" s="3200">
        <f>SUM(AB15:AB38)</f>
        <v>-1378803.8300000003</v>
      </c>
      <c r="AC39" s="3200"/>
      <c r="AD39" s="3200"/>
      <c r="AE39" s="3200">
        <f>SUM(AE15:AE38)</f>
        <v>-304474.36739999999</v>
      </c>
      <c r="AF39" s="3200">
        <f>SUM(AF15:AF38)</f>
        <v>14925.563099999998</v>
      </c>
      <c r="AG39" s="3200">
        <f>SUM(AG15:AG38)</f>
        <v>289548.80430000008</v>
      </c>
      <c r="AH39" s="3200"/>
      <c r="AL39" s="3202">
        <v>46053</v>
      </c>
      <c r="AM39" s="3201"/>
      <c r="AN39" s="3201">
        <f t="shared" si="34"/>
        <v>-31692.6</v>
      </c>
      <c r="AO39" s="3201">
        <f t="shared" si="10"/>
        <v>1502.78</v>
      </c>
      <c r="AP39" s="3199">
        <f t="shared" si="11"/>
        <v>-705156</v>
      </c>
      <c r="AQ39" s="3199">
        <f t="shared" si="12"/>
        <v>30189.82</v>
      </c>
      <c r="AR39" s="3199"/>
      <c r="AS39" s="3201">
        <f t="shared" si="13"/>
        <v>-340643.23000000045</v>
      </c>
      <c r="AT39" s="3201">
        <f t="shared" si="14"/>
        <v>6655.445999999999</v>
      </c>
      <c r="AU39" s="3201">
        <f t="shared" si="15"/>
        <v>-315.5838</v>
      </c>
      <c r="AV39" s="3201">
        <f t="shared" si="16"/>
        <v>-6339.8621999999987</v>
      </c>
      <c r="AW39" s="3201">
        <f t="shared" si="17"/>
        <v>71535.078300000008</v>
      </c>
      <c r="BM39" s="2692" t="s">
        <v>850</v>
      </c>
      <c r="BQ39" s="3239">
        <f t="shared" si="39"/>
        <v>1274135.4547861791</v>
      </c>
      <c r="BR39" s="3239">
        <f t="shared" si="40"/>
        <v>575695.31546263956</v>
      </c>
      <c r="BS39" s="3239">
        <f t="shared" si="35"/>
        <v>5180.422403251473</v>
      </c>
      <c r="BT39" s="3239">
        <f t="shared" si="36"/>
        <v>2340.6812034518484</v>
      </c>
      <c r="BU39" s="3239">
        <f t="shared" si="37"/>
        <v>1279315.8771894306</v>
      </c>
      <c r="BV39" s="3239">
        <f t="shared" si="38"/>
        <v>578035.99666609138</v>
      </c>
    </row>
    <row r="40" spans="18:87" ht="16.5" thickTop="1" thickBot="1">
      <c r="R40" s="3190" t="s">
        <v>1189</v>
      </c>
      <c r="S40" s="3189">
        <f>S14-S39</f>
        <v>-1.7462298274040222E-10</v>
      </c>
      <c r="T40" s="3188"/>
      <c r="X40" s="3199"/>
      <c r="Y40" s="3199"/>
      <c r="Z40" s="3199">
        <f>1449878</f>
        <v>1449878</v>
      </c>
      <c r="AA40" s="3198"/>
      <c r="AB40" s="3198"/>
      <c r="AC40" s="3198"/>
      <c r="AD40" s="3198"/>
      <c r="AE40" s="3198"/>
      <c r="AF40" s="3198"/>
      <c r="AG40" s="3198"/>
      <c r="AH40" s="3197"/>
      <c r="AL40" s="3202">
        <v>46081</v>
      </c>
      <c r="AM40" s="3201"/>
      <c r="AN40" s="3201">
        <f t="shared" si="34"/>
        <v>-31692.6</v>
      </c>
      <c r="AO40" s="3201">
        <f t="shared" si="10"/>
        <v>1374.97</v>
      </c>
      <c r="AP40" s="3199">
        <f t="shared" si="11"/>
        <v>-705156</v>
      </c>
      <c r="AQ40" s="3199">
        <f t="shared" si="12"/>
        <v>30317.629999999997</v>
      </c>
      <c r="AR40" s="3199"/>
      <c r="AS40" s="3201">
        <f t="shared" si="13"/>
        <v>-310325.60000000044</v>
      </c>
      <c r="AT40" s="3201">
        <f t="shared" si="14"/>
        <v>6655.445999999999</v>
      </c>
      <c r="AU40" s="3201">
        <f t="shared" si="15"/>
        <v>-288.74369999999999</v>
      </c>
      <c r="AV40" s="3201">
        <f t="shared" si="16"/>
        <v>-6366.702299999999</v>
      </c>
      <c r="AW40" s="3201">
        <f t="shared" si="17"/>
        <v>65168.376000000011</v>
      </c>
      <c r="BM40" s="2692" t="s">
        <v>848</v>
      </c>
      <c r="BQ40" s="3239">
        <f t="shared" si="39"/>
        <v>1279315.8771894306</v>
      </c>
      <c r="BR40" s="3239">
        <f t="shared" si="40"/>
        <v>578035.99666609138</v>
      </c>
      <c r="BS40" s="3239">
        <f t="shared" si="35"/>
        <v>5201.4851373393603</v>
      </c>
      <c r="BT40" s="3239">
        <f t="shared" si="36"/>
        <v>2350.1980231115499</v>
      </c>
      <c r="BU40" s="3239">
        <f t="shared" si="37"/>
        <v>1284517.3623267701</v>
      </c>
      <c r="BV40" s="3239">
        <f t="shared" si="38"/>
        <v>580386.19468920294</v>
      </c>
    </row>
    <row r="41" spans="18:87" ht="16.5" thickTop="1" thickBot="1">
      <c r="X41" s="3196" t="s">
        <v>2885</v>
      </c>
      <c r="Y41" s="3195">
        <f>SUM(Y15:Y26)</f>
        <v>724938.96</v>
      </c>
      <c r="Z41" s="3199"/>
      <c r="AA41" s="3198"/>
      <c r="AB41" s="3198"/>
      <c r="AC41" s="3198"/>
      <c r="AD41" s="3198"/>
      <c r="AE41" s="3198"/>
      <c r="AF41" s="3198"/>
      <c r="AG41" s="3198"/>
      <c r="AH41" s="3197"/>
      <c r="AL41" s="3202">
        <v>46112</v>
      </c>
      <c r="AM41" s="3201"/>
      <c r="AN41" s="3201">
        <f t="shared" si="34"/>
        <v>-31692.6</v>
      </c>
      <c r="AO41" s="3201">
        <f t="shared" si="10"/>
        <v>1246.6300000000001</v>
      </c>
      <c r="AP41" s="3199">
        <f t="shared" si="11"/>
        <v>-705156</v>
      </c>
      <c r="AQ41" s="3199">
        <f t="shared" si="12"/>
        <v>30445.969999999998</v>
      </c>
      <c r="AR41" s="3199"/>
      <c r="AS41" s="3201">
        <f t="shared" si="13"/>
        <v>-279879.63000000047</v>
      </c>
      <c r="AT41" s="3201">
        <f t="shared" si="14"/>
        <v>6655.445999999999</v>
      </c>
      <c r="AU41" s="3201">
        <f t="shared" si="15"/>
        <v>-261.79230000000001</v>
      </c>
      <c r="AV41" s="3201">
        <f t="shared" si="16"/>
        <v>-6393.6536999999989</v>
      </c>
      <c r="AW41" s="3201">
        <f t="shared" si="17"/>
        <v>58774.722300000009</v>
      </c>
      <c r="BM41" s="2692" t="s">
        <v>846</v>
      </c>
      <c r="BQ41" s="3239">
        <f t="shared" si="39"/>
        <v>1284517.3623267701</v>
      </c>
      <c r="BR41" s="3239">
        <f t="shared" si="40"/>
        <v>580386.19468920294</v>
      </c>
      <c r="BS41" s="3239">
        <f t="shared" si="35"/>
        <v>5222.6335089935928</v>
      </c>
      <c r="BT41" s="3239">
        <f t="shared" si="36"/>
        <v>2359.7535365738509</v>
      </c>
      <c r="BU41" s="3239">
        <f t="shared" si="37"/>
        <v>1289739.9958357636</v>
      </c>
      <c r="BV41" s="3239">
        <f t="shared" si="38"/>
        <v>582745.94822577678</v>
      </c>
    </row>
    <row r="42" spans="18:87" ht="16.5" thickTop="1" thickBot="1">
      <c r="R42" s="477" t="s">
        <v>525</v>
      </c>
      <c r="S42" s="3187">
        <f>SUM(S15:S26)</f>
        <v>-44933.640000000007</v>
      </c>
      <c r="X42" s="3196" t="s">
        <v>2884</v>
      </c>
      <c r="Y42" s="3195">
        <f>SUM(Y27:Y38)</f>
        <v>724938.98</v>
      </c>
      <c r="AA42" s="929"/>
      <c r="AD42" s="929"/>
      <c r="AE42" s="929"/>
      <c r="AL42" s="3202">
        <v>46142</v>
      </c>
      <c r="AM42" s="3201"/>
      <c r="AN42" s="3201">
        <f t="shared" si="34"/>
        <v>-31692.6</v>
      </c>
      <c r="AO42" s="3201">
        <f t="shared" si="10"/>
        <v>1117.74</v>
      </c>
      <c r="AP42" s="3199">
        <f t="shared" si="11"/>
        <v>-705156</v>
      </c>
      <c r="AQ42" s="3199">
        <f t="shared" si="12"/>
        <v>30574.859999999997</v>
      </c>
      <c r="AR42" s="3199"/>
      <c r="AS42" s="3201">
        <f t="shared" si="13"/>
        <v>-249304.77000000046</v>
      </c>
      <c r="AT42" s="3201">
        <f t="shared" si="14"/>
        <v>6655.445999999999</v>
      </c>
      <c r="AU42" s="3201">
        <f t="shared" si="15"/>
        <v>-234.72539999999998</v>
      </c>
      <c r="AV42" s="3201">
        <f t="shared" si="16"/>
        <v>-6420.7205999999987</v>
      </c>
      <c r="AW42" s="3201">
        <f t="shared" si="17"/>
        <v>52354.001700000008</v>
      </c>
      <c r="BM42" s="2692" t="s">
        <v>844</v>
      </c>
      <c r="BQ42" s="3239">
        <f t="shared" si="39"/>
        <v>1289739.9958357636</v>
      </c>
      <c r="BR42" s="3239">
        <f t="shared" si="40"/>
        <v>582745.94822577678</v>
      </c>
      <c r="BS42" s="3239">
        <f t="shared" si="35"/>
        <v>5243.8678664022418</v>
      </c>
      <c r="BT42" s="3239">
        <f t="shared" si="36"/>
        <v>2369.347901161304</v>
      </c>
      <c r="BU42" s="3239">
        <f t="shared" si="37"/>
        <v>1294983.8637021659</v>
      </c>
      <c r="BV42" s="3239">
        <f t="shared" si="38"/>
        <v>585115.29612693808</v>
      </c>
    </row>
    <row r="43" spans="18:87" ht="15" thickTop="1">
      <c r="R43" s="477" t="s">
        <v>526</v>
      </c>
      <c r="S43" s="3187">
        <f>SUM(S27:S38)</f>
        <v>-44933.560000000005</v>
      </c>
      <c r="AL43" s="3202">
        <v>46173</v>
      </c>
      <c r="AM43" s="3201"/>
      <c r="AN43" s="3201">
        <f t="shared" si="34"/>
        <v>-31692.6</v>
      </c>
      <c r="AO43" s="3201">
        <f t="shared" si="10"/>
        <v>988.31</v>
      </c>
      <c r="AP43" s="3199">
        <f t="shared" si="11"/>
        <v>-705156</v>
      </c>
      <c r="AQ43" s="3199">
        <f t="shared" si="12"/>
        <v>30704.289999999997</v>
      </c>
      <c r="AR43" s="3199"/>
      <c r="AS43" s="3201">
        <f t="shared" si="13"/>
        <v>-218600.48000000045</v>
      </c>
      <c r="AT43" s="3201">
        <f t="shared" si="14"/>
        <v>6655.445999999999</v>
      </c>
      <c r="AU43" s="3201">
        <f t="shared" si="15"/>
        <v>-207.54509999999999</v>
      </c>
      <c r="AV43" s="3201">
        <f t="shared" si="16"/>
        <v>-6447.9008999999987</v>
      </c>
      <c r="AW43" s="3201">
        <f t="shared" si="17"/>
        <v>45906.100800000007</v>
      </c>
      <c r="BM43" s="2692" t="s">
        <v>863</v>
      </c>
      <c r="BQ43" s="3239">
        <f t="shared" si="39"/>
        <v>1294983.8637021659</v>
      </c>
      <c r="BR43" s="3239">
        <f t="shared" si="40"/>
        <v>585115.29612693808</v>
      </c>
      <c r="BS43" s="3239">
        <f t="shared" si="35"/>
        <v>5265.1885591690561</v>
      </c>
      <c r="BT43" s="3239">
        <f t="shared" si="36"/>
        <v>2378.9812748361092</v>
      </c>
      <c r="BU43" s="3239">
        <f t="shared" si="37"/>
        <v>1300249.0522613348</v>
      </c>
      <c r="BV43" s="3239">
        <f t="shared" si="38"/>
        <v>587494.27740177419</v>
      </c>
    </row>
    <row r="44" spans="18:87" ht="14.25">
      <c r="AL44" s="3202">
        <v>46203</v>
      </c>
      <c r="AM44" s="3201"/>
      <c r="AN44" s="3201">
        <f t="shared" si="34"/>
        <v>-31692.6</v>
      </c>
      <c r="AO44" s="3201">
        <f t="shared" si="10"/>
        <v>858.33</v>
      </c>
      <c r="AP44" s="3199">
        <f t="shared" si="11"/>
        <v>-705156</v>
      </c>
      <c r="AQ44" s="3199">
        <f t="shared" si="12"/>
        <v>30834.269999999997</v>
      </c>
      <c r="AR44" s="3199"/>
      <c r="AS44" s="3201">
        <f t="shared" si="13"/>
        <v>-187766.21000000043</v>
      </c>
      <c r="AT44" s="3201">
        <f t="shared" si="14"/>
        <v>6655.445999999999</v>
      </c>
      <c r="AU44" s="3201">
        <f t="shared" si="15"/>
        <v>-180.24930000000001</v>
      </c>
      <c r="AV44" s="3201">
        <f t="shared" si="16"/>
        <v>-6475.1966999999986</v>
      </c>
      <c r="AW44" s="3201">
        <f t="shared" si="17"/>
        <v>39430.904100000007</v>
      </c>
      <c r="BM44" s="2692" t="s">
        <v>861</v>
      </c>
      <c r="BQ44" s="3239">
        <f t="shared" si="39"/>
        <v>1300249.0522613348</v>
      </c>
      <c r="BR44" s="3239">
        <f t="shared" si="40"/>
        <v>587494.27740177419</v>
      </c>
      <c r="BS44" s="3239">
        <f t="shared" si="35"/>
        <v>5286.5959383192103</v>
      </c>
      <c r="BT44" s="3239">
        <f t="shared" si="36"/>
        <v>2388.6538162027136</v>
      </c>
      <c r="BU44" s="3239">
        <f t="shared" si="37"/>
        <v>1305535.648199654</v>
      </c>
      <c r="BV44" s="3239">
        <f t="shared" si="38"/>
        <v>589882.93121797685</v>
      </c>
    </row>
    <row r="45" spans="18:87" ht="14.25">
      <c r="AL45" s="3202">
        <v>46234</v>
      </c>
      <c r="AM45" s="3201"/>
      <c r="AN45" s="3201">
        <f t="shared" si="34"/>
        <v>-31692.6</v>
      </c>
      <c r="AO45" s="3201">
        <f t="shared" si="10"/>
        <v>727.79</v>
      </c>
      <c r="AP45" s="3199">
        <f t="shared" si="11"/>
        <v>-705156</v>
      </c>
      <c r="AQ45" s="3199">
        <f t="shared" si="12"/>
        <v>30964.809999999998</v>
      </c>
      <c r="AR45" s="3199"/>
      <c r="AS45" s="3201">
        <f t="shared" si="13"/>
        <v>-156801.40000000043</v>
      </c>
      <c r="AT45" s="3201">
        <f t="shared" si="14"/>
        <v>6655.445999999999</v>
      </c>
      <c r="AU45" s="3201">
        <f t="shared" si="15"/>
        <v>-152.83589999999998</v>
      </c>
      <c r="AV45" s="3201">
        <f t="shared" si="16"/>
        <v>-6502.610099999999</v>
      </c>
      <c r="AW45" s="3201">
        <f t="shared" si="17"/>
        <v>32928.294000000009</v>
      </c>
      <c r="BM45" s="2692" t="s">
        <v>857</v>
      </c>
      <c r="BQ45" s="3239">
        <f t="shared" si="39"/>
        <v>1305535.648199654</v>
      </c>
      <c r="BR45" s="3239">
        <f t="shared" si="40"/>
        <v>589882.93121797685</v>
      </c>
      <c r="BS45" s="3239">
        <f t="shared" si="35"/>
        <v>5308.0903563050933</v>
      </c>
      <c r="BT45" s="3239">
        <f t="shared" si="36"/>
        <v>2398.3656845104242</v>
      </c>
      <c r="BU45" s="3239">
        <f t="shared" si="37"/>
        <v>1310843.738555959</v>
      </c>
      <c r="BV45" s="3239">
        <f t="shared" si="38"/>
        <v>592281.29690248729</v>
      </c>
    </row>
    <row r="46" spans="18:87" ht="14.25">
      <c r="AL46" s="3202">
        <v>46265</v>
      </c>
      <c r="AM46" s="3201"/>
      <c r="AN46" s="3201">
        <f t="shared" si="34"/>
        <v>-31692.6</v>
      </c>
      <c r="AO46" s="3201">
        <f t="shared" si="10"/>
        <v>596.71</v>
      </c>
      <c r="AP46" s="3199">
        <f t="shared" si="11"/>
        <v>-705156</v>
      </c>
      <c r="AQ46" s="3199">
        <f t="shared" si="12"/>
        <v>31095.89</v>
      </c>
      <c r="AR46" s="3199"/>
      <c r="AS46" s="3201">
        <f t="shared" si="13"/>
        <v>-125705.51000000043</v>
      </c>
      <c r="AT46" s="3201">
        <f t="shared" si="14"/>
        <v>6655.445999999999</v>
      </c>
      <c r="AU46" s="3201">
        <f t="shared" si="15"/>
        <v>-125.3091</v>
      </c>
      <c r="AV46" s="3201">
        <f t="shared" si="16"/>
        <v>-6530.1368999999986</v>
      </c>
      <c r="AW46" s="3201">
        <f t="shared" si="17"/>
        <v>26398.157100000011</v>
      </c>
      <c r="BM46" s="2692" t="s">
        <v>855</v>
      </c>
      <c r="BQ46" s="3239">
        <f t="shared" si="39"/>
        <v>1310843.738555959</v>
      </c>
      <c r="BR46" s="3239">
        <f t="shared" si="40"/>
        <v>592281.29690248729</v>
      </c>
      <c r="BS46" s="3239">
        <f t="shared" si="35"/>
        <v>5329.6721670121033</v>
      </c>
      <c r="BT46" s="3239">
        <f t="shared" si="36"/>
        <v>2408.1170396560296</v>
      </c>
      <c r="BU46" s="3239">
        <f t="shared" si="37"/>
        <v>1316173.410722971</v>
      </c>
      <c r="BV46" s="3239">
        <f t="shared" si="38"/>
        <v>594689.41394214332</v>
      </c>
    </row>
    <row r="47" spans="18:87" ht="15" thickBot="1">
      <c r="AL47" s="3202">
        <v>46295</v>
      </c>
      <c r="AM47" s="3201"/>
      <c r="AN47" s="3201">
        <f t="shared" si="34"/>
        <v>-31692.6</v>
      </c>
      <c r="AO47" s="3201">
        <f t="shared" si="10"/>
        <v>465.07</v>
      </c>
      <c r="AP47" s="3199">
        <f t="shared" si="11"/>
        <v>-705156</v>
      </c>
      <c r="AQ47" s="3199">
        <f t="shared" si="12"/>
        <v>31227.53</v>
      </c>
      <c r="AR47" s="3199"/>
      <c r="AS47" s="3201">
        <f t="shared" si="13"/>
        <v>-94477.980000000447</v>
      </c>
      <c r="AT47" s="3201">
        <f t="shared" si="14"/>
        <v>6655.445999999999</v>
      </c>
      <c r="AU47" s="3201">
        <f t="shared" si="15"/>
        <v>-97.664699999999996</v>
      </c>
      <c r="AV47" s="3201">
        <f t="shared" si="16"/>
        <v>-6557.7812999999987</v>
      </c>
      <c r="AW47" s="3201">
        <f t="shared" si="17"/>
        <v>19840.375800000013</v>
      </c>
      <c r="BM47" s="2692" t="s">
        <v>854</v>
      </c>
      <c r="BQ47" s="3239">
        <f t="shared" si="39"/>
        <v>1316173.410722971</v>
      </c>
      <c r="BR47" s="3239">
        <f t="shared" si="40"/>
        <v>594689.41394214332</v>
      </c>
      <c r="BS47" s="3239">
        <f t="shared" si="35"/>
        <v>5351.3417257644796</v>
      </c>
      <c r="BT47" s="3239">
        <f t="shared" si="36"/>
        <v>2417.908042186431</v>
      </c>
      <c r="BU47" s="3239">
        <f t="shared" si="37"/>
        <v>1321524.7524487355</v>
      </c>
      <c r="BV47" s="3239">
        <f t="shared" si="38"/>
        <v>597107.32198432973</v>
      </c>
    </row>
    <row r="48" spans="18:87" ht="15" thickBot="1">
      <c r="AL48" s="3202">
        <v>46326</v>
      </c>
      <c r="AM48" s="3201"/>
      <c r="AN48" s="3201">
        <f t="shared" si="34"/>
        <v>-31692.6</v>
      </c>
      <c r="AO48" s="3201">
        <f t="shared" si="10"/>
        <v>332.87</v>
      </c>
      <c r="AP48" s="3199">
        <f t="shared" si="11"/>
        <v>-705156</v>
      </c>
      <c r="AQ48" s="3199">
        <f t="shared" si="12"/>
        <v>31359.73</v>
      </c>
      <c r="AR48" s="3199"/>
      <c r="AS48" s="3201">
        <f t="shared" si="13"/>
        <v>-63118.250000000451</v>
      </c>
      <c r="AT48" s="3201">
        <f t="shared" si="14"/>
        <v>6655.445999999999</v>
      </c>
      <c r="AU48" s="3201">
        <f t="shared" si="15"/>
        <v>-69.902699999999996</v>
      </c>
      <c r="AV48" s="3201">
        <f t="shared" si="16"/>
        <v>-6585.5432999999994</v>
      </c>
      <c r="AW48" s="3201">
        <f t="shared" si="17"/>
        <v>13254.832500000013</v>
      </c>
      <c r="BM48" s="2692" t="s">
        <v>853</v>
      </c>
      <c r="BQ48" s="3239">
        <f t="shared" si="39"/>
        <v>1321524.7524487355</v>
      </c>
      <c r="BR48" s="3239">
        <f t="shared" si="40"/>
        <v>597107.32198432973</v>
      </c>
      <c r="BS48" s="3239">
        <f t="shared" si="35"/>
        <v>5373.0993893311506</v>
      </c>
      <c r="BT48" s="3239">
        <f t="shared" si="36"/>
        <v>2427.7388533012872</v>
      </c>
      <c r="BU48" s="3238">
        <f t="shared" si="37"/>
        <v>1326897.8518380667</v>
      </c>
      <c r="BV48" s="3238">
        <f t="shared" si="38"/>
        <v>599535.060837631</v>
      </c>
    </row>
    <row r="49" spans="38:74" ht="14.25">
      <c r="AL49" s="3202">
        <v>46356</v>
      </c>
      <c r="AM49" s="3201"/>
      <c r="AN49" s="3201">
        <f t="shared" si="34"/>
        <v>-31692.6</v>
      </c>
      <c r="AO49" s="3201">
        <f t="shared" si="10"/>
        <v>200.12</v>
      </c>
      <c r="AP49" s="3199">
        <f t="shared" si="11"/>
        <v>-705156</v>
      </c>
      <c r="AQ49" s="3199">
        <f t="shared" si="12"/>
        <v>31492.48</v>
      </c>
      <c r="AR49" s="3199"/>
      <c r="AS49" s="3201">
        <f t="shared" si="13"/>
        <v>-31625.770000000452</v>
      </c>
      <c r="AT49" s="3201">
        <f t="shared" si="14"/>
        <v>6655.445999999999</v>
      </c>
      <c r="AU49" s="3201">
        <f t="shared" si="15"/>
        <v>-42.025199999999998</v>
      </c>
      <c r="AV49" s="3201">
        <f t="shared" si="16"/>
        <v>-6613.420799999999</v>
      </c>
      <c r="AW49" s="3201">
        <f t="shared" si="17"/>
        <v>6641.4117000000142</v>
      </c>
      <c r="BU49" s="3237" t="s">
        <v>2927</v>
      </c>
      <c r="BV49" s="3237" t="s">
        <v>2927</v>
      </c>
    </row>
    <row r="50" spans="38:74" ht="14.25">
      <c r="AL50" s="3202">
        <v>46387</v>
      </c>
      <c r="AM50" s="3201"/>
      <c r="AN50" s="3201">
        <f>ROUND((AP49+$AO$52)/$AO$10,2)+0.03</f>
        <v>-31692.57</v>
      </c>
      <c r="AO50" s="3201">
        <f t="shared" si="10"/>
        <v>66.8</v>
      </c>
      <c r="AP50" s="3199">
        <f t="shared" si="11"/>
        <v>-705156</v>
      </c>
      <c r="AQ50" s="3199">
        <f t="shared" si="12"/>
        <v>31625.77</v>
      </c>
      <c r="AR50" s="3199"/>
      <c r="AS50" s="3201">
        <f t="shared" si="13"/>
        <v>-4.5183412566984771E-10</v>
      </c>
      <c r="AT50" s="3201">
        <f t="shared" si="14"/>
        <v>6655.4396999999999</v>
      </c>
      <c r="AU50" s="3201">
        <f t="shared" si="15"/>
        <v>-14.027999999999999</v>
      </c>
      <c r="AV50" s="3201">
        <f t="shared" si="16"/>
        <v>-6641.4116999999997</v>
      </c>
      <c r="AW50" s="3201">
        <f t="shared" si="17"/>
        <v>1.4551915228366852E-11</v>
      </c>
      <c r="BU50" s="3237" t="s">
        <v>1808</v>
      </c>
      <c r="BV50" s="3237" t="s">
        <v>1808</v>
      </c>
    </row>
    <row r="51" spans="38:74" ht="15" thickBot="1">
      <c r="AM51" s="3200">
        <f>SUM(AM15:AM50)</f>
        <v>705156</v>
      </c>
      <c r="AN51" s="3200">
        <f>SUM(AN27:AN50)</f>
        <v>-760622.36999999965</v>
      </c>
      <c r="AO51" s="3200">
        <f>SUM(AO27:AO50)</f>
        <v>37286.260000000009</v>
      </c>
      <c r="AP51" s="3200"/>
      <c r="AQ51" s="3200">
        <f>SUM(AQ27:AQ50)</f>
        <v>723336.11</v>
      </c>
      <c r="AR51" s="3200"/>
      <c r="AS51" s="3200"/>
      <c r="AT51" s="3200">
        <f>SUM(AT27:AT50)</f>
        <v>159730.69769999993</v>
      </c>
      <c r="AU51" s="3200">
        <f>SUM(AU27:AU50)</f>
        <v>-7830.1146000000008</v>
      </c>
      <c r="AV51" s="3200">
        <f>SUM(AV27:AV50)</f>
        <v>-151900.58309999996</v>
      </c>
      <c r="AW51" s="3200"/>
    </row>
    <row r="52" spans="38:74" ht="15.75" thickTop="1" thickBot="1">
      <c r="AM52" s="3199"/>
      <c r="AN52" s="3199"/>
      <c r="AO52" s="3203">
        <v>-55466.3</v>
      </c>
      <c r="AP52" s="3198"/>
      <c r="AQ52" s="3198"/>
      <c r="AR52" s="3198"/>
      <c r="AS52" s="3198"/>
      <c r="AT52" s="3198"/>
      <c r="AU52" s="3198"/>
      <c r="AV52" s="3198"/>
      <c r="AW52" s="3197"/>
    </row>
    <row r="53" spans="38:74" ht="16.5" thickTop="1" thickBot="1">
      <c r="AM53" s="3196" t="s">
        <v>2885</v>
      </c>
      <c r="AN53" s="3195">
        <f>SUM(AN27:AN38)</f>
        <v>-380311.19999999995</v>
      </c>
      <c r="AO53" s="3199"/>
      <c r="AP53" s="3198"/>
      <c r="AQ53" s="3198"/>
      <c r="AR53" s="3198"/>
      <c r="AS53" s="3198"/>
      <c r="AT53" s="3198"/>
      <c r="AU53" s="3198"/>
      <c r="AV53" s="3198"/>
      <c r="AW53" s="3197"/>
    </row>
    <row r="54" spans="38:74" ht="16.5" thickTop="1" thickBot="1">
      <c r="AM54" s="3196" t="s">
        <v>2884</v>
      </c>
      <c r="AN54" s="3195">
        <f>SUM(AN39:AN50)</f>
        <v>-380311.17</v>
      </c>
      <c r="AP54" s="929"/>
      <c r="AS54" s="929"/>
      <c r="AT54" s="929"/>
    </row>
    <row r="55" spans="38:74" ht="13.5" thickTop="1"/>
  </sheetData>
  <mergeCells count="6">
    <mergeCell ref="CD20:CE20"/>
    <mergeCell ref="W9:AH9"/>
    <mergeCell ref="AL9:AW9"/>
    <mergeCell ref="BO20:BP20"/>
    <mergeCell ref="BQ20:BR20"/>
    <mergeCell ref="CB20:CC20"/>
  </mergeCells>
  <pageMargins left="0.7" right="0.7" top="0.75" bottom="0.75" header="0.3" footer="0.3"/>
  <drawing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B660-795D-4814-B231-61DF7719CE38}">
  <dimension ref="B3:P28"/>
  <sheetViews>
    <sheetView workbookViewId="0">
      <selection activeCell="B1" sqref="B1"/>
    </sheetView>
  </sheetViews>
  <sheetFormatPr defaultColWidth="8.85546875" defaultRowHeight="12.75"/>
  <cols>
    <col min="1" max="1" width="1.7109375" style="2141" customWidth="1"/>
    <col min="2" max="2" width="4.28515625" style="2141" bestFit="1" customWidth="1"/>
    <col min="3" max="3" width="22.42578125" style="2141" bestFit="1" customWidth="1"/>
    <col min="4" max="4" width="11.85546875" style="2141" bestFit="1" customWidth="1"/>
    <col min="5" max="5" width="9.85546875" style="2141" bestFit="1" customWidth="1"/>
    <col min="6" max="6" width="7.5703125" style="2141" bestFit="1" customWidth="1"/>
    <col min="7" max="7" width="8.42578125" style="2141" bestFit="1" customWidth="1"/>
    <col min="8" max="8" width="8.28515625" style="2141" customWidth="1"/>
    <col min="9" max="9" width="6.5703125" style="2141" customWidth="1"/>
    <col min="10" max="10" width="7.85546875" style="2141" customWidth="1"/>
    <col min="11" max="11" width="8.42578125" style="2141" customWidth="1"/>
    <col min="12" max="12" width="9.85546875" style="2141" customWidth="1"/>
    <col min="13" max="13" width="7.42578125" style="2141" bestFit="1" customWidth="1"/>
    <col min="14" max="14" width="10.5703125" style="2141" customWidth="1"/>
    <col min="15" max="15" width="12.7109375" style="2141" customWidth="1"/>
    <col min="16" max="16" width="10.28515625" style="2141" customWidth="1"/>
    <col min="17" max="16384" width="8.85546875" style="2141"/>
  </cols>
  <sheetData>
    <row r="3" spans="2:16" ht="18.75">
      <c r="C3" s="3941" t="s">
        <v>2947</v>
      </c>
      <c r="D3" s="3941"/>
      <c r="E3" s="3941"/>
      <c r="F3" s="3941"/>
      <c r="G3" s="3941"/>
      <c r="K3" s="3942" t="s">
        <v>2948</v>
      </c>
      <c r="L3" s="3942"/>
      <c r="M3" s="3942"/>
      <c r="N3" s="3942"/>
      <c r="O3" s="3942"/>
      <c r="P3" s="3942"/>
    </row>
    <row r="4" spans="2:16" ht="30.75" thickBot="1">
      <c r="B4" s="3940" t="s">
        <v>2949</v>
      </c>
      <c r="C4" s="3264" t="s">
        <v>2950</v>
      </c>
      <c r="D4" s="3265" t="s">
        <v>2951</v>
      </c>
      <c r="E4" s="3266" t="s">
        <v>2952</v>
      </c>
      <c r="F4" s="3265" t="s">
        <v>2953</v>
      </c>
      <c r="G4" s="3265" t="s">
        <v>24</v>
      </c>
      <c r="H4" s="3265" t="s">
        <v>1291</v>
      </c>
      <c r="J4" s="2688">
        <v>2024</v>
      </c>
      <c r="K4" s="2688">
        <v>2025</v>
      </c>
      <c r="L4" s="2688">
        <v>2026</v>
      </c>
      <c r="M4" s="2688">
        <v>2027</v>
      </c>
      <c r="N4" s="2688">
        <v>2028</v>
      </c>
      <c r="O4" s="3267" t="s">
        <v>2954</v>
      </c>
    </row>
    <row r="5" spans="2:16" ht="15.75" thickBot="1">
      <c r="B5" s="3940"/>
      <c r="C5" s="2141" t="s">
        <v>2955</v>
      </c>
      <c r="D5" s="3268">
        <v>0.26</v>
      </c>
      <c r="E5" s="3268">
        <v>0.62</v>
      </c>
      <c r="F5" s="3268">
        <v>0</v>
      </c>
      <c r="G5" s="3268">
        <f>SUM(D5:F5)</f>
        <v>0.88</v>
      </c>
      <c r="H5" s="2688">
        <v>2025</v>
      </c>
      <c r="J5" s="3269">
        <v>0</v>
      </c>
      <c r="K5" s="3270">
        <f>(D7+E7)*1000</f>
        <v>1200</v>
      </c>
      <c r="L5" s="3271">
        <f>(E9+F9+D17+D9)*1000</f>
        <v>760</v>
      </c>
      <c r="M5" s="2163">
        <f>(E10+F10+D18+D10)*1000</f>
        <v>450</v>
      </c>
      <c r="N5" s="2163">
        <f>D19*1000</f>
        <v>320</v>
      </c>
      <c r="O5" s="3182">
        <f>SUM(J5:N5)</f>
        <v>2730</v>
      </c>
    </row>
    <row r="6" spans="2:16" ht="15.75" thickBot="1">
      <c r="B6" s="3940"/>
      <c r="C6" s="2141" t="s">
        <v>2956</v>
      </c>
      <c r="D6" s="3272">
        <v>0.11</v>
      </c>
      <c r="E6" s="3272">
        <v>0.21</v>
      </c>
      <c r="F6" s="3272">
        <v>0</v>
      </c>
      <c r="G6" s="3272">
        <f>SUM(D6:F6)</f>
        <v>0.32</v>
      </c>
      <c r="H6" s="3273">
        <v>2025</v>
      </c>
      <c r="O6" s="2163">
        <f>O5-G22</f>
        <v>460</v>
      </c>
    </row>
    <row r="7" spans="2:16" ht="15.75" thickBot="1">
      <c r="B7" s="3940"/>
      <c r="C7" s="3274" t="s">
        <v>24</v>
      </c>
      <c r="D7" s="3275">
        <f>SUM(D5:D6)</f>
        <v>0.37</v>
      </c>
      <c r="E7" s="3276">
        <f>SUM(E5:E6)</f>
        <v>0.83</v>
      </c>
      <c r="F7" s="3277">
        <f>SUM(F5:F6)</f>
        <v>0</v>
      </c>
      <c r="G7" s="3277">
        <f>SUM(D7:F7)</f>
        <v>1.2</v>
      </c>
      <c r="H7" s="3278">
        <v>2025</v>
      </c>
    </row>
    <row r="8" spans="2:16" ht="13.5" thickBot="1">
      <c r="B8" s="3940"/>
      <c r="K8" s="2141" t="s">
        <v>2957</v>
      </c>
    </row>
    <row r="9" spans="2:16" ht="15.75" thickBot="1">
      <c r="B9" s="3940"/>
      <c r="C9" s="2141" t="s">
        <v>2958</v>
      </c>
      <c r="D9" s="3279">
        <v>0.14000000000000001</v>
      </c>
      <c r="E9" s="3280">
        <v>0.18</v>
      </c>
      <c r="F9" s="3281">
        <v>0.14000000000000001</v>
      </c>
      <c r="G9" s="3268">
        <f>SUM(D9:F9)</f>
        <v>0.46</v>
      </c>
      <c r="H9" s="3282">
        <v>2026</v>
      </c>
      <c r="K9" s="2141" t="s">
        <v>2959</v>
      </c>
    </row>
    <row r="10" spans="2:16">
      <c r="B10" s="3940"/>
      <c r="C10" s="2141" t="s">
        <v>2960</v>
      </c>
      <c r="D10" s="3268">
        <v>0.04</v>
      </c>
      <c r="E10" s="3268">
        <v>0.06</v>
      </c>
      <c r="F10" s="3268">
        <v>0.04</v>
      </c>
      <c r="G10" s="3268">
        <f>SUM(D10:F10)</f>
        <v>0.14000000000000001</v>
      </c>
      <c r="H10" s="2141">
        <v>2027</v>
      </c>
    </row>
    <row r="11" spans="2:16" ht="15">
      <c r="B11" s="3940"/>
      <c r="C11" s="3274" t="s">
        <v>24</v>
      </c>
      <c r="D11" s="3277">
        <f>SUM(D10:D10)</f>
        <v>0.04</v>
      </c>
      <c r="E11" s="3277">
        <f>SUM(E10:E10)</f>
        <v>0.06</v>
      </c>
      <c r="F11" s="3277">
        <f>SUM(F10:F10)</f>
        <v>0.04</v>
      </c>
      <c r="G11" s="3277">
        <f>SUM(G10:G10)</f>
        <v>0.14000000000000001</v>
      </c>
    </row>
    <row r="12" spans="2:16" ht="15">
      <c r="B12" s="3940"/>
      <c r="H12" s="3268"/>
      <c r="J12" s="2141" t="s">
        <v>839</v>
      </c>
      <c r="K12" s="3943">
        <v>2025</v>
      </c>
      <c r="L12" s="3944"/>
      <c r="M12" s="3943">
        <v>2026</v>
      </c>
      <c r="N12" s="3944"/>
    </row>
    <row r="13" spans="2:16" ht="15">
      <c r="B13" s="3940"/>
      <c r="C13" s="3283" t="s">
        <v>978</v>
      </c>
      <c r="D13" s="3284">
        <f>SUM(D7+D11)</f>
        <v>0.41</v>
      </c>
      <c r="E13" s="3284">
        <f>SUM(E7+E11)</f>
        <v>0.8899999999999999</v>
      </c>
      <c r="F13" s="3284">
        <f>SUM(F7+F11)</f>
        <v>0.04</v>
      </c>
      <c r="G13" s="3284">
        <f>SUM(G7+G11)</f>
        <v>1.3399999999999999</v>
      </c>
      <c r="K13" s="3285" t="s">
        <v>2961</v>
      </c>
      <c r="L13" s="3286" t="s">
        <v>517</v>
      </c>
      <c r="M13" s="3285" t="s">
        <v>2961</v>
      </c>
      <c r="N13" s="3286" t="s">
        <v>519</v>
      </c>
    </row>
    <row r="14" spans="2:16" ht="15.75" thickBot="1">
      <c r="C14" s="3274"/>
      <c r="D14" s="3287"/>
      <c r="E14" s="3287"/>
      <c r="F14" s="3287"/>
      <c r="G14" s="3287"/>
      <c r="J14" s="2141" t="s">
        <v>540</v>
      </c>
      <c r="K14" s="3288">
        <f>K5</f>
        <v>1200</v>
      </c>
      <c r="L14" s="3289">
        <f>K14</f>
        <v>1200</v>
      </c>
      <c r="M14" s="3288">
        <f>N14-L14</f>
        <v>-440</v>
      </c>
      <c r="N14" s="3289">
        <f>L5</f>
        <v>760</v>
      </c>
    </row>
    <row r="15" spans="2:16" ht="16.5" thickTop="1" thickBot="1">
      <c r="B15" s="3940" t="s">
        <v>2962</v>
      </c>
      <c r="C15" s="2688" t="s">
        <v>2963</v>
      </c>
      <c r="H15" s="2688" t="s">
        <v>2964</v>
      </c>
      <c r="K15" s="3290">
        <f>K14*$H$16*$H$17</f>
        <v>563.22091391999993</v>
      </c>
      <c r="L15" s="3291">
        <f>L14*$H$16*$H$17</f>
        <v>563.22091391999993</v>
      </c>
      <c r="M15" s="3292">
        <f>M14*$H$16*$H$17</f>
        <v>-206.51433510399997</v>
      </c>
      <c r="N15" s="3291">
        <f>N14*$H$16*$H$17</f>
        <v>356.70657881599993</v>
      </c>
      <c r="O15" s="2163"/>
    </row>
    <row r="16" spans="2:16" ht="15.75" thickBot="1">
      <c r="B16" s="3940"/>
      <c r="C16" s="2688" t="s">
        <v>2965</v>
      </c>
      <c r="D16" s="3293">
        <v>0.09</v>
      </c>
      <c r="H16" s="2141">
        <v>0.70111999999999997</v>
      </c>
      <c r="I16" s="2141" t="s">
        <v>2398</v>
      </c>
      <c r="K16" s="3294"/>
      <c r="L16" s="3295"/>
      <c r="M16" s="3294"/>
      <c r="N16" s="3295"/>
    </row>
    <row r="17" spans="2:15" ht="15.75" thickBot="1">
      <c r="B17" s="3940"/>
      <c r="C17" s="3282" t="s">
        <v>2966</v>
      </c>
      <c r="D17" s="3296">
        <v>0.3</v>
      </c>
      <c r="H17" s="2141">
        <v>0.66942999999999997</v>
      </c>
      <c r="I17" s="2141" t="s">
        <v>2399</v>
      </c>
      <c r="K17" s="3297"/>
      <c r="L17" s="3298"/>
      <c r="M17" s="3294"/>
      <c r="N17" s="3298"/>
    </row>
    <row r="18" spans="2:15" ht="15.75" thickBot="1">
      <c r="B18" s="3940"/>
      <c r="C18" s="2141" t="s">
        <v>2967</v>
      </c>
      <c r="D18" s="3268">
        <v>0.31</v>
      </c>
      <c r="H18" s="2688" t="s">
        <v>2968</v>
      </c>
      <c r="K18" s="3290">
        <f>K14*$H$19*$H$20</f>
        <v>178.28594016</v>
      </c>
      <c r="L18" s="3291">
        <f>L14*$H$19*$H$20</f>
        <v>178.28594016</v>
      </c>
      <c r="M18" s="3292">
        <f>M14*$H$19*$H$20</f>
        <v>-65.371511391999988</v>
      </c>
      <c r="N18" s="3291">
        <f>N14*$H$19*$H$20</f>
        <v>112.91442876799999</v>
      </c>
      <c r="O18" s="2163"/>
    </row>
    <row r="19" spans="2:15">
      <c r="B19" s="3940"/>
      <c r="C19" s="2141" t="s">
        <v>2969</v>
      </c>
      <c r="D19" s="3268">
        <v>0.32</v>
      </c>
      <c r="H19" s="2141">
        <v>0.20707999999999999</v>
      </c>
      <c r="I19" s="2141" t="s">
        <v>2398</v>
      </c>
      <c r="K19" s="3294"/>
      <c r="L19" s="3295"/>
      <c r="M19" s="3294"/>
      <c r="N19" s="3295"/>
    </row>
    <row r="20" spans="2:15" ht="15">
      <c r="C20" s="3274" t="s">
        <v>2970</v>
      </c>
      <c r="D20" s="3287" cm="1">
        <f t="array" ref="D20">SUM(D16:D19+D7)</f>
        <v>2.5</v>
      </c>
      <c r="H20" s="2141">
        <v>0.71745999999999999</v>
      </c>
      <c r="I20" s="2141" t="s">
        <v>2399</v>
      </c>
      <c r="K20" s="3294"/>
      <c r="L20" s="3295"/>
      <c r="M20" s="3294"/>
      <c r="N20" s="3295"/>
    </row>
    <row r="21" spans="2:15">
      <c r="H21" s="2141" t="s">
        <v>2971</v>
      </c>
      <c r="K21" s="3297">
        <f>K14*$H$22*$H$23</f>
        <v>278.12308607999995</v>
      </c>
      <c r="L21" s="3298">
        <f>L14*$H$22*$H$23</f>
        <v>278.12308607999995</v>
      </c>
      <c r="M21" s="3297">
        <f>M14*$H$22*$H$23</f>
        <v>-101.97846489599999</v>
      </c>
      <c r="N21" s="3298">
        <f>N14*$H$22*$H$23</f>
        <v>176.14462118399996</v>
      </c>
      <c r="O21" s="2163"/>
    </row>
    <row r="22" spans="2:15" ht="15">
      <c r="C22" s="3299" t="s">
        <v>2972</v>
      </c>
      <c r="D22" s="3300">
        <f>(D7+D11+D17+D18+D19)*1000</f>
        <v>1340</v>
      </c>
      <c r="E22" s="3300">
        <f>E13*1000</f>
        <v>889.99999999999989</v>
      </c>
      <c r="F22" s="3300">
        <f>F13*1000</f>
        <v>40</v>
      </c>
      <c r="G22" s="3300">
        <f>SUM(D22:F22)</f>
        <v>2270</v>
      </c>
      <c r="H22" s="2141">
        <v>0.70111999999999997</v>
      </c>
      <c r="I22" s="2141" t="s">
        <v>2398</v>
      </c>
      <c r="K22" s="3294"/>
      <c r="L22" s="3295"/>
      <c r="M22" s="3294"/>
      <c r="N22" s="3295"/>
    </row>
    <row r="23" spans="2:15">
      <c r="D23" s="3269"/>
      <c r="H23" s="2141">
        <v>0.33056999999999997</v>
      </c>
      <c r="I23" s="2141" t="s">
        <v>2399</v>
      </c>
      <c r="K23" s="3294"/>
      <c r="L23" s="3295"/>
      <c r="M23" s="3294"/>
      <c r="N23" s="3295"/>
    </row>
    <row r="24" spans="2:15">
      <c r="H24" s="2141" t="s">
        <v>2973</v>
      </c>
      <c r="K24" s="3297">
        <f>K14*$H$25*$H$26</f>
        <v>70.21005984</v>
      </c>
      <c r="L24" s="3298">
        <f>L14*$H$25*$H$26</f>
        <v>70.21005984</v>
      </c>
      <c r="M24" s="3297">
        <f>M14*$H$25*$H$26</f>
        <v>-25.743688607999999</v>
      </c>
      <c r="N24" s="3298">
        <f>N14*$H$25*$H$26</f>
        <v>44.466371232</v>
      </c>
      <c r="O24" s="2163"/>
    </row>
    <row r="25" spans="2:15">
      <c r="H25" s="2141">
        <v>0.20707999999999999</v>
      </c>
      <c r="I25" s="2141" t="s">
        <v>2398</v>
      </c>
      <c r="K25" s="3294"/>
      <c r="L25" s="3295"/>
      <c r="M25" s="3294"/>
      <c r="N25" s="3295"/>
    </row>
    <row r="26" spans="2:15">
      <c r="H26" s="2141">
        <v>0.28254000000000001</v>
      </c>
      <c r="I26" s="2141" t="s">
        <v>2399</v>
      </c>
      <c r="K26" s="3294"/>
      <c r="L26" s="3295"/>
      <c r="M26" s="3294"/>
      <c r="N26" s="3295"/>
    </row>
    <row r="27" spans="2:15">
      <c r="H27" s="2141" t="s">
        <v>2974</v>
      </c>
      <c r="K27" s="3297">
        <f>K14*$H$28</f>
        <v>110.16000000000001</v>
      </c>
      <c r="L27" s="3298">
        <f>L14*$H$28</f>
        <v>110.16000000000001</v>
      </c>
      <c r="M27" s="3297">
        <f>M14*$H$28</f>
        <v>-40.392000000000003</v>
      </c>
      <c r="N27" s="3298">
        <f>N14*$H$28</f>
        <v>69.768000000000001</v>
      </c>
      <c r="O27" s="2163"/>
    </row>
    <row r="28" spans="2:15">
      <c r="H28" s="2141">
        <v>9.1800000000000007E-2</v>
      </c>
      <c r="I28" s="2141" t="s">
        <v>2398</v>
      </c>
      <c r="K28" s="3294"/>
      <c r="L28" s="3295"/>
      <c r="M28" s="3294"/>
      <c r="N28" s="3295"/>
    </row>
  </sheetData>
  <mergeCells count="6">
    <mergeCell ref="B15:B19"/>
    <mergeCell ref="C3:G3"/>
    <mergeCell ref="K3:P3"/>
    <mergeCell ref="B4:B13"/>
    <mergeCell ref="K12:L12"/>
    <mergeCell ref="M12:N12"/>
  </mergeCell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DEEB-31E2-41AF-8AAF-F2F367B1282B}">
  <dimension ref="A1:AH1005"/>
  <sheetViews>
    <sheetView workbookViewId="0">
      <selection sqref="A1:G1"/>
    </sheetView>
  </sheetViews>
  <sheetFormatPr defaultColWidth="8.85546875" defaultRowHeight="14.25"/>
  <cols>
    <col min="1" max="1" width="28.7109375" style="2141" bestFit="1" customWidth="1"/>
    <col min="2" max="2" width="8.28515625" style="2141" bestFit="1" customWidth="1"/>
    <col min="3" max="3" width="9.5703125" style="2141" bestFit="1" customWidth="1"/>
    <col min="4" max="4" width="5.7109375" style="2141" customWidth="1"/>
    <col min="5" max="5" width="13.5703125" style="2141" customWidth="1"/>
    <col min="6" max="6" width="4.140625" style="2141" customWidth="1"/>
    <col min="7" max="7" width="13.5703125" style="2141" customWidth="1"/>
    <col min="8" max="8" width="10.140625" style="2141" bestFit="1" customWidth="1"/>
    <col min="9" max="9" width="8.85546875" style="2141"/>
    <col min="10" max="10" width="1.7109375" style="2142" customWidth="1"/>
    <col min="11" max="11" width="8.85546875" style="2141"/>
    <col min="12" max="12" width="40.7109375" style="2141" customWidth="1"/>
    <col min="13" max="13" width="18.5703125" style="2141" customWidth="1"/>
    <col min="14" max="14" width="31.28515625" style="2141" bestFit="1" customWidth="1"/>
    <col min="15" max="17" width="15.42578125" style="3302" bestFit="1" customWidth="1"/>
    <col min="18" max="18" width="13.140625" style="3302" bestFit="1" customWidth="1"/>
    <col min="19" max="19" width="15.85546875" style="2141" bestFit="1" customWidth="1"/>
    <col min="20" max="20" width="1.7109375" style="2142" customWidth="1"/>
    <col min="21" max="21" width="8.85546875" style="2141"/>
    <col min="22" max="22" width="29.7109375" style="3345" customWidth="1"/>
    <col min="23" max="25" width="14.7109375" style="3442" customWidth="1"/>
    <col min="26" max="26" width="15" style="3442" bestFit="1" customWidth="1"/>
    <col min="27" max="30" width="15" style="3442" customWidth="1"/>
    <col min="31" max="31" width="15.42578125" style="3442" customWidth="1"/>
    <col min="32" max="33" width="14.7109375" style="3390" customWidth="1"/>
    <col min="34" max="34" width="19.28515625" style="3442" customWidth="1"/>
    <col min="35" max="16384" width="8.85546875" style="2141"/>
  </cols>
  <sheetData>
    <row r="1" spans="1:34" ht="15.75" thickBot="1">
      <c r="A1" s="3825" t="s">
        <v>1204</v>
      </c>
      <c r="B1" s="3825"/>
      <c r="C1" s="3825"/>
      <c r="D1" s="3825"/>
      <c r="E1" s="3825"/>
      <c r="F1" s="3825"/>
      <c r="G1" s="3825"/>
      <c r="L1" s="3946" t="s">
        <v>2975</v>
      </c>
      <c r="M1" s="3946"/>
      <c r="N1" s="3946"/>
      <c r="O1" s="3946"/>
      <c r="P1" s="3301"/>
      <c r="Q1" s="3301"/>
      <c r="V1" s="3303"/>
      <c r="W1" s="3304" t="s">
        <v>2976</v>
      </c>
      <c r="X1" s="3304" t="s">
        <v>2977</v>
      </c>
      <c r="Y1" s="3304" t="s">
        <v>2978</v>
      </c>
      <c r="Z1" s="3304" t="s">
        <v>2979</v>
      </c>
      <c r="AA1" s="3304" t="s">
        <v>2980</v>
      </c>
      <c r="AB1" s="3304" t="s">
        <v>2981</v>
      </c>
      <c r="AC1" s="3304" t="s">
        <v>2982</v>
      </c>
      <c r="AD1" s="3304" t="s">
        <v>2983</v>
      </c>
      <c r="AE1" s="3304" t="s">
        <v>2984</v>
      </c>
      <c r="AF1" s="3304" t="s">
        <v>2985</v>
      </c>
      <c r="AG1" s="3305" t="s">
        <v>2986</v>
      </c>
      <c r="AH1" s="3306" t="s">
        <v>2987</v>
      </c>
    </row>
    <row r="2" spans="1:34">
      <c r="A2" s="3825" t="s">
        <v>2988</v>
      </c>
      <c r="B2" s="3825"/>
      <c r="C2" s="3825"/>
      <c r="D2" s="3825"/>
      <c r="E2" s="3825"/>
      <c r="F2" s="3825"/>
      <c r="G2" s="3825"/>
      <c r="L2" s="3946" t="s">
        <v>2989</v>
      </c>
      <c r="M2" s="3946"/>
      <c r="N2" s="3946"/>
      <c r="O2" s="3946"/>
      <c r="P2" s="3301"/>
      <c r="Q2" s="3301"/>
      <c r="V2" s="3307" t="s">
        <v>2990</v>
      </c>
      <c r="W2" s="3308">
        <v>124972.78</v>
      </c>
      <c r="X2" s="3308">
        <v>0</v>
      </c>
      <c r="Y2" s="3308">
        <v>124972.78</v>
      </c>
      <c r="Z2" s="3308">
        <v>124972.78</v>
      </c>
      <c r="AA2" s="3308">
        <v>124972.78</v>
      </c>
      <c r="AB2" s="3308">
        <v>124972.78</v>
      </c>
      <c r="AC2" s="3308">
        <v>124972.78</v>
      </c>
      <c r="AD2" s="3308">
        <v>124972.78</v>
      </c>
      <c r="AE2" s="3308">
        <v>124972.78</v>
      </c>
      <c r="AF2" s="3308">
        <v>124972.78</v>
      </c>
      <c r="AG2" s="3308">
        <v>124972.78</v>
      </c>
      <c r="AH2" s="3309">
        <f>SUM(W2:AG2)</f>
        <v>1249727.8</v>
      </c>
    </row>
    <row r="3" spans="1:34">
      <c r="A3" s="3825" t="s">
        <v>2989</v>
      </c>
      <c r="B3" s="3825"/>
      <c r="C3" s="3825"/>
      <c r="D3" s="3825"/>
      <c r="E3" s="3825"/>
      <c r="F3" s="3825"/>
      <c r="G3" s="3825"/>
      <c r="L3" s="3310"/>
      <c r="M3" s="3310"/>
      <c r="N3" s="3310"/>
      <c r="O3" s="3311"/>
      <c r="P3" s="3311"/>
      <c r="Q3" s="3311"/>
      <c r="V3" s="3312" t="s">
        <v>2991</v>
      </c>
      <c r="W3" s="3313">
        <v>4997.49</v>
      </c>
      <c r="X3" s="3313">
        <v>4997.49</v>
      </c>
      <c r="Y3" s="3313">
        <v>4997.49</v>
      </c>
      <c r="Z3" s="3313">
        <v>4997.49</v>
      </c>
      <c r="AA3" s="3313">
        <v>4997.49</v>
      </c>
      <c r="AB3" s="3313">
        <v>4997.49</v>
      </c>
      <c r="AC3" s="3313">
        <v>4997.49</v>
      </c>
      <c r="AD3" s="3313">
        <v>4997.49</v>
      </c>
      <c r="AE3" s="3313">
        <v>4997.49</v>
      </c>
      <c r="AF3" s="3313">
        <v>4997.49</v>
      </c>
      <c r="AG3" s="3313">
        <v>4997.49</v>
      </c>
      <c r="AH3" s="3309">
        <f>SUM(W3:AG3)</f>
        <v>54972.389999999985</v>
      </c>
    </row>
    <row r="4" spans="1:34" ht="42.75">
      <c r="A4" s="3314"/>
      <c r="B4" s="3314"/>
      <c r="C4" s="3315"/>
      <c r="D4" s="1197"/>
      <c r="E4" s="1197"/>
      <c r="F4" s="1197"/>
      <c r="G4" s="1197"/>
      <c r="L4" s="3945" t="s">
        <v>2992</v>
      </c>
      <c r="M4" s="3945"/>
      <c r="N4" s="3945"/>
      <c r="O4" s="3945"/>
      <c r="P4" s="3316"/>
      <c r="Q4" s="3316"/>
      <c r="V4" s="3317" t="s">
        <v>2993</v>
      </c>
      <c r="W4" s="3318"/>
      <c r="X4" s="3318"/>
      <c r="Y4" s="3318"/>
      <c r="Z4" s="3318"/>
      <c r="AA4" s="3318"/>
      <c r="AB4" s="3318"/>
      <c r="AC4" s="3318"/>
      <c r="AD4" s="3318"/>
      <c r="AE4" s="3318"/>
      <c r="AF4" s="3318"/>
      <c r="AG4" s="3318"/>
      <c r="AH4" s="3309">
        <f>SUM(W4:AG4)</f>
        <v>0</v>
      </c>
    </row>
    <row r="5" spans="1:34" ht="39" thickBot="1">
      <c r="A5" s="3319"/>
      <c r="B5" s="3319"/>
      <c r="C5" s="3320"/>
      <c r="D5" s="2928"/>
      <c r="E5" s="3321" t="s">
        <v>2994</v>
      </c>
      <c r="F5" s="3321"/>
      <c r="G5" s="3321" t="s">
        <v>2995</v>
      </c>
      <c r="O5" s="3322"/>
      <c r="P5" s="3323"/>
      <c r="Q5" s="3322"/>
      <c r="V5" s="3317" t="s">
        <v>2996</v>
      </c>
      <c r="W5" s="3324">
        <f t="shared" ref="W5:AG5" si="0">W53+W65+W26+W43</f>
        <v>95472.51</v>
      </c>
      <c r="X5" s="3324">
        <f t="shared" si="0"/>
        <v>184961.3016666667</v>
      </c>
      <c r="Y5" s="3324">
        <f t="shared" si="0"/>
        <v>120097.51</v>
      </c>
      <c r="Z5" s="3324">
        <f t="shared" si="0"/>
        <v>110247.51</v>
      </c>
      <c r="AA5" s="3324">
        <f t="shared" si="0"/>
        <v>97935.01</v>
      </c>
      <c r="AB5" s="3324">
        <f t="shared" si="0"/>
        <v>110247.51</v>
      </c>
      <c r="AC5" s="3324">
        <f t="shared" si="0"/>
        <v>192495.01</v>
      </c>
      <c r="AD5" s="3324">
        <f t="shared" si="0"/>
        <v>95472.51</v>
      </c>
      <c r="AE5" s="3324">
        <f t="shared" si="0"/>
        <v>95472.51</v>
      </c>
      <c r="AF5" s="3324">
        <f t="shared" si="0"/>
        <v>110247.51</v>
      </c>
      <c r="AG5" s="3324">
        <f t="shared" si="0"/>
        <v>7113.8933333333325</v>
      </c>
      <c r="AH5" s="3309">
        <f>SUM(W5:AG5)</f>
        <v>1219762.7849999999</v>
      </c>
    </row>
    <row r="6" spans="1:34" ht="30.75" thickBot="1">
      <c r="A6" s="3319"/>
      <c r="B6" s="3319"/>
      <c r="C6" s="3320"/>
      <c r="D6" s="2928"/>
      <c r="E6" s="2928"/>
      <c r="F6" s="2928"/>
      <c r="G6" s="2928"/>
      <c r="L6" s="3325" t="s">
        <v>2997</v>
      </c>
      <c r="M6" s="3326" t="s">
        <v>2359</v>
      </c>
      <c r="N6" s="3326" t="s">
        <v>444</v>
      </c>
      <c r="O6" s="3327" t="s">
        <v>2998</v>
      </c>
      <c r="P6" s="3328"/>
      <c r="Q6" s="3328"/>
      <c r="V6" s="3329" t="s">
        <v>2999</v>
      </c>
      <c r="W6" s="3330">
        <f t="shared" ref="W6:AH6" si="1">SUM(W2:W5)</f>
        <v>225442.78</v>
      </c>
      <c r="X6" s="3330">
        <f t="shared" si="1"/>
        <v>189958.79166666669</v>
      </c>
      <c r="Y6" s="3330">
        <f t="shared" si="1"/>
        <v>250067.78</v>
      </c>
      <c r="Z6" s="3330">
        <f t="shared" si="1"/>
        <v>240217.78</v>
      </c>
      <c r="AA6" s="3330">
        <f t="shared" si="1"/>
        <v>227905.28</v>
      </c>
      <c r="AB6" s="3330">
        <f t="shared" si="1"/>
        <v>240217.78</v>
      </c>
      <c r="AC6" s="3330">
        <f t="shared" si="1"/>
        <v>322465.28000000003</v>
      </c>
      <c r="AD6" s="3330">
        <f t="shared" si="1"/>
        <v>225442.78</v>
      </c>
      <c r="AE6" s="3330">
        <f t="shared" si="1"/>
        <v>225442.78</v>
      </c>
      <c r="AF6" s="3330">
        <f t="shared" si="1"/>
        <v>240217.78</v>
      </c>
      <c r="AG6" s="3330">
        <f t="shared" si="1"/>
        <v>137084.16333333333</v>
      </c>
      <c r="AH6" s="3330">
        <f t="shared" si="1"/>
        <v>2524462.9749999996</v>
      </c>
    </row>
    <row r="7" spans="1:34" ht="15.75" thickTop="1">
      <c r="A7" s="3331" t="s">
        <v>2561</v>
      </c>
      <c r="B7" s="3331"/>
      <c r="D7" s="3332" t="s">
        <v>3000</v>
      </c>
      <c r="E7" s="3333">
        <f>'G-3.20 PF BOD'!M24</f>
        <v>-1197152.6125000003</v>
      </c>
      <c r="F7" s="3334"/>
      <c r="G7" s="3333">
        <f>'G-3.20 PF BOD'!M35</f>
        <v>1009785.19</v>
      </c>
      <c r="L7" s="3301" t="s">
        <v>3001</v>
      </c>
      <c r="M7" s="3335">
        <f>M10-M9</f>
        <v>1193824.9157000002</v>
      </c>
      <c r="N7" s="3335">
        <f>O7*N11</f>
        <v>36592.883549999991</v>
      </c>
      <c r="O7" s="3336">
        <f>O10-O9-O8</f>
        <v>1219762.7849999997</v>
      </c>
      <c r="P7" s="3337" t="s">
        <v>3002</v>
      </c>
      <c r="Q7" s="3335"/>
      <c r="V7" s="3338"/>
      <c r="W7" s="3339"/>
      <c r="X7" s="3339"/>
      <c r="Y7" s="3339"/>
      <c r="Z7" s="3339"/>
      <c r="AA7" s="3339"/>
      <c r="AB7" s="3339"/>
      <c r="AC7" s="3339"/>
      <c r="AD7" s="3339"/>
      <c r="AE7" s="3339"/>
      <c r="AF7" s="3340"/>
      <c r="AG7" s="3340"/>
      <c r="AH7" s="3341"/>
    </row>
    <row r="8" spans="1:34" ht="15">
      <c r="F8" s="1009"/>
      <c r="L8" s="3342"/>
      <c r="M8" s="3343"/>
      <c r="N8" s="3343"/>
      <c r="O8" s="3336"/>
      <c r="P8" s="3337"/>
      <c r="Q8" s="3344"/>
      <c r="W8" s="3346"/>
      <c r="X8" s="3346"/>
      <c r="Y8" s="3346"/>
      <c r="Z8" s="3346"/>
      <c r="AA8" s="3346"/>
      <c r="AB8" s="3346"/>
      <c r="AC8" s="3346"/>
      <c r="AD8" s="3347" t="s">
        <v>1208</v>
      </c>
      <c r="AE8" s="3346"/>
      <c r="AF8" s="3348"/>
      <c r="AG8" s="3348"/>
      <c r="AH8" s="3346"/>
    </row>
    <row r="9" spans="1:34" ht="15" thickBot="1">
      <c r="A9" s="3349" t="s">
        <v>2470</v>
      </c>
      <c r="B9" s="3350"/>
      <c r="C9" s="1862"/>
      <c r="F9" s="1009"/>
      <c r="L9" s="3351" t="s">
        <v>3003</v>
      </c>
      <c r="M9" s="3352">
        <f>O9*M11</f>
        <v>1265559.1842999998</v>
      </c>
      <c r="N9" s="3352">
        <f>O9*N11</f>
        <v>39141.005699999994</v>
      </c>
      <c r="O9" s="3353">
        <f>'G-3.20 PF BOD'!AH2+'G-3.20 PF BOD'!AH3</f>
        <v>1304700.19</v>
      </c>
      <c r="P9" s="3337" t="s">
        <v>3002</v>
      </c>
      <c r="Q9" s="3344"/>
      <c r="V9" s="3354"/>
      <c r="W9" s="3355"/>
      <c r="X9" s="3354"/>
      <c r="Y9" s="3354"/>
      <c r="Z9" s="3354"/>
      <c r="AA9" s="3354"/>
      <c r="AB9" s="3354"/>
      <c r="AC9" s="3354"/>
      <c r="AD9" s="3354"/>
      <c r="AE9" s="3354"/>
      <c r="AF9" s="3356"/>
      <c r="AG9" s="3356"/>
      <c r="AH9" s="3346"/>
    </row>
    <row r="10" spans="1:34" ht="36" thickTop="1" thickBot="1">
      <c r="A10" s="3350"/>
      <c r="B10" s="3350">
        <v>6.2023000000000001</v>
      </c>
      <c r="C10" s="1862"/>
      <c r="F10" s="1009"/>
      <c r="L10" s="3351" t="s">
        <v>3004</v>
      </c>
      <c r="M10" s="3357">
        <f>Q140</f>
        <v>2459384.1</v>
      </c>
      <c r="N10" s="3357">
        <f>O141</f>
        <v>76063.47</v>
      </c>
      <c r="O10" s="3357">
        <f>'G-3.20 PF BOD'!AH6</f>
        <v>2524462.9749999996</v>
      </c>
      <c r="P10" s="3358"/>
      <c r="Q10" s="3344"/>
      <c r="S10" s="3269"/>
      <c r="V10" s="3359" t="s">
        <v>3005</v>
      </c>
      <c r="W10" s="3359"/>
      <c r="X10" s="3359"/>
      <c r="Y10" s="3359"/>
      <c r="Z10" s="3359"/>
      <c r="AA10" s="3359"/>
      <c r="AB10" s="3359"/>
      <c r="AC10" s="3359"/>
      <c r="AD10" s="3359"/>
      <c r="AE10" s="3359"/>
      <c r="AF10" s="3359"/>
      <c r="AG10" s="3359"/>
      <c r="AH10" s="3359"/>
    </row>
    <row r="11" spans="1:34" ht="15">
      <c r="A11" s="3360"/>
      <c r="B11" s="3360">
        <v>0.70111999999999997</v>
      </c>
      <c r="C11" s="1851" t="s">
        <v>3006</v>
      </c>
      <c r="D11" s="3361"/>
      <c r="F11" s="1009"/>
      <c r="H11" s="2844" t="s">
        <v>3007</v>
      </c>
      <c r="L11" s="3351"/>
      <c r="M11" s="3362">
        <v>0.97</v>
      </c>
      <c r="N11" s="3362">
        <v>0.03</v>
      </c>
      <c r="O11" s="3363"/>
      <c r="P11" s="3358"/>
      <c r="Q11" s="3344"/>
      <c r="V11" s="3364"/>
      <c r="W11" s="3365" t="s">
        <v>2976</v>
      </c>
      <c r="X11" s="3366" t="s">
        <v>3008</v>
      </c>
      <c r="Y11" s="3366" t="s">
        <v>2978</v>
      </c>
      <c r="Z11" s="3366" t="s">
        <v>2979</v>
      </c>
      <c r="AA11" s="3366" t="s">
        <v>2980</v>
      </c>
      <c r="AB11" s="3366" t="s">
        <v>2981</v>
      </c>
      <c r="AC11" s="3366" t="s">
        <v>2982</v>
      </c>
      <c r="AD11" s="3366" t="s">
        <v>2983</v>
      </c>
      <c r="AE11" s="3367" t="s">
        <v>2984</v>
      </c>
      <c r="AF11" s="3366" t="s">
        <v>2985</v>
      </c>
      <c r="AG11" s="3368" t="s">
        <v>2986</v>
      </c>
      <c r="AH11" s="3369" t="s">
        <v>198</v>
      </c>
    </row>
    <row r="12" spans="1:34">
      <c r="A12" s="3360"/>
      <c r="B12" s="3360">
        <v>0.66942999999999997</v>
      </c>
      <c r="C12" s="1851" t="s">
        <v>3009</v>
      </c>
      <c r="D12" s="3361"/>
      <c r="E12" s="3370">
        <f>ROUND((E7)*$B$11*$B$12,0)</f>
        <v>-561884</v>
      </c>
      <c r="F12" s="3371"/>
      <c r="G12" s="3370">
        <f>ROUND((G7)*$B$11*$B$12,0)</f>
        <v>473943</v>
      </c>
      <c r="H12" s="2844">
        <v>930200</v>
      </c>
      <c r="I12" s="2141" t="s">
        <v>1712</v>
      </c>
      <c r="L12" s="3351" t="s">
        <v>3010</v>
      </c>
      <c r="M12" s="3363">
        <f>M10</f>
        <v>2459384.1</v>
      </c>
      <c r="N12" s="3363">
        <f>N10</f>
        <v>76063.47</v>
      </c>
      <c r="O12" s="3363">
        <f>O10</f>
        <v>2524462.9749999996</v>
      </c>
      <c r="P12" s="3372"/>
      <c r="Q12" s="3344"/>
      <c r="V12" s="3373" t="s">
        <v>3011</v>
      </c>
      <c r="W12" s="3374">
        <f t="shared" ref="W12:AF12" si="2">(80000/12*2)+(95000/12)</f>
        <v>21250</v>
      </c>
      <c r="X12" s="3374">
        <f t="shared" si="2"/>
        <v>21250</v>
      </c>
      <c r="Y12" s="3374">
        <f t="shared" si="2"/>
        <v>21250</v>
      </c>
      <c r="Z12" s="3374">
        <f t="shared" si="2"/>
        <v>21250</v>
      </c>
      <c r="AA12" s="3374">
        <f t="shared" si="2"/>
        <v>21250</v>
      </c>
      <c r="AB12" s="3374">
        <f t="shared" si="2"/>
        <v>21250</v>
      </c>
      <c r="AC12" s="3374">
        <f t="shared" si="2"/>
        <v>21250</v>
      </c>
      <c r="AD12" s="3374">
        <f t="shared" si="2"/>
        <v>21250</v>
      </c>
      <c r="AE12" s="3374">
        <f t="shared" si="2"/>
        <v>21250</v>
      </c>
      <c r="AF12" s="3374">
        <f t="shared" si="2"/>
        <v>21250</v>
      </c>
      <c r="AG12" s="3375"/>
      <c r="AH12" s="3376">
        <f t="shared" ref="AH12:AH26" si="3">SUM(W12:AF12)</f>
        <v>212500</v>
      </c>
    </row>
    <row r="13" spans="1:34">
      <c r="F13" s="1009"/>
      <c r="L13" s="3351"/>
      <c r="M13" s="3358"/>
      <c r="N13" s="3358"/>
      <c r="O13" s="3353"/>
      <c r="P13" s="3372"/>
      <c r="Q13" s="3344"/>
      <c r="V13" s="3377" t="s">
        <v>3012</v>
      </c>
      <c r="W13" s="3374"/>
      <c r="X13" s="3378">
        <v>3750</v>
      </c>
      <c r="Y13" s="3378">
        <v>5000</v>
      </c>
      <c r="Z13" s="3378">
        <v>3750</v>
      </c>
      <c r="AA13" s="3379"/>
      <c r="AB13" s="3379">
        <v>3750</v>
      </c>
      <c r="AC13" s="3379"/>
      <c r="AD13" s="3379"/>
      <c r="AE13" s="3379"/>
      <c r="AF13" s="3380">
        <v>3750</v>
      </c>
      <c r="AG13" s="3381"/>
      <c r="AH13" s="3376">
        <f t="shared" si="3"/>
        <v>20000</v>
      </c>
    </row>
    <row r="14" spans="1:34">
      <c r="A14" s="3382" t="s">
        <v>2476</v>
      </c>
      <c r="D14" s="3350"/>
      <c r="F14" s="1009"/>
      <c r="L14" s="3351" t="s">
        <v>3013</v>
      </c>
      <c r="M14" s="3358"/>
      <c r="N14" s="3358"/>
      <c r="O14" s="3363">
        <f>O12-O13</f>
        <v>2524462.9749999996</v>
      </c>
      <c r="P14" s="3372"/>
      <c r="Q14" s="3344"/>
      <c r="V14" s="3377" t="s">
        <v>3014</v>
      </c>
      <c r="W14" s="3374"/>
      <c r="X14" s="3378">
        <f>(25000/12*2)+(30000/12)</f>
        <v>6666.666666666667</v>
      </c>
      <c r="Y14" s="3378"/>
      <c r="Z14" s="3378"/>
      <c r="AA14" s="3379"/>
      <c r="AB14" s="3379"/>
      <c r="AC14" s="3379"/>
      <c r="AD14" s="3379"/>
      <c r="AE14" s="3379"/>
      <c r="AF14" s="3380"/>
      <c r="AG14" s="3381"/>
      <c r="AH14" s="3376">
        <f t="shared" si="3"/>
        <v>6666.666666666667</v>
      </c>
    </row>
    <row r="15" spans="1:34">
      <c r="A15" s="3350"/>
      <c r="B15" s="3350">
        <f>B10</f>
        <v>6.2023000000000001</v>
      </c>
      <c r="D15" s="3350"/>
      <c r="F15" s="1009"/>
      <c r="L15" s="3351"/>
      <c r="M15" s="3383">
        <v>0.5</v>
      </c>
      <c r="N15" s="3383">
        <v>0.5</v>
      </c>
      <c r="O15" s="3383"/>
      <c r="P15" s="3344"/>
      <c r="Q15" s="3384"/>
      <c r="S15" s="3269"/>
      <c r="V15" s="3377" t="s">
        <v>3015</v>
      </c>
      <c r="W15" s="3374"/>
      <c r="X15" s="3378"/>
      <c r="Y15" s="3378"/>
      <c r="Z15" s="3378"/>
      <c r="AA15" s="3379"/>
      <c r="AB15" s="3379"/>
      <c r="AC15" s="3379">
        <v>25000</v>
      </c>
      <c r="AD15" s="3379"/>
      <c r="AE15" s="3379"/>
      <c r="AF15" s="3380"/>
      <c r="AG15" s="3381"/>
      <c r="AH15" s="3376">
        <f t="shared" si="3"/>
        <v>25000</v>
      </c>
    </row>
    <row r="16" spans="1:34">
      <c r="A16" s="3360"/>
      <c r="B16" s="3360">
        <v>0.20707999999999999</v>
      </c>
      <c r="C16" s="1851" t="s">
        <v>3006</v>
      </c>
      <c r="D16" s="3361"/>
      <c r="F16" s="1009"/>
      <c r="H16" s="2844" t="s">
        <v>3007</v>
      </c>
      <c r="L16" s="3385" t="s">
        <v>3016</v>
      </c>
      <c r="M16" s="3386" t="s">
        <v>2359</v>
      </c>
      <c r="N16" s="3386" t="s">
        <v>444</v>
      </c>
      <c r="O16" s="3386" t="s">
        <v>24</v>
      </c>
      <c r="P16" s="3344"/>
      <c r="V16" s="3377" t="s">
        <v>3017</v>
      </c>
      <c r="W16" s="3387"/>
      <c r="X16" s="3379">
        <v>1500</v>
      </c>
      <c r="Y16" s="3379">
        <v>1500</v>
      </c>
      <c r="Z16" s="3379"/>
      <c r="AA16" s="3379"/>
      <c r="AB16" s="3379"/>
      <c r="AC16" s="3379"/>
      <c r="AD16" s="3379"/>
      <c r="AE16" s="3379">
        <v>1500</v>
      </c>
      <c r="AF16" s="3380"/>
      <c r="AG16" s="3381"/>
      <c r="AH16" s="3376">
        <f t="shared" si="3"/>
        <v>4500</v>
      </c>
    </row>
    <row r="17" spans="1:34">
      <c r="A17" s="3360"/>
      <c r="B17" s="3360">
        <v>0.71745999999999999</v>
      </c>
      <c r="C17" s="1851" t="s">
        <v>3018</v>
      </c>
      <c r="D17" s="3361"/>
      <c r="E17" s="3370">
        <f>ROUND((E7)*$B$16*$B$17,0)</f>
        <v>-177863</v>
      </c>
      <c r="F17" s="3371"/>
      <c r="G17" s="3370">
        <f>ROUND((G7)*$B$16*$B$17,0)</f>
        <v>150025</v>
      </c>
      <c r="H17" s="2844">
        <v>930200</v>
      </c>
      <c r="I17" s="2141" t="s">
        <v>1712</v>
      </c>
      <c r="L17" s="3301" t="s">
        <v>3001</v>
      </c>
      <c r="M17" s="3388">
        <f>O17*M15</f>
        <v>609881.39249999984</v>
      </c>
      <c r="N17" s="3388">
        <f>O17*N15</f>
        <v>609881.39249999984</v>
      </c>
      <c r="O17" s="3336">
        <f>O20-O18-O19</f>
        <v>1219762.7849999997</v>
      </c>
      <c r="P17" s="3389"/>
      <c r="V17" s="3377" t="s">
        <v>3019</v>
      </c>
      <c r="W17" s="3387"/>
      <c r="X17" s="3379">
        <v>1500</v>
      </c>
      <c r="Y17" s="3379">
        <v>1500</v>
      </c>
      <c r="Z17" s="3379"/>
      <c r="AA17" s="3379"/>
      <c r="AB17" s="3379">
        <v>1500</v>
      </c>
      <c r="AC17" s="3379"/>
      <c r="AD17" s="3379"/>
      <c r="AE17" s="3379"/>
      <c r="AF17" s="3379">
        <v>1500</v>
      </c>
      <c r="AG17" s="3387"/>
      <c r="AH17" s="3376">
        <f t="shared" si="3"/>
        <v>6000</v>
      </c>
    </row>
    <row r="18" spans="1:34">
      <c r="F18" s="1009"/>
      <c r="L18" s="3342"/>
      <c r="M18" s="3388"/>
      <c r="N18" s="3388"/>
      <c r="O18" s="3336"/>
      <c r="P18" s="3389"/>
      <c r="V18" s="3377" t="s">
        <v>3020</v>
      </c>
      <c r="W18" s="3387">
        <v>1500</v>
      </c>
      <c r="X18" s="3379"/>
      <c r="Y18" s="3379"/>
      <c r="Z18" s="3378">
        <v>1500</v>
      </c>
      <c r="AA18" s="3378">
        <v>1500</v>
      </c>
      <c r="AB18" s="3379"/>
      <c r="AC18" s="3379"/>
      <c r="AD18" s="3379"/>
      <c r="AE18" s="3378">
        <v>1500</v>
      </c>
      <c r="AH18" s="3376">
        <f t="shared" si="3"/>
        <v>6000</v>
      </c>
    </row>
    <row r="19" spans="1:34">
      <c r="A19" s="3349" t="s">
        <v>2402</v>
      </c>
      <c r="D19" s="3350"/>
      <c r="F19" s="1009"/>
      <c r="L19" s="3351" t="s">
        <v>3003</v>
      </c>
      <c r="M19" s="3388">
        <f>O19*M15</f>
        <v>652350.09499999997</v>
      </c>
      <c r="N19" s="3388">
        <f>O19*N15</f>
        <v>652350.09499999997</v>
      </c>
      <c r="O19" s="3353">
        <f>'G-3.20 PF BOD'!AH2+'G-3.20 PF BOD'!AH3</f>
        <v>1304700.19</v>
      </c>
      <c r="P19" s="3389"/>
      <c r="V19" s="3377" t="s">
        <v>3021</v>
      </c>
      <c r="W19" s="3387"/>
      <c r="X19" s="3379"/>
      <c r="Y19" s="3379"/>
      <c r="Z19" s="3378">
        <v>1500</v>
      </c>
      <c r="AA19" s="3379"/>
      <c r="AB19" s="3379">
        <v>1500</v>
      </c>
      <c r="AC19" s="3379"/>
      <c r="AD19" s="3379">
        <v>1500</v>
      </c>
      <c r="AE19" s="3379"/>
      <c r="AF19" s="3380"/>
      <c r="AG19" s="3381"/>
      <c r="AH19" s="3376">
        <f t="shared" si="3"/>
        <v>4500</v>
      </c>
    </row>
    <row r="20" spans="1:34" ht="15" thickBot="1">
      <c r="A20" s="3350"/>
      <c r="B20" s="3350">
        <f>B15</f>
        <v>6.2023000000000001</v>
      </c>
      <c r="D20" s="3350"/>
      <c r="F20" s="1009"/>
      <c r="L20" s="3391"/>
      <c r="M20" s="3392">
        <f>SUM(M17:M19)</f>
        <v>1262231.4874999998</v>
      </c>
      <c r="N20" s="3392">
        <f>SUM(N17:N19)</f>
        <v>1262231.4874999998</v>
      </c>
      <c r="O20" s="3392">
        <f>O10</f>
        <v>2524462.9749999996</v>
      </c>
      <c r="Q20" s="3389"/>
      <c r="V20" s="3377" t="s">
        <v>3022</v>
      </c>
      <c r="W20" s="3374">
        <v>1500</v>
      </c>
      <c r="X20" s="3378"/>
      <c r="Y20" s="3379"/>
      <c r="Z20" s="3379"/>
      <c r="AA20" s="3379">
        <v>1500</v>
      </c>
      <c r="AB20" s="3379"/>
      <c r="AC20" s="3379">
        <v>1500</v>
      </c>
      <c r="AD20" s="3379">
        <v>1500</v>
      </c>
      <c r="AE20" s="3379"/>
      <c r="AF20" s="3379">
        <v>1500</v>
      </c>
      <c r="AG20" s="3387"/>
      <c r="AH20" s="3376">
        <f t="shared" si="3"/>
        <v>7500</v>
      </c>
    </row>
    <row r="21" spans="1:34" ht="29.25" thickTop="1">
      <c r="A21" s="3360"/>
      <c r="B21" s="3360">
        <v>0.70111999999999997</v>
      </c>
      <c r="C21" s="1851" t="s">
        <v>3006</v>
      </c>
      <c r="D21" s="3361"/>
      <c r="F21" s="1009"/>
      <c r="L21" s="2731"/>
      <c r="O21" s="2141"/>
      <c r="Q21" s="3389"/>
      <c r="V21" s="3377" t="s">
        <v>3023</v>
      </c>
      <c r="W21" s="3387">
        <v>1500</v>
      </c>
      <c r="X21" s="3379">
        <v>1500</v>
      </c>
      <c r="Y21" s="3379">
        <v>1500</v>
      </c>
      <c r="Z21" s="3379">
        <v>1500</v>
      </c>
      <c r="AA21" s="3379">
        <v>1500</v>
      </c>
      <c r="AB21" s="3379">
        <v>1500</v>
      </c>
      <c r="AC21" s="3379">
        <v>1500</v>
      </c>
      <c r="AD21" s="3393">
        <v>1500</v>
      </c>
      <c r="AE21" s="3379">
        <v>1500</v>
      </c>
      <c r="AF21" s="3379">
        <v>1500</v>
      </c>
      <c r="AG21" s="3387"/>
      <c r="AH21" s="3376">
        <f t="shared" si="3"/>
        <v>15000</v>
      </c>
    </row>
    <row r="22" spans="1:34" ht="15" thickBot="1">
      <c r="A22" s="3360"/>
      <c r="B22" s="3360">
        <v>0.33056999999999997</v>
      </c>
      <c r="C22" s="1851" t="s">
        <v>3009</v>
      </c>
      <c r="D22" s="3361"/>
      <c r="E22" s="3394">
        <f>ROUND((E7)*$B$21*$B$22,0)</f>
        <v>-277463</v>
      </c>
      <c r="F22" s="3371"/>
      <c r="G22" s="3394">
        <f>ROUND((G7)*$B$21*$B$22,0)</f>
        <v>234037</v>
      </c>
      <c r="L22" s="3391" t="s">
        <v>3024</v>
      </c>
      <c r="M22" s="3395"/>
      <c r="N22" s="3395"/>
      <c r="O22" s="3395"/>
      <c r="Q22" s="3389"/>
      <c r="V22" s="3377" t="s">
        <v>3025</v>
      </c>
      <c r="W22" s="3374"/>
      <c r="X22" s="3378">
        <f>SUM(2519*0.44)</f>
        <v>1108.3599999999999</v>
      </c>
      <c r="Y22" s="3378"/>
      <c r="Z22" s="3378"/>
      <c r="AA22" s="3378"/>
      <c r="AB22" s="3378"/>
      <c r="AC22" s="3378"/>
      <c r="AD22" s="3378"/>
      <c r="AE22" s="3378"/>
      <c r="AF22" s="3380"/>
      <c r="AG22" s="3381"/>
      <c r="AH22" s="3376">
        <f t="shared" si="3"/>
        <v>1108.3599999999999</v>
      </c>
    </row>
    <row r="23" spans="1:34" ht="29.25" thickTop="1">
      <c r="F23" s="1009"/>
      <c r="L23" s="2731"/>
      <c r="O23" s="2141"/>
      <c r="P23" s="3396"/>
      <c r="Q23" s="3389"/>
      <c r="V23" s="3377" t="s">
        <v>3026</v>
      </c>
      <c r="W23" s="3374">
        <v>2.5099999999999998</v>
      </c>
      <c r="X23" s="3374">
        <v>2.5099999999999998</v>
      </c>
      <c r="Y23" s="3374">
        <v>2.5099999999999998</v>
      </c>
      <c r="Z23" s="3374">
        <v>2.5099999999999998</v>
      </c>
      <c r="AA23" s="3374">
        <v>2.5099999999999998</v>
      </c>
      <c r="AB23" s="3374">
        <v>2.5099999999999998</v>
      </c>
      <c r="AC23" s="3374">
        <v>2.5099999999999998</v>
      </c>
      <c r="AD23" s="3374">
        <v>2.5099999999999998</v>
      </c>
      <c r="AE23" s="3374">
        <v>2.5099999999999998</v>
      </c>
      <c r="AF23" s="3374">
        <v>2.5099999999999998</v>
      </c>
      <c r="AG23" s="3387"/>
      <c r="AH23" s="3376">
        <f t="shared" si="3"/>
        <v>25.099999999999994</v>
      </c>
    </row>
    <row r="24" spans="1:34" ht="15.75" thickBot="1">
      <c r="A24" s="3349" t="s">
        <v>2403</v>
      </c>
      <c r="B24" s="3350"/>
      <c r="D24" s="3350"/>
      <c r="F24" s="1009"/>
      <c r="L24" s="3391" t="s">
        <v>3027</v>
      </c>
      <c r="M24" s="3397">
        <f>M20-M12</f>
        <v>-1197152.6125000003</v>
      </c>
      <c r="N24" s="3398">
        <f>N20-N12</f>
        <v>1186168.0174999998</v>
      </c>
      <c r="O24" s="3398">
        <f>SUM(M24:N24)</f>
        <v>-10984.595000000438</v>
      </c>
      <c r="P24" s="3396"/>
      <c r="Q24" s="3389"/>
      <c r="V24" s="3399" t="s">
        <v>1985</v>
      </c>
      <c r="W24" s="3400">
        <f t="shared" ref="W24:AF24" si="4">SUM(W10:W23)</f>
        <v>25752.51</v>
      </c>
      <c r="X24" s="3400">
        <f t="shared" si="4"/>
        <v>37277.536666666674</v>
      </c>
      <c r="Y24" s="3400">
        <f t="shared" si="4"/>
        <v>30752.51</v>
      </c>
      <c r="Z24" s="3400">
        <f t="shared" si="4"/>
        <v>29502.51</v>
      </c>
      <c r="AA24" s="3400">
        <f t="shared" si="4"/>
        <v>25752.51</v>
      </c>
      <c r="AB24" s="3400">
        <f t="shared" si="4"/>
        <v>29502.51</v>
      </c>
      <c r="AC24" s="3400">
        <f t="shared" si="4"/>
        <v>49252.51</v>
      </c>
      <c r="AD24" s="3400">
        <f t="shared" si="4"/>
        <v>25752.51</v>
      </c>
      <c r="AE24" s="3400">
        <f t="shared" si="4"/>
        <v>25752.51</v>
      </c>
      <c r="AF24" s="3400">
        <f t="shared" si="4"/>
        <v>29502.51</v>
      </c>
      <c r="AG24" s="3401"/>
      <c r="AH24" s="3402">
        <f t="shared" si="3"/>
        <v>308800.12666666671</v>
      </c>
    </row>
    <row r="25" spans="1:34" ht="29.25" thickTop="1">
      <c r="A25" s="3350"/>
      <c r="B25" s="3350">
        <f>B20</f>
        <v>6.2023000000000001</v>
      </c>
      <c r="D25" s="3350"/>
      <c r="F25" s="1009"/>
      <c r="M25" s="3403" t="s">
        <v>1722</v>
      </c>
      <c r="N25" s="3403"/>
      <c r="O25" s="3404"/>
      <c r="P25" s="3405"/>
      <c r="Q25" s="3405"/>
      <c r="V25" s="3377" t="s">
        <v>3028</v>
      </c>
      <c r="W25" s="3374">
        <v>-461.25</v>
      </c>
      <c r="X25" s="3374">
        <v>0</v>
      </c>
      <c r="Y25" s="3374">
        <v>-536.25</v>
      </c>
      <c r="Z25" s="3374">
        <v>-517.5</v>
      </c>
      <c r="AA25" s="3374">
        <v>-461.25</v>
      </c>
      <c r="AB25" s="3374">
        <v>-517.5</v>
      </c>
      <c r="AC25" s="3374">
        <v>-813.75</v>
      </c>
      <c r="AD25" s="3374">
        <v>-461.25</v>
      </c>
      <c r="AE25" s="3374">
        <v>-461.25</v>
      </c>
      <c r="AF25" s="3374">
        <v>-517.5</v>
      </c>
      <c r="AG25" s="3387"/>
      <c r="AH25" s="3376">
        <f t="shared" si="3"/>
        <v>-4747.5</v>
      </c>
    </row>
    <row r="26" spans="1:34" ht="15">
      <c r="A26" s="3360"/>
      <c r="B26" s="3360">
        <v>0.20707999999999999</v>
      </c>
      <c r="C26" s="1851" t="s">
        <v>3006</v>
      </c>
      <c r="D26" s="3361"/>
      <c r="F26" s="1009"/>
      <c r="M26" s="3403"/>
      <c r="N26" s="3403"/>
      <c r="O26" s="3404"/>
      <c r="P26" s="3405"/>
      <c r="Q26" s="3405"/>
      <c r="V26" s="3406" t="s">
        <v>198</v>
      </c>
      <c r="W26" s="3400">
        <f t="shared" ref="W26:AF26" si="5">SUM(W24:W25)</f>
        <v>25291.26</v>
      </c>
      <c r="X26" s="3400">
        <f t="shared" si="5"/>
        <v>37277.536666666674</v>
      </c>
      <c r="Y26" s="3400">
        <f t="shared" si="5"/>
        <v>30216.26</v>
      </c>
      <c r="Z26" s="3400">
        <f t="shared" si="5"/>
        <v>28985.01</v>
      </c>
      <c r="AA26" s="3400">
        <f t="shared" si="5"/>
        <v>25291.26</v>
      </c>
      <c r="AB26" s="3400">
        <f t="shared" si="5"/>
        <v>28985.01</v>
      </c>
      <c r="AC26" s="3400">
        <f t="shared" si="5"/>
        <v>48438.76</v>
      </c>
      <c r="AD26" s="3400">
        <f t="shared" si="5"/>
        <v>25291.26</v>
      </c>
      <c r="AE26" s="3400">
        <f t="shared" si="5"/>
        <v>25291.26</v>
      </c>
      <c r="AF26" s="3400">
        <f t="shared" si="5"/>
        <v>28985.01</v>
      </c>
      <c r="AG26" s="3401"/>
      <c r="AH26" s="3402">
        <f t="shared" si="3"/>
        <v>304052.62666666671</v>
      </c>
    </row>
    <row r="27" spans="1:34" ht="100.5" thickBot="1">
      <c r="A27" s="3360"/>
      <c r="B27" s="3360">
        <v>0.28254000000000001</v>
      </c>
      <c r="C27" s="1851" t="s">
        <v>3018</v>
      </c>
      <c r="D27" s="3361"/>
      <c r="E27" s="3394">
        <f>ROUND((E7)*$B$26*$B$27,0)</f>
        <v>-70043</v>
      </c>
      <c r="F27" s="3371"/>
      <c r="G27" s="3394">
        <f>ROUND((G7)*$B$26*$B$27,0)</f>
        <v>59081</v>
      </c>
      <c r="L27" s="3351" t="s">
        <v>3013</v>
      </c>
      <c r="M27" s="3358"/>
      <c r="N27" s="3358"/>
      <c r="O27" s="3363">
        <f>O12</f>
        <v>2524462.9749999996</v>
      </c>
      <c r="P27" s="3405"/>
      <c r="Q27" s="3405"/>
      <c r="V27" s="3407" t="s">
        <v>3029</v>
      </c>
      <c r="W27" s="3407"/>
      <c r="X27" s="3407"/>
      <c r="Y27" s="3407"/>
      <c r="Z27" s="3407"/>
      <c r="AA27" s="3407"/>
      <c r="AB27" s="3407"/>
      <c r="AC27" s="3407"/>
      <c r="AD27" s="3407"/>
      <c r="AE27" s="3407"/>
      <c r="AF27" s="3407"/>
      <c r="AG27" s="3407"/>
      <c r="AH27" s="3407"/>
    </row>
    <row r="28" spans="1:34" ht="36" thickTop="1" thickBot="1">
      <c r="B28" s="3331"/>
      <c r="D28" s="3331"/>
      <c r="E28" s="3371"/>
      <c r="F28" s="3371"/>
      <c r="G28" s="3371"/>
      <c r="L28" s="3351"/>
      <c r="M28" s="3383">
        <v>0.9</v>
      </c>
      <c r="N28" s="3383">
        <v>0.1</v>
      </c>
      <c r="O28" s="3383"/>
      <c r="P28" s="3405"/>
      <c r="Q28" s="3405"/>
      <c r="V28" s="3408" t="s">
        <v>3030</v>
      </c>
      <c r="W28" s="3408"/>
      <c r="X28" s="3408"/>
      <c r="Y28" s="3408"/>
      <c r="Z28" s="3408"/>
      <c r="AA28" s="3408"/>
      <c r="AB28" s="3408"/>
      <c r="AC28" s="3408"/>
      <c r="AD28" s="3408"/>
      <c r="AE28" s="3408"/>
      <c r="AF28" s="3408"/>
      <c r="AG28" s="3408"/>
      <c r="AH28" s="3408"/>
    </row>
    <row r="29" spans="1:34" ht="15">
      <c r="A29" s="3349" t="s">
        <v>2404</v>
      </c>
      <c r="C29" s="1851"/>
      <c r="D29" s="3350"/>
      <c r="E29" s="3371"/>
      <c r="F29" s="3371"/>
      <c r="G29" s="3371"/>
      <c r="L29" s="3385" t="s">
        <v>3016</v>
      </c>
      <c r="M29" s="3386" t="s">
        <v>2359</v>
      </c>
      <c r="N29" s="3386" t="s">
        <v>444</v>
      </c>
      <c r="O29" s="3386" t="s">
        <v>24</v>
      </c>
      <c r="P29" s="3405"/>
      <c r="Q29" s="3405"/>
      <c r="V29" s="3364"/>
      <c r="W29" s="3365" t="s">
        <v>2976</v>
      </c>
      <c r="X29" s="3366" t="s">
        <v>3008</v>
      </c>
      <c r="Y29" s="3366" t="s">
        <v>2978</v>
      </c>
      <c r="Z29" s="3366" t="s">
        <v>2979</v>
      </c>
      <c r="AA29" s="3366" t="s">
        <v>2980</v>
      </c>
      <c r="AB29" s="3366" t="s">
        <v>2981</v>
      </c>
      <c r="AC29" s="3366" t="s">
        <v>2982</v>
      </c>
      <c r="AD29" s="3366" t="s">
        <v>2983</v>
      </c>
      <c r="AE29" s="3367" t="s">
        <v>2984</v>
      </c>
      <c r="AF29" s="3366" t="s">
        <v>2985</v>
      </c>
      <c r="AG29" s="3368" t="s">
        <v>2986</v>
      </c>
      <c r="AH29" s="3369" t="s">
        <v>198</v>
      </c>
    </row>
    <row r="30" spans="1:34">
      <c r="A30" s="3350"/>
      <c r="B30" s="3350">
        <f>B25</f>
        <v>6.2023000000000001</v>
      </c>
      <c r="C30" s="1851"/>
      <c r="D30" s="3350"/>
      <c r="E30" s="3371"/>
      <c r="F30" s="3371"/>
      <c r="G30" s="3371"/>
      <c r="L30" s="3301" t="s">
        <v>3001</v>
      </c>
      <c r="M30" s="3388">
        <f>O30*M28</f>
        <v>1097786.5064999997</v>
      </c>
      <c r="N30" s="3388">
        <f>O30*N28</f>
        <v>121976.27849999997</v>
      </c>
      <c r="O30" s="3336">
        <f>O33-O31-O32</f>
        <v>1219762.7849999997</v>
      </c>
      <c r="P30" s="3405"/>
      <c r="Q30" s="3405"/>
      <c r="V30" s="3373" t="s">
        <v>3011</v>
      </c>
      <c r="W30" s="3374">
        <f t="shared" ref="W30:AF30" si="6">95000/12*3</f>
        <v>23750</v>
      </c>
      <c r="X30" s="3374">
        <f t="shared" si="6"/>
        <v>23750</v>
      </c>
      <c r="Y30" s="3374">
        <f t="shared" si="6"/>
        <v>23750</v>
      </c>
      <c r="Z30" s="3374">
        <f t="shared" si="6"/>
        <v>23750</v>
      </c>
      <c r="AA30" s="3374">
        <f t="shared" si="6"/>
        <v>23750</v>
      </c>
      <c r="AB30" s="3374">
        <f t="shared" si="6"/>
        <v>23750</v>
      </c>
      <c r="AC30" s="3374">
        <f t="shared" si="6"/>
        <v>23750</v>
      </c>
      <c r="AD30" s="3374">
        <f t="shared" si="6"/>
        <v>23750</v>
      </c>
      <c r="AE30" s="3374">
        <f t="shared" si="6"/>
        <v>23750</v>
      </c>
      <c r="AF30" s="3374">
        <f t="shared" si="6"/>
        <v>23750</v>
      </c>
      <c r="AG30" s="3375"/>
      <c r="AH30" s="3376">
        <f t="shared" ref="AH30:AH43" si="7">SUM(W30:AF30)</f>
        <v>237500</v>
      </c>
    </row>
    <row r="31" spans="1:34" ht="15" thickBot="1">
      <c r="A31" s="3360"/>
      <c r="B31" s="3360">
        <v>9.1800000000000007E-2</v>
      </c>
      <c r="C31" s="1851" t="s">
        <v>3006</v>
      </c>
      <c r="D31" s="3361"/>
      <c r="E31" s="3394">
        <f>ROUND((E7)*$B$31,0)</f>
        <v>-109899</v>
      </c>
      <c r="F31" s="3371"/>
      <c r="G31" s="3394">
        <f>ROUND((G7)*$B$31,0)</f>
        <v>92698</v>
      </c>
      <c r="L31" s="3342"/>
      <c r="M31" s="3388"/>
      <c r="N31" s="3388"/>
      <c r="O31" s="3336"/>
      <c r="P31" s="3405"/>
      <c r="Q31" s="3405"/>
      <c r="V31" s="3377" t="s">
        <v>3012</v>
      </c>
      <c r="W31" s="3374"/>
      <c r="X31" s="3378">
        <v>3750</v>
      </c>
      <c r="Y31" s="3378">
        <v>5000</v>
      </c>
      <c r="Z31" s="3378">
        <v>3750</v>
      </c>
      <c r="AA31" s="3379"/>
      <c r="AB31" s="3379">
        <v>3750</v>
      </c>
      <c r="AC31" s="3379"/>
      <c r="AD31" s="3379"/>
      <c r="AE31" s="3379"/>
      <c r="AF31" s="3380">
        <v>3750</v>
      </c>
      <c r="AG31" s="3381"/>
      <c r="AH31" s="3376">
        <f t="shared" si="7"/>
        <v>20000</v>
      </c>
    </row>
    <row r="32" spans="1:34" ht="15" thickTop="1">
      <c r="A32" s="3331"/>
      <c r="B32" s="3331"/>
      <c r="C32" s="1851"/>
      <c r="D32" s="1009"/>
      <c r="E32" s="1009"/>
      <c r="F32" s="1009"/>
      <c r="G32" s="1009"/>
      <c r="L32" s="3351" t="s">
        <v>3003</v>
      </c>
      <c r="M32" s="3388">
        <f>O32*M28</f>
        <v>1174230.1710000001</v>
      </c>
      <c r="N32" s="3388">
        <f>O32*N28</f>
        <v>130470.019</v>
      </c>
      <c r="O32" s="3353">
        <f>'G-3.20 PF BOD'!AH2+'G-3.20 PF BOD'!AH3</f>
        <v>1304700.19</v>
      </c>
      <c r="P32" s="3405"/>
      <c r="Q32" s="3405"/>
      <c r="V32" s="3377" t="s">
        <v>3014</v>
      </c>
      <c r="W32" s="3374"/>
      <c r="X32" s="3378">
        <f>30000/12*3</f>
        <v>7500</v>
      </c>
      <c r="Y32" s="3378"/>
      <c r="Z32" s="3378"/>
      <c r="AA32" s="3379"/>
      <c r="AB32" s="3379"/>
      <c r="AC32" s="3379"/>
      <c r="AD32" s="3379"/>
      <c r="AE32" s="3379"/>
      <c r="AF32" s="3380"/>
      <c r="AG32" s="3381"/>
      <c r="AH32" s="3376">
        <f t="shared" si="7"/>
        <v>7500</v>
      </c>
    </row>
    <row r="33" spans="1:34" ht="15" thickBot="1">
      <c r="A33" s="3331"/>
      <c r="B33" s="3331"/>
      <c r="C33" s="1851"/>
      <c r="D33" s="1009"/>
      <c r="E33" s="2883">
        <f>E31+E27+E22+E17+E12</f>
        <v>-1197152</v>
      </c>
      <c r="F33" s="2883"/>
      <c r="G33" s="2883">
        <f>G31+G27+G22+G17+G12</f>
        <v>1009784</v>
      </c>
      <c r="L33" s="3391"/>
      <c r="M33" s="3392">
        <f>SUM(M30:M32)</f>
        <v>2272016.6774999998</v>
      </c>
      <c r="N33" s="3392">
        <f>SUM(N30:N32)</f>
        <v>252446.29749999999</v>
      </c>
      <c r="O33" s="3392">
        <f>O10</f>
        <v>2524462.9749999996</v>
      </c>
      <c r="P33" s="3405"/>
      <c r="Q33" s="3405"/>
      <c r="V33" s="3377" t="s">
        <v>3015</v>
      </c>
      <c r="W33" s="3374"/>
      <c r="X33" s="3378"/>
      <c r="Y33" s="3378"/>
      <c r="Z33" s="3378"/>
      <c r="AA33" s="3379"/>
      <c r="AB33" s="3379"/>
      <c r="AC33" s="3379">
        <v>25000</v>
      </c>
      <c r="AD33" s="3379"/>
      <c r="AE33" s="3379"/>
      <c r="AF33" s="3380"/>
      <c r="AG33" s="3381"/>
      <c r="AH33" s="3376">
        <f t="shared" si="7"/>
        <v>25000</v>
      </c>
    </row>
    <row r="34" spans="1:34" ht="15" thickTop="1">
      <c r="A34" s="3331"/>
      <c r="B34" s="3331"/>
      <c r="C34" s="1851"/>
      <c r="D34" s="1009"/>
      <c r="E34" s="1009"/>
      <c r="F34" s="1009"/>
      <c r="G34" s="1009"/>
      <c r="H34" s="3409"/>
      <c r="M34" s="3403"/>
      <c r="N34" s="3403"/>
      <c r="O34" s="3404"/>
      <c r="P34" s="3405"/>
      <c r="Q34" s="3405"/>
      <c r="V34" s="3377" t="s">
        <v>3031</v>
      </c>
      <c r="W34" s="3387"/>
      <c r="X34" s="3379"/>
      <c r="Y34" s="3379"/>
      <c r="Z34" s="3379"/>
      <c r="AA34" s="3379"/>
      <c r="AB34" s="3379"/>
      <c r="AC34" s="3379"/>
      <c r="AD34" s="3379"/>
      <c r="AE34" s="3379"/>
      <c r="AF34" s="3380"/>
      <c r="AG34" s="3381"/>
      <c r="AH34" s="3376">
        <f t="shared" si="7"/>
        <v>0</v>
      </c>
    </row>
    <row r="35" spans="1:34" ht="15" thickBot="1">
      <c r="A35" s="3331"/>
      <c r="B35" s="3331"/>
      <c r="C35" s="1851"/>
      <c r="D35" s="1009"/>
      <c r="E35" s="3410"/>
      <c r="F35" s="3410"/>
      <c r="G35" s="3410"/>
      <c r="L35" s="3391" t="s">
        <v>3032</v>
      </c>
      <c r="M35" s="3397">
        <f>(M33-M12)-M24</f>
        <v>1009785.19</v>
      </c>
      <c r="N35" s="3398">
        <f>(N33-N12)-N24</f>
        <v>-1009785.1899999998</v>
      </c>
      <c r="O35" s="3398">
        <f>(O33-O12)-O24</f>
        <v>10984.595000000438</v>
      </c>
      <c r="P35" s="3396"/>
      <c r="Q35" s="3389"/>
      <c r="V35" s="3377" t="s">
        <v>3033</v>
      </c>
      <c r="W35" s="3387"/>
      <c r="X35" s="3379"/>
      <c r="Y35" s="3379"/>
      <c r="Z35" s="3378"/>
      <c r="AA35" s="3378"/>
      <c r="AB35" s="3379"/>
      <c r="AC35" s="3379"/>
      <c r="AD35" s="3379"/>
      <c r="AE35" s="3379"/>
      <c r="AF35" s="3379"/>
      <c r="AG35" s="3387"/>
      <c r="AH35" s="3376">
        <f t="shared" si="7"/>
        <v>0</v>
      </c>
    </row>
    <row r="36" spans="1:34" ht="15" thickTop="1">
      <c r="M36" s="3403" t="s">
        <v>1722</v>
      </c>
      <c r="O36" s="2141"/>
      <c r="P36" s="2141"/>
      <c r="Q36" s="2141"/>
      <c r="R36" s="2141"/>
      <c r="V36" s="3377" t="s">
        <v>3034</v>
      </c>
      <c r="W36" s="3387"/>
      <c r="X36" s="3379"/>
      <c r="Y36" s="3379"/>
      <c r="Z36" s="3379"/>
      <c r="AA36" s="3379"/>
      <c r="AB36" s="3379"/>
      <c r="AC36" s="3379"/>
      <c r="AD36" s="3379"/>
      <c r="AE36" s="3379"/>
      <c r="AF36" s="3379"/>
      <c r="AG36" s="3387"/>
      <c r="AH36" s="3376">
        <f t="shared" si="7"/>
        <v>0</v>
      </c>
    </row>
    <row r="37" spans="1:34">
      <c r="A37" s="3411">
        <v>1</v>
      </c>
      <c r="B37" s="3411"/>
      <c r="C37" s="1851" t="s">
        <v>3006</v>
      </c>
      <c r="D37" s="3412" t="s">
        <v>3035</v>
      </c>
      <c r="O37" s="2141"/>
      <c r="P37" s="2141"/>
      <c r="Q37" s="2141"/>
      <c r="R37" s="2141"/>
      <c r="V37" s="3377" t="s">
        <v>3036</v>
      </c>
      <c r="W37" s="3387"/>
      <c r="X37" s="3379"/>
      <c r="Y37" s="3379"/>
      <c r="Z37" s="3378"/>
      <c r="AA37" s="3379"/>
      <c r="AB37" s="3379"/>
      <c r="AC37" s="3379"/>
      <c r="AD37" s="3379"/>
      <c r="AE37" s="3379"/>
      <c r="AF37" s="3380"/>
      <c r="AG37" s="3381"/>
      <c r="AH37" s="3376">
        <f t="shared" si="7"/>
        <v>0</v>
      </c>
    </row>
    <row r="38" spans="1:34">
      <c r="A38" s="3411">
        <v>1</v>
      </c>
      <c r="B38" s="3411"/>
      <c r="C38" s="1851" t="s">
        <v>3009</v>
      </c>
      <c r="D38" s="3412" t="s">
        <v>3037</v>
      </c>
      <c r="O38" s="2141"/>
      <c r="P38" s="2141"/>
      <c r="Q38" s="2141"/>
      <c r="R38" s="2141"/>
      <c r="V38" s="3377" t="s">
        <v>3038</v>
      </c>
      <c r="W38" s="3374"/>
      <c r="X38" s="3378"/>
      <c r="Y38" s="3379"/>
      <c r="Z38" s="3379"/>
      <c r="AA38" s="3379"/>
      <c r="AB38" s="3379"/>
      <c r="AC38" s="3379"/>
      <c r="AD38" s="3379"/>
      <c r="AE38" s="3379"/>
      <c r="AF38" s="3379"/>
      <c r="AG38" s="3387"/>
      <c r="AH38" s="3376">
        <f t="shared" si="7"/>
        <v>0</v>
      </c>
    </row>
    <row r="39" spans="1:34">
      <c r="A39" s="3411">
        <v>1</v>
      </c>
      <c r="B39" s="3411"/>
      <c r="C39" s="1851" t="s">
        <v>3018</v>
      </c>
      <c r="D39" s="3412" t="s">
        <v>3039</v>
      </c>
      <c r="L39" s="3413" t="s">
        <v>1251</v>
      </c>
      <c r="M39" s="3413"/>
      <c r="N39" s="3413"/>
      <c r="O39" s="3414" t="s">
        <v>1065</v>
      </c>
      <c r="P39" s="3414"/>
      <c r="Q39" s="3414"/>
      <c r="R39" s="3414"/>
      <c r="V39" s="3377" t="s">
        <v>3040</v>
      </c>
      <c r="W39" s="3387"/>
      <c r="X39" s="3379"/>
      <c r="Y39" s="3379"/>
      <c r="Z39" s="3379"/>
      <c r="AA39" s="3379"/>
      <c r="AB39" s="3379"/>
      <c r="AC39" s="3379"/>
      <c r="AD39" s="3379"/>
      <c r="AE39" s="3379"/>
      <c r="AF39" s="3379"/>
      <c r="AG39" s="3387"/>
      <c r="AH39" s="3376">
        <f t="shared" si="7"/>
        <v>0</v>
      </c>
    </row>
    <row r="40" spans="1:34">
      <c r="L40" s="3415" t="s">
        <v>3041</v>
      </c>
      <c r="M40" s="3415" t="s">
        <v>679</v>
      </c>
      <c r="N40" s="3415" t="s">
        <v>1245</v>
      </c>
      <c r="O40" s="3416" t="s">
        <v>1756</v>
      </c>
      <c r="P40" s="3416" t="s">
        <v>2744</v>
      </c>
      <c r="Q40" s="3416" t="s">
        <v>2751</v>
      </c>
      <c r="R40" s="3415" t="s">
        <v>978</v>
      </c>
      <c r="V40" s="3377" t="s">
        <v>3042</v>
      </c>
      <c r="W40" s="3374"/>
      <c r="X40" s="3378">
        <f>SUM(2519*0.44)</f>
        <v>1108.3599999999999</v>
      </c>
      <c r="Y40" s="3378"/>
      <c r="Z40" s="3378"/>
      <c r="AA40" s="3378"/>
      <c r="AB40" s="3378"/>
      <c r="AC40" s="3378"/>
      <c r="AD40" s="3378"/>
      <c r="AE40" s="3378"/>
      <c r="AF40" s="3380"/>
      <c r="AG40" s="3381"/>
      <c r="AH40" s="3376">
        <f t="shared" si="7"/>
        <v>1108.3599999999999</v>
      </c>
    </row>
    <row r="41" spans="1:34" ht="15">
      <c r="L41" s="3417" t="s">
        <v>3043</v>
      </c>
      <c r="M41" s="3418" t="s">
        <v>1254</v>
      </c>
      <c r="N41" s="3419" t="s">
        <v>3044</v>
      </c>
      <c r="O41" s="3420">
        <v>922.58</v>
      </c>
      <c r="P41" s="3420"/>
      <c r="Q41" s="3420"/>
      <c r="R41" s="3420">
        <v>922.58</v>
      </c>
      <c r="V41" s="3399" t="s">
        <v>1985</v>
      </c>
      <c r="W41" s="3400">
        <f t="shared" ref="W41:AF41" si="8">SUM(W27:W40)</f>
        <v>23750</v>
      </c>
      <c r="X41" s="3400">
        <f t="shared" si="8"/>
        <v>36108.36</v>
      </c>
      <c r="Y41" s="3400">
        <f t="shared" si="8"/>
        <v>28750</v>
      </c>
      <c r="Z41" s="3400">
        <f t="shared" si="8"/>
        <v>27500</v>
      </c>
      <c r="AA41" s="3400">
        <f t="shared" si="8"/>
        <v>23750</v>
      </c>
      <c r="AB41" s="3400">
        <f t="shared" si="8"/>
        <v>27500</v>
      </c>
      <c r="AC41" s="3400">
        <f t="shared" si="8"/>
        <v>48750</v>
      </c>
      <c r="AD41" s="3400">
        <f t="shared" si="8"/>
        <v>23750</v>
      </c>
      <c r="AE41" s="3400">
        <f t="shared" si="8"/>
        <v>23750</v>
      </c>
      <c r="AF41" s="3400">
        <f t="shared" si="8"/>
        <v>27500</v>
      </c>
      <c r="AG41" s="3401"/>
      <c r="AH41" s="3402">
        <f t="shared" si="7"/>
        <v>291108.36</v>
      </c>
    </row>
    <row r="42" spans="1:34" ht="28.5">
      <c r="L42" s="3421"/>
      <c r="M42" s="3422"/>
      <c r="N42" s="3419" t="s">
        <v>3045</v>
      </c>
      <c r="O42" s="3420"/>
      <c r="P42" s="3420">
        <v>29829.93</v>
      </c>
      <c r="Q42" s="3420"/>
      <c r="R42" s="3420">
        <v>29829.93</v>
      </c>
      <c r="V42" s="3377" t="s">
        <v>3046</v>
      </c>
      <c r="W42" s="3380">
        <v>-356.25</v>
      </c>
      <c r="X42" s="3380" t="s">
        <v>1208</v>
      </c>
      <c r="Y42" s="3380">
        <v>-431.25</v>
      </c>
      <c r="Z42" s="3380">
        <v>-412.5</v>
      </c>
      <c r="AA42" s="3380">
        <v>-356.25</v>
      </c>
      <c r="AB42" s="3380">
        <v>-412.5</v>
      </c>
      <c r="AC42" s="3380">
        <v>-731.25</v>
      </c>
      <c r="AD42" s="3380">
        <v>-356.25</v>
      </c>
      <c r="AE42" s="3380">
        <v>-356.25</v>
      </c>
      <c r="AF42" s="3380">
        <v>-412.5</v>
      </c>
      <c r="AG42" s="3381"/>
      <c r="AH42" s="3376">
        <f t="shared" si="7"/>
        <v>-3825</v>
      </c>
    </row>
    <row r="43" spans="1:34" ht="15">
      <c r="L43" s="3421"/>
      <c r="M43" s="3418" t="s">
        <v>1257</v>
      </c>
      <c r="N43" s="3419" t="s">
        <v>3047</v>
      </c>
      <c r="O43" s="3420"/>
      <c r="P43" s="3420">
        <v>27887.5</v>
      </c>
      <c r="Q43" s="3420"/>
      <c r="R43" s="3420">
        <v>27887.5</v>
      </c>
      <c r="V43" s="3423" t="s">
        <v>198</v>
      </c>
      <c r="W43" s="3424">
        <f t="shared" ref="W43:AF43" si="9">SUM(W41:W42)</f>
        <v>23393.75</v>
      </c>
      <c r="X43" s="3424">
        <f t="shared" si="9"/>
        <v>36108.36</v>
      </c>
      <c r="Y43" s="3424">
        <f t="shared" si="9"/>
        <v>28318.75</v>
      </c>
      <c r="Z43" s="3424">
        <f t="shared" si="9"/>
        <v>27087.5</v>
      </c>
      <c r="AA43" s="3424">
        <f t="shared" si="9"/>
        <v>23393.75</v>
      </c>
      <c r="AB43" s="3424">
        <f t="shared" si="9"/>
        <v>27087.5</v>
      </c>
      <c r="AC43" s="3424">
        <f t="shared" si="9"/>
        <v>48018.75</v>
      </c>
      <c r="AD43" s="3424">
        <f t="shared" si="9"/>
        <v>23393.75</v>
      </c>
      <c r="AE43" s="3424">
        <f t="shared" si="9"/>
        <v>23393.75</v>
      </c>
      <c r="AF43" s="3424">
        <f t="shared" si="9"/>
        <v>27087.5</v>
      </c>
      <c r="AG43" s="3425"/>
      <c r="AH43" s="3426">
        <f t="shared" si="7"/>
        <v>287283.36</v>
      </c>
    </row>
    <row r="44" spans="1:34" ht="43.5" thickBot="1">
      <c r="L44" s="3421"/>
      <c r="M44" s="3422"/>
      <c r="N44" s="3419" t="s">
        <v>3048</v>
      </c>
      <c r="O44" s="3420">
        <v>862.5</v>
      </c>
      <c r="P44" s="3420"/>
      <c r="Q44" s="3420"/>
      <c r="R44" s="3420">
        <v>862.5</v>
      </c>
      <c r="V44" s="3427" t="s">
        <v>3049</v>
      </c>
      <c r="W44" s="3427"/>
      <c r="X44" s="3427"/>
      <c r="Y44" s="3427"/>
      <c r="Z44" s="3427"/>
      <c r="AA44" s="3427"/>
      <c r="AB44" s="3427"/>
      <c r="AC44" s="3427"/>
      <c r="AD44" s="3427"/>
      <c r="AE44" s="3427"/>
      <c r="AF44" s="3427"/>
      <c r="AG44" s="3427"/>
      <c r="AH44" s="3427"/>
    </row>
    <row r="45" spans="1:34" ht="36" thickTop="1" thickBot="1">
      <c r="L45" s="3421"/>
      <c r="M45" s="3418" t="s">
        <v>1053</v>
      </c>
      <c r="N45" s="3419" t="s">
        <v>3050</v>
      </c>
      <c r="O45" s="3420">
        <v>862.5</v>
      </c>
      <c r="P45" s="3420"/>
      <c r="Q45" s="3420"/>
      <c r="R45" s="3420">
        <v>862.5</v>
      </c>
      <c r="V45" s="3428" t="s">
        <v>3051</v>
      </c>
      <c r="W45" s="3428"/>
      <c r="X45" s="3428"/>
      <c r="Y45" s="3428"/>
      <c r="Z45" s="3428"/>
      <c r="AA45" s="3428"/>
      <c r="AB45" s="3428"/>
      <c r="AC45" s="3428"/>
      <c r="AD45" s="3428"/>
      <c r="AE45" s="3428"/>
      <c r="AF45" s="3428"/>
      <c r="AG45" s="3428"/>
      <c r="AH45" s="3428"/>
    </row>
    <row r="46" spans="1:34" ht="15">
      <c r="L46" s="3421"/>
      <c r="M46" s="3422"/>
      <c r="N46" s="3419" t="s">
        <v>3052</v>
      </c>
      <c r="O46" s="3420"/>
      <c r="P46" s="3420">
        <v>27887.5</v>
      </c>
      <c r="Q46" s="3420"/>
      <c r="R46" s="3420">
        <v>27887.5</v>
      </c>
      <c r="V46" s="3364"/>
      <c r="W46" s="3365" t="s">
        <v>2976</v>
      </c>
      <c r="X46" s="3366" t="s">
        <v>3008</v>
      </c>
      <c r="Y46" s="3366" t="s">
        <v>2978</v>
      </c>
      <c r="Z46" s="3366" t="s">
        <v>2979</v>
      </c>
      <c r="AA46" s="3366" t="s">
        <v>2980</v>
      </c>
      <c r="AB46" s="3366" t="s">
        <v>2981</v>
      </c>
      <c r="AC46" s="3366" t="s">
        <v>2982</v>
      </c>
      <c r="AD46" s="3366" t="s">
        <v>2983</v>
      </c>
      <c r="AE46" s="3367" t="s">
        <v>2984</v>
      </c>
      <c r="AF46" s="3366" t="s">
        <v>2985</v>
      </c>
      <c r="AG46" s="3368" t="s">
        <v>2986</v>
      </c>
      <c r="AH46" s="3369" t="s">
        <v>198</v>
      </c>
    </row>
    <row r="47" spans="1:34">
      <c r="L47" s="3421"/>
      <c r="M47" s="3418" t="s">
        <v>1260</v>
      </c>
      <c r="N47" s="3419" t="s">
        <v>3053</v>
      </c>
      <c r="O47" s="3420">
        <v>1012.5</v>
      </c>
      <c r="P47" s="3420"/>
      <c r="Q47" s="3420"/>
      <c r="R47" s="3420">
        <v>1012.5</v>
      </c>
      <c r="V47" s="3373" t="s">
        <v>3011</v>
      </c>
      <c r="W47" s="3374">
        <f>95000/4</f>
        <v>23750</v>
      </c>
      <c r="X47" s="3374">
        <f>91666.67/2</f>
        <v>45833.334999999999</v>
      </c>
      <c r="Y47" s="3374">
        <f t="shared" ref="Y47:AF47" si="10">95000/4</f>
        <v>23750</v>
      </c>
      <c r="Z47" s="3374">
        <f t="shared" si="10"/>
        <v>23750</v>
      </c>
      <c r="AA47" s="3374">
        <f t="shared" si="10"/>
        <v>23750</v>
      </c>
      <c r="AB47" s="3374">
        <f t="shared" si="10"/>
        <v>23750</v>
      </c>
      <c r="AC47" s="3374">
        <f t="shared" si="10"/>
        <v>23750</v>
      </c>
      <c r="AD47" s="3374">
        <f t="shared" si="10"/>
        <v>23750</v>
      </c>
      <c r="AE47" s="3374">
        <f t="shared" si="10"/>
        <v>23750</v>
      </c>
      <c r="AF47" s="3374">
        <f t="shared" si="10"/>
        <v>23750</v>
      </c>
      <c r="AG47" s="3375"/>
      <c r="AH47" s="3376">
        <f>SUM(W47:AF47)</f>
        <v>259583.33499999999</v>
      </c>
    </row>
    <row r="48" spans="1:34">
      <c r="L48" s="3429"/>
      <c r="M48" s="3422"/>
      <c r="N48" s="3419" t="s">
        <v>3054</v>
      </c>
      <c r="O48" s="3420"/>
      <c r="P48" s="3420">
        <v>32737.5</v>
      </c>
      <c r="Q48" s="3420"/>
      <c r="R48" s="3420">
        <v>32737.5</v>
      </c>
      <c r="S48" s="3302"/>
      <c r="V48" s="3377" t="s">
        <v>3012</v>
      </c>
      <c r="W48" s="3374"/>
      <c r="X48" s="3378">
        <f>15000/4</f>
        <v>3750</v>
      </c>
      <c r="Y48" s="3378">
        <f>20000/4</f>
        <v>5000</v>
      </c>
      <c r="Z48" s="3378">
        <f>15000/4</f>
        <v>3750</v>
      </c>
      <c r="AA48" s="3379"/>
      <c r="AB48" s="3378">
        <f>15000/4</f>
        <v>3750</v>
      </c>
      <c r="AC48" s="3379"/>
      <c r="AD48" s="3379"/>
      <c r="AE48" s="3379"/>
      <c r="AF48" s="3378">
        <f>15000/4</f>
        <v>3750</v>
      </c>
      <c r="AG48" s="3381"/>
      <c r="AH48" s="3376">
        <f>SUM(W48:AF48)</f>
        <v>20000</v>
      </c>
    </row>
    <row r="49" spans="12:34">
      <c r="L49" s="3430" t="s">
        <v>3055</v>
      </c>
      <c r="M49" s="3430"/>
      <c r="N49" s="3430"/>
      <c r="O49" s="3431">
        <v>3660.08</v>
      </c>
      <c r="P49" s="3431">
        <v>118342.43</v>
      </c>
      <c r="Q49" s="3431"/>
      <c r="R49" s="3431">
        <v>122002.51000000001</v>
      </c>
      <c r="S49" s="3302">
        <v>120097.51</v>
      </c>
      <c r="V49" s="3377" t="s">
        <v>3014</v>
      </c>
      <c r="W49" s="3374"/>
      <c r="X49" s="3378">
        <f>30000/4</f>
        <v>7500</v>
      </c>
      <c r="Y49" s="3378"/>
      <c r="Z49" s="3378"/>
      <c r="AA49" s="3379"/>
      <c r="AB49" s="3379"/>
      <c r="AC49" s="3379"/>
      <c r="AD49" s="3379"/>
      <c r="AE49" s="3379"/>
      <c r="AF49" s="3380"/>
      <c r="AG49" s="3381"/>
      <c r="AH49" s="3376">
        <f>SUM(W49:AF49)</f>
        <v>7500</v>
      </c>
    </row>
    <row r="50" spans="12:34">
      <c r="L50" s="3417" t="s">
        <v>3056</v>
      </c>
      <c r="M50" s="3418" t="s">
        <v>1254</v>
      </c>
      <c r="N50" s="3419" t="s">
        <v>3044</v>
      </c>
      <c r="O50" s="3420">
        <v>772.58</v>
      </c>
      <c r="P50" s="3420"/>
      <c r="Q50" s="3420"/>
      <c r="R50" s="3420">
        <v>772.58</v>
      </c>
      <c r="S50" s="3302"/>
      <c r="V50" s="3377" t="s">
        <v>3015</v>
      </c>
      <c r="W50" s="3387"/>
      <c r="X50" s="3379"/>
      <c r="Y50" s="3379"/>
      <c r="Z50" s="3378"/>
      <c r="AA50" s="3379"/>
      <c r="AB50" s="3379"/>
      <c r="AC50" s="3379">
        <v>25000</v>
      </c>
      <c r="AD50" s="3379"/>
      <c r="AE50" s="3379"/>
      <c r="AF50" s="3380"/>
      <c r="AG50" s="3381"/>
      <c r="AH50" s="3432">
        <f>SUM(W50:AF50)</f>
        <v>25000</v>
      </c>
    </row>
    <row r="51" spans="12:34" ht="15">
      <c r="L51" s="3421"/>
      <c r="M51" s="3422"/>
      <c r="N51" s="3419" t="s">
        <v>3045</v>
      </c>
      <c r="O51" s="3420"/>
      <c r="P51" s="3420">
        <v>24979.93</v>
      </c>
      <c r="Q51" s="3420"/>
      <c r="R51" s="3420">
        <v>24979.93</v>
      </c>
      <c r="S51" s="3302"/>
      <c r="V51" s="3433" t="s">
        <v>1985</v>
      </c>
      <c r="W51" s="3400">
        <f t="shared" ref="W51:AH51" si="11">SUM(W47:W50)</f>
        <v>23750</v>
      </c>
      <c r="X51" s="3400">
        <f t="shared" si="11"/>
        <v>57083.334999999999</v>
      </c>
      <c r="Y51" s="3400">
        <f t="shared" si="11"/>
        <v>28750</v>
      </c>
      <c r="Z51" s="3400">
        <f t="shared" si="11"/>
        <v>27500</v>
      </c>
      <c r="AA51" s="3400">
        <f t="shared" si="11"/>
        <v>23750</v>
      </c>
      <c r="AB51" s="3400">
        <f t="shared" si="11"/>
        <v>27500</v>
      </c>
      <c r="AC51" s="3400">
        <f t="shared" si="11"/>
        <v>48750</v>
      </c>
      <c r="AD51" s="3400">
        <f t="shared" si="11"/>
        <v>23750</v>
      </c>
      <c r="AE51" s="3400">
        <f t="shared" si="11"/>
        <v>23750</v>
      </c>
      <c r="AF51" s="3400">
        <f t="shared" si="11"/>
        <v>27500</v>
      </c>
      <c r="AG51" s="3434">
        <f t="shared" si="11"/>
        <v>0</v>
      </c>
      <c r="AH51" s="3402">
        <f t="shared" si="11"/>
        <v>312083.33499999996</v>
      </c>
    </row>
    <row r="52" spans="12:34" ht="28.5">
      <c r="L52" s="3421"/>
      <c r="M52" s="3418" t="s">
        <v>1257</v>
      </c>
      <c r="N52" s="3419" t="s">
        <v>3047</v>
      </c>
      <c r="O52" s="3420"/>
      <c r="P52" s="3420">
        <v>23037.5</v>
      </c>
      <c r="Q52" s="3420"/>
      <c r="R52" s="3420">
        <v>23037.5</v>
      </c>
      <c r="S52" s="3302"/>
      <c r="V52" s="3377" t="s">
        <v>3057</v>
      </c>
      <c r="W52" s="3435">
        <v>-356.25</v>
      </c>
      <c r="X52" s="3435"/>
      <c r="Y52" s="3435">
        <v>-431.25</v>
      </c>
      <c r="Z52" s="3435">
        <v>-412.5</v>
      </c>
      <c r="AA52" s="3435">
        <v>-356.25</v>
      </c>
      <c r="AB52" s="3435">
        <v>-412.5</v>
      </c>
      <c r="AC52" s="3435">
        <v>-731.25</v>
      </c>
      <c r="AD52" s="3435">
        <v>-356.25</v>
      </c>
      <c r="AE52" s="3435">
        <v>-356.25</v>
      </c>
      <c r="AF52" s="3435">
        <v>-412.5</v>
      </c>
      <c r="AG52" s="3381"/>
      <c r="AH52" s="3436">
        <f>SUM(W52:AF52)</f>
        <v>-3825</v>
      </c>
    </row>
    <row r="53" spans="12:34" ht="15">
      <c r="L53" s="3421"/>
      <c r="M53" s="3422"/>
      <c r="N53" s="3419" t="s">
        <v>3048</v>
      </c>
      <c r="O53" s="3420">
        <v>712.5</v>
      </c>
      <c r="P53" s="3420"/>
      <c r="Q53" s="3420"/>
      <c r="R53" s="3420">
        <v>712.5</v>
      </c>
      <c r="S53" s="3302"/>
      <c r="V53" s="3433" t="s">
        <v>198</v>
      </c>
      <c r="W53" s="3400">
        <f t="shared" ref="W53:AH53" si="12">SUM(W51:W52)</f>
        <v>23393.75</v>
      </c>
      <c r="X53" s="3400">
        <f t="shared" si="12"/>
        <v>57083.334999999999</v>
      </c>
      <c r="Y53" s="3400">
        <f t="shared" si="12"/>
        <v>28318.75</v>
      </c>
      <c r="Z53" s="3400">
        <f t="shared" si="12"/>
        <v>27087.5</v>
      </c>
      <c r="AA53" s="3400">
        <f t="shared" si="12"/>
        <v>23393.75</v>
      </c>
      <c r="AB53" s="3400">
        <f t="shared" si="12"/>
        <v>27087.5</v>
      </c>
      <c r="AC53" s="3400">
        <f t="shared" si="12"/>
        <v>48018.75</v>
      </c>
      <c r="AD53" s="3400">
        <f t="shared" si="12"/>
        <v>23393.75</v>
      </c>
      <c r="AE53" s="3400">
        <f t="shared" si="12"/>
        <v>23393.75</v>
      </c>
      <c r="AF53" s="3400">
        <f t="shared" si="12"/>
        <v>27087.5</v>
      </c>
      <c r="AG53" s="3400">
        <f t="shared" si="12"/>
        <v>0</v>
      </c>
      <c r="AH53" s="3400">
        <f t="shared" si="12"/>
        <v>308258.33499999996</v>
      </c>
    </row>
    <row r="54" spans="12:34" ht="100.5" thickBot="1">
      <c r="L54" s="3421"/>
      <c r="M54" s="3418" t="s">
        <v>1053</v>
      </c>
      <c r="N54" s="3419" t="s">
        <v>3050</v>
      </c>
      <c r="O54" s="3420">
        <v>712.5</v>
      </c>
      <c r="P54" s="3420"/>
      <c r="Q54" s="3420"/>
      <c r="R54" s="3420">
        <v>712.5</v>
      </c>
      <c r="S54" s="3302"/>
      <c r="V54" s="3437" t="s">
        <v>3058</v>
      </c>
      <c r="W54" s="3437"/>
      <c r="X54" s="3437"/>
      <c r="Y54" s="3437"/>
      <c r="Z54" s="3437"/>
      <c r="AA54" s="3437"/>
      <c r="AB54" s="3437"/>
      <c r="AC54" s="3437"/>
      <c r="AD54" s="3437"/>
      <c r="AE54" s="3437"/>
      <c r="AF54" s="3437"/>
      <c r="AG54" s="3437"/>
      <c r="AH54" s="3437"/>
    </row>
    <row r="55" spans="12:34" ht="35.25" thickBot="1">
      <c r="L55" s="3421"/>
      <c r="M55" s="3422"/>
      <c r="N55" s="3419" t="s">
        <v>3052</v>
      </c>
      <c r="O55" s="3420"/>
      <c r="P55" s="3420">
        <v>23037.5</v>
      </c>
      <c r="Q55" s="3420"/>
      <c r="R55" s="3420">
        <v>23037.5</v>
      </c>
      <c r="S55" s="3302"/>
      <c r="V55" s="3438" t="s">
        <v>3059</v>
      </c>
      <c r="W55" s="3438"/>
      <c r="X55" s="3438"/>
      <c r="Y55" s="3438"/>
      <c r="Z55" s="3438"/>
      <c r="AA55" s="3438"/>
      <c r="AB55" s="3438"/>
      <c r="AC55" s="3438"/>
      <c r="AD55" s="3438"/>
      <c r="AE55" s="3438"/>
      <c r="AF55" s="3438"/>
      <c r="AG55" s="3438"/>
      <c r="AH55" s="3438"/>
    </row>
    <row r="56" spans="12:34" ht="15">
      <c r="L56" s="3421"/>
      <c r="M56" s="3418" t="s">
        <v>1260</v>
      </c>
      <c r="N56" s="3419" t="s">
        <v>3053</v>
      </c>
      <c r="O56" s="3420">
        <v>712.5</v>
      </c>
      <c r="P56" s="3420"/>
      <c r="Q56" s="3420"/>
      <c r="R56" s="3420">
        <v>712.5</v>
      </c>
      <c r="S56" s="3302"/>
      <c r="V56" s="3364"/>
      <c r="W56" s="3365" t="s">
        <v>2976</v>
      </c>
      <c r="X56" s="3366" t="s">
        <v>3008</v>
      </c>
      <c r="Y56" s="3366" t="s">
        <v>2978</v>
      </c>
      <c r="Z56" s="3366" t="s">
        <v>2979</v>
      </c>
      <c r="AA56" s="3366" t="s">
        <v>2980</v>
      </c>
      <c r="AB56" s="3366" t="s">
        <v>2981</v>
      </c>
      <c r="AC56" s="3366" t="s">
        <v>2982</v>
      </c>
      <c r="AD56" s="3366" t="s">
        <v>2983</v>
      </c>
      <c r="AE56" s="3367" t="s">
        <v>2984</v>
      </c>
      <c r="AF56" s="3366" t="s">
        <v>2985</v>
      </c>
      <c r="AG56" s="3368" t="s">
        <v>2986</v>
      </c>
      <c r="AH56" s="3369" t="s">
        <v>198</v>
      </c>
    </row>
    <row r="57" spans="12:34">
      <c r="L57" s="3429"/>
      <c r="M57" s="3422"/>
      <c r="N57" s="3419" t="s">
        <v>3054</v>
      </c>
      <c r="O57" s="3420"/>
      <c r="P57" s="3420">
        <v>23037.5</v>
      </c>
      <c r="Q57" s="3420"/>
      <c r="R57" s="3420">
        <v>23037.5</v>
      </c>
      <c r="S57" s="3302"/>
      <c r="V57" s="3373" t="s">
        <v>3011</v>
      </c>
      <c r="W57" s="3374">
        <f>95000/4</f>
        <v>23750</v>
      </c>
      <c r="X57" s="3374">
        <v>45833.33</v>
      </c>
      <c r="Y57" s="3374">
        <f t="shared" ref="Y57:AF57" si="13">95000/4</f>
        <v>23750</v>
      </c>
      <c r="Z57" s="3374">
        <f t="shared" si="13"/>
        <v>23750</v>
      </c>
      <c r="AA57" s="3374">
        <f t="shared" si="13"/>
        <v>23750</v>
      </c>
      <c r="AB57" s="3374">
        <f t="shared" si="13"/>
        <v>23750</v>
      </c>
      <c r="AC57" s="3374">
        <f t="shared" si="13"/>
        <v>23750</v>
      </c>
      <c r="AD57" s="3374">
        <f t="shared" si="13"/>
        <v>23750</v>
      </c>
      <c r="AE57" s="3374">
        <f t="shared" si="13"/>
        <v>23750</v>
      </c>
      <c r="AF57" s="3374">
        <f t="shared" si="13"/>
        <v>23750</v>
      </c>
      <c r="AG57" s="3375">
        <f>21666.67/3</f>
        <v>7222.2233333333324</v>
      </c>
      <c r="AH57" s="3376">
        <f>SUM(W57:AG57)</f>
        <v>266805.55333333334</v>
      </c>
    </row>
    <row r="58" spans="12:34">
      <c r="L58" s="3430" t="s">
        <v>3060</v>
      </c>
      <c r="M58" s="3430"/>
      <c r="N58" s="3430"/>
      <c r="O58" s="3431">
        <v>2910.08</v>
      </c>
      <c r="P58" s="3431">
        <v>94092.43</v>
      </c>
      <c r="Q58" s="3431"/>
      <c r="R58" s="3431">
        <v>97002.510000000009</v>
      </c>
      <c r="S58" s="3302">
        <v>95472.51</v>
      </c>
      <c r="V58" s="3377" t="s">
        <v>3012</v>
      </c>
      <c r="W58" s="3374"/>
      <c r="X58" s="3378">
        <f>15000/12*2</f>
        <v>2500</v>
      </c>
      <c r="Y58" s="3378">
        <f>20000/4</f>
        <v>5000</v>
      </c>
      <c r="Z58" s="3378">
        <f>15000/4</f>
        <v>3750</v>
      </c>
      <c r="AA58" s="3379">
        <f>15000/12*2</f>
        <v>2500</v>
      </c>
      <c r="AB58" s="3378">
        <f>15000/4</f>
        <v>3750</v>
      </c>
      <c r="AC58" s="3379"/>
      <c r="AD58" s="3379"/>
      <c r="AE58" s="3379"/>
      <c r="AF58" s="3378">
        <f>15000/4</f>
        <v>3750</v>
      </c>
      <c r="AG58" s="3381"/>
      <c r="AH58" s="3376">
        <f>SUM(W58:AF58)</f>
        <v>21250</v>
      </c>
    </row>
    <row r="59" spans="12:34" ht="28.5">
      <c r="L59" s="3417" t="s">
        <v>3061</v>
      </c>
      <c r="M59" s="3418" t="s">
        <v>1254</v>
      </c>
      <c r="N59" s="3419" t="s">
        <v>3044</v>
      </c>
      <c r="O59" s="3420">
        <v>885.08</v>
      </c>
      <c r="P59" s="3420"/>
      <c r="Q59" s="3420"/>
      <c r="R59" s="3420">
        <v>885.08</v>
      </c>
      <c r="S59" s="3302"/>
      <c r="V59" s="3377" t="s">
        <v>3062</v>
      </c>
      <c r="W59" s="3374"/>
      <c r="X59" s="3378">
        <f>30000/12*2</f>
        <v>5000</v>
      </c>
      <c r="Y59" s="3378">
        <f>30000/12*2</f>
        <v>5000</v>
      </c>
      <c r="Z59" s="3378"/>
      <c r="AA59" s="3379"/>
      <c r="AB59" s="3379"/>
      <c r="AC59" s="3379"/>
      <c r="AD59" s="3379"/>
      <c r="AE59" s="3379"/>
      <c r="AF59" s="3380"/>
      <c r="AG59" s="3381"/>
      <c r="AH59" s="3376">
        <f>SUM(W59:AF59)</f>
        <v>10000</v>
      </c>
    </row>
    <row r="60" spans="12:34">
      <c r="L60" s="3421"/>
      <c r="M60" s="3422"/>
      <c r="N60" s="3419" t="s">
        <v>3045</v>
      </c>
      <c r="O60" s="3420"/>
      <c r="P60" s="3420">
        <v>28617.43</v>
      </c>
      <c r="Q60" s="3420"/>
      <c r="R60" s="3420">
        <v>28617.43</v>
      </c>
      <c r="S60" s="3302"/>
      <c r="V60" s="3377" t="s">
        <v>3015</v>
      </c>
      <c r="W60" s="3374"/>
      <c r="X60" s="3378"/>
      <c r="Y60" s="3378"/>
      <c r="Z60" s="3378"/>
      <c r="AA60" s="3379"/>
      <c r="AB60" s="3379"/>
      <c r="AC60" s="3379">
        <v>25000</v>
      </c>
      <c r="AD60" s="3379"/>
      <c r="AE60" s="3379"/>
      <c r="AF60" s="3380"/>
      <c r="AG60" s="3381"/>
      <c r="AH60" s="3376">
        <f>SUM(W60:AF60)</f>
        <v>25000</v>
      </c>
    </row>
    <row r="61" spans="12:34">
      <c r="L61" s="3421"/>
      <c r="M61" s="3418" t="s">
        <v>1257</v>
      </c>
      <c r="N61" s="3419" t="s">
        <v>3047</v>
      </c>
      <c r="O61" s="3420"/>
      <c r="P61" s="3420">
        <v>26675</v>
      </c>
      <c r="Q61" s="3420"/>
      <c r="R61" s="3420">
        <v>26675</v>
      </c>
      <c r="S61" s="3302"/>
      <c r="V61" s="3377" t="s">
        <v>3063</v>
      </c>
      <c r="W61" s="3374"/>
      <c r="X61" s="3378">
        <f>SUM(2519*0.46)</f>
        <v>1158.74</v>
      </c>
      <c r="Y61" s="3378"/>
      <c r="Z61" s="3378"/>
      <c r="AA61" s="3378"/>
      <c r="AB61" s="3378"/>
      <c r="AC61" s="3378"/>
      <c r="AD61" s="3379"/>
      <c r="AE61" s="3378"/>
      <c r="AF61" s="3380"/>
      <c r="AG61" s="3381"/>
      <c r="AH61" s="3376">
        <f>SUM(W61:AF61)</f>
        <v>1158.74</v>
      </c>
    </row>
    <row r="62" spans="12:34" ht="28.5">
      <c r="L62" s="3421"/>
      <c r="M62" s="3422"/>
      <c r="N62" s="3419" t="s">
        <v>3048</v>
      </c>
      <c r="O62" s="3420">
        <v>825</v>
      </c>
      <c r="P62" s="3420"/>
      <c r="Q62" s="3420"/>
      <c r="R62" s="3420">
        <v>825</v>
      </c>
      <c r="S62" s="3302"/>
      <c r="V62" s="3377" t="s">
        <v>3026</v>
      </c>
      <c r="W62" s="3374"/>
      <c r="X62" s="3374"/>
      <c r="Y62" s="3374"/>
      <c r="Z62" s="3374"/>
      <c r="AA62" s="3374"/>
      <c r="AB62" s="3374"/>
      <c r="AC62" s="3374"/>
      <c r="AD62" s="3374"/>
      <c r="AE62" s="3374"/>
      <c r="AF62" s="3374"/>
      <c r="AG62" s="3387"/>
      <c r="AH62" s="3376">
        <f>SUM(W62:AF62)</f>
        <v>0</v>
      </c>
    </row>
    <row r="63" spans="12:34" ht="15">
      <c r="L63" s="3421"/>
      <c r="M63" s="3418" t="s">
        <v>1053</v>
      </c>
      <c r="N63" s="3419" t="s">
        <v>3050</v>
      </c>
      <c r="O63" s="3420">
        <v>825</v>
      </c>
      <c r="P63" s="3420"/>
      <c r="Q63" s="3420"/>
      <c r="R63" s="3420">
        <v>825</v>
      </c>
      <c r="S63" s="3302"/>
      <c r="V63" s="3406" t="s">
        <v>1985</v>
      </c>
      <c r="W63" s="3400">
        <f t="shared" ref="W63:AH63" si="14">SUM(W57:W62)</f>
        <v>23750</v>
      </c>
      <c r="X63" s="3400">
        <f t="shared" si="14"/>
        <v>54492.07</v>
      </c>
      <c r="Y63" s="3400">
        <f t="shared" si="14"/>
        <v>33750</v>
      </c>
      <c r="Z63" s="3400">
        <f t="shared" si="14"/>
        <v>27500</v>
      </c>
      <c r="AA63" s="3400">
        <f t="shared" si="14"/>
        <v>26250</v>
      </c>
      <c r="AB63" s="3400">
        <f t="shared" si="14"/>
        <v>27500</v>
      </c>
      <c r="AC63" s="3400">
        <f t="shared" si="14"/>
        <v>48750</v>
      </c>
      <c r="AD63" s="3400">
        <f t="shared" si="14"/>
        <v>23750</v>
      </c>
      <c r="AE63" s="3400">
        <f t="shared" si="14"/>
        <v>23750</v>
      </c>
      <c r="AF63" s="3400">
        <f t="shared" si="14"/>
        <v>27500</v>
      </c>
      <c r="AG63" s="3400">
        <f t="shared" si="14"/>
        <v>7222.2233333333324</v>
      </c>
      <c r="AH63" s="3400">
        <f t="shared" si="14"/>
        <v>324214.29333333333</v>
      </c>
    </row>
    <row r="64" spans="12:34" ht="28.5">
      <c r="L64" s="3421"/>
      <c r="M64" s="3422"/>
      <c r="N64" s="3419" t="s">
        <v>3052</v>
      </c>
      <c r="O64" s="3420"/>
      <c r="P64" s="3420">
        <v>26675</v>
      </c>
      <c r="Q64" s="3420"/>
      <c r="R64" s="3420">
        <v>26675</v>
      </c>
      <c r="S64" s="3302"/>
      <c r="V64" s="3377" t="s">
        <v>3064</v>
      </c>
      <c r="W64" s="3380">
        <v>-356.25</v>
      </c>
      <c r="X64" s="3380"/>
      <c r="Y64" s="3380">
        <v>-506.25</v>
      </c>
      <c r="Z64" s="3380">
        <v>-412.5</v>
      </c>
      <c r="AA64" s="3380">
        <v>-393.75</v>
      </c>
      <c r="AB64" s="3380">
        <v>-412.5</v>
      </c>
      <c r="AC64" s="3380">
        <v>-731.25</v>
      </c>
      <c r="AD64" s="3380">
        <v>-356.25</v>
      </c>
      <c r="AE64" s="3380">
        <v>-356.25</v>
      </c>
      <c r="AF64" s="3380">
        <v>-412.5</v>
      </c>
      <c r="AG64" s="3381">
        <v>-108.33</v>
      </c>
      <c r="AH64" s="3376">
        <f>SUM(W64:AG64)</f>
        <v>-4045.83</v>
      </c>
    </row>
    <row r="65" spans="12:34" ht="15">
      <c r="L65" s="3421"/>
      <c r="M65" s="3418" t="s">
        <v>1260</v>
      </c>
      <c r="N65" s="3419" t="s">
        <v>3053</v>
      </c>
      <c r="O65" s="3420">
        <v>825</v>
      </c>
      <c r="P65" s="3420"/>
      <c r="Q65" s="3420"/>
      <c r="R65" s="3420">
        <v>825</v>
      </c>
      <c r="S65" s="3302"/>
      <c r="V65" s="3406" t="s">
        <v>198</v>
      </c>
      <c r="W65" s="3400">
        <f t="shared" ref="W65:AH65" si="15">SUM(W63:W64)</f>
        <v>23393.75</v>
      </c>
      <c r="X65" s="3400">
        <f t="shared" si="15"/>
        <v>54492.07</v>
      </c>
      <c r="Y65" s="3400">
        <f t="shared" si="15"/>
        <v>33243.75</v>
      </c>
      <c r="Z65" s="3400">
        <f t="shared" si="15"/>
        <v>27087.5</v>
      </c>
      <c r="AA65" s="3400">
        <f t="shared" si="15"/>
        <v>25856.25</v>
      </c>
      <c r="AB65" s="3400">
        <f t="shared" si="15"/>
        <v>27087.5</v>
      </c>
      <c r="AC65" s="3400">
        <f t="shared" si="15"/>
        <v>48018.75</v>
      </c>
      <c r="AD65" s="3400">
        <f t="shared" si="15"/>
        <v>23393.75</v>
      </c>
      <c r="AE65" s="3400">
        <f t="shared" si="15"/>
        <v>23393.75</v>
      </c>
      <c r="AF65" s="3400">
        <f t="shared" si="15"/>
        <v>27087.5</v>
      </c>
      <c r="AG65" s="3400">
        <f t="shared" si="15"/>
        <v>7113.8933333333325</v>
      </c>
      <c r="AH65" s="3400">
        <f t="shared" si="15"/>
        <v>320168.46333333332</v>
      </c>
    </row>
    <row r="66" spans="12:34" ht="86.25" thickBot="1">
      <c r="L66" s="3429"/>
      <c r="M66" s="3422"/>
      <c r="N66" s="3419" t="s">
        <v>3054</v>
      </c>
      <c r="O66" s="3420"/>
      <c r="P66" s="3420">
        <v>26675</v>
      </c>
      <c r="Q66" s="3420"/>
      <c r="R66" s="3420">
        <v>26675</v>
      </c>
      <c r="S66" s="3302"/>
      <c r="V66" s="3439" t="s">
        <v>3065</v>
      </c>
      <c r="W66" s="3439"/>
      <c r="X66" s="3439"/>
      <c r="Y66" s="3439"/>
      <c r="Z66" s="3439"/>
      <c r="AA66" s="3439"/>
      <c r="AB66" s="3439"/>
      <c r="AC66" s="3439"/>
      <c r="AD66" s="3439" t="s">
        <v>1208</v>
      </c>
      <c r="AE66" s="3439"/>
      <c r="AF66" s="3439"/>
      <c r="AG66" s="3439"/>
      <c r="AH66" s="3439"/>
    </row>
    <row r="67" spans="12:34" ht="87" thickTop="1" thickBot="1">
      <c r="L67" s="3430" t="s">
        <v>3066</v>
      </c>
      <c r="M67" s="3430"/>
      <c r="N67" s="3430"/>
      <c r="O67" s="3431">
        <v>3360.08</v>
      </c>
      <c r="P67" s="3431">
        <v>108642.43</v>
      </c>
      <c r="Q67" s="3431"/>
      <c r="R67" s="3431">
        <v>112002.51000000001</v>
      </c>
      <c r="S67" s="3302">
        <v>110247.51</v>
      </c>
      <c r="V67" s="3440" t="s">
        <v>3067</v>
      </c>
      <c r="W67" s="3440"/>
      <c r="X67" s="3440"/>
      <c r="Y67" s="3440"/>
      <c r="Z67" s="3440"/>
      <c r="AA67" s="3440"/>
      <c r="AB67" s="3440"/>
      <c r="AC67" s="3440"/>
      <c r="AD67" s="3440"/>
      <c r="AE67" s="3440"/>
      <c r="AF67" s="3440"/>
      <c r="AG67" s="3440"/>
      <c r="AH67" s="3440"/>
    </row>
    <row r="68" spans="12:34" ht="144" thickTop="1" thickBot="1">
      <c r="L68" s="3417" t="s">
        <v>3068</v>
      </c>
      <c r="M68" s="3418" t="s">
        <v>1254</v>
      </c>
      <c r="N68" s="3419" t="s">
        <v>3044</v>
      </c>
      <c r="O68" s="3420">
        <v>1118.33</v>
      </c>
      <c r="P68" s="3420"/>
      <c r="Q68" s="3420"/>
      <c r="R68" s="3420">
        <v>1118.33</v>
      </c>
      <c r="S68" s="3302"/>
      <c r="V68" s="3441" t="s">
        <v>3069</v>
      </c>
      <c r="W68" s="3441"/>
      <c r="X68" s="3441"/>
      <c r="Y68" s="3441"/>
      <c r="Z68" s="3441"/>
      <c r="AA68" s="3441"/>
      <c r="AB68" s="3441"/>
      <c r="AC68" s="3441"/>
      <c r="AD68" s="3441"/>
      <c r="AE68" s="3441"/>
      <c r="AF68" s="3441"/>
      <c r="AG68" s="3441"/>
      <c r="AH68" s="3441"/>
    </row>
    <row r="69" spans="12:34" ht="15" thickTop="1">
      <c r="L69" s="3421"/>
      <c r="M69" s="3422"/>
      <c r="N69" s="3419" t="s">
        <v>3045</v>
      </c>
      <c r="O69" s="3420"/>
      <c r="P69" s="3420">
        <v>36159.21</v>
      </c>
      <c r="Q69" s="3420"/>
      <c r="R69" s="3420">
        <v>36159.21</v>
      </c>
      <c r="S69" s="3302"/>
    </row>
    <row r="70" spans="12:34">
      <c r="L70" s="3421"/>
      <c r="M70" s="3418" t="s">
        <v>1257</v>
      </c>
      <c r="N70" s="3419" t="s">
        <v>3047</v>
      </c>
      <c r="O70" s="3420"/>
      <c r="P70" s="3420">
        <v>35025.11</v>
      </c>
      <c r="Q70" s="3420"/>
      <c r="R70" s="3420">
        <v>35025.11</v>
      </c>
      <c r="S70" s="3302"/>
    </row>
    <row r="71" spans="12:34">
      <c r="L71" s="3421"/>
      <c r="M71" s="3422"/>
      <c r="N71" s="3419" t="s">
        <v>3048</v>
      </c>
      <c r="O71" s="3420">
        <v>1083.25</v>
      </c>
      <c r="P71" s="3420"/>
      <c r="Q71" s="3420"/>
      <c r="R71" s="3420">
        <v>1083.25</v>
      </c>
      <c r="S71" s="3302"/>
    </row>
    <row r="72" spans="12:34">
      <c r="L72" s="3421"/>
      <c r="M72" s="3418" t="s">
        <v>1053</v>
      </c>
      <c r="N72" s="3419" t="s">
        <v>3050</v>
      </c>
      <c r="O72" s="3420">
        <v>1712.5</v>
      </c>
      <c r="P72" s="3420"/>
      <c r="Q72" s="3420"/>
      <c r="R72" s="3420">
        <v>1712.5</v>
      </c>
      <c r="S72" s="3302"/>
    </row>
    <row r="73" spans="12:34">
      <c r="L73" s="3421"/>
      <c r="M73" s="3422"/>
      <c r="N73" s="3419" t="s">
        <v>3052</v>
      </c>
      <c r="O73" s="3420"/>
      <c r="P73" s="3420">
        <v>55370.84</v>
      </c>
      <c r="Q73" s="3420"/>
      <c r="R73" s="3420">
        <v>55370.84</v>
      </c>
      <c r="S73" s="3302"/>
    </row>
    <row r="74" spans="12:34">
      <c r="L74" s="3421"/>
      <c r="M74" s="3418" t="s">
        <v>1260</v>
      </c>
      <c r="N74" s="3419" t="s">
        <v>3053</v>
      </c>
      <c r="O74" s="3420">
        <v>0</v>
      </c>
      <c r="P74" s="3420"/>
      <c r="Q74" s="3420"/>
      <c r="R74" s="3420">
        <v>0</v>
      </c>
      <c r="S74" s="3302"/>
    </row>
    <row r="75" spans="12:34">
      <c r="L75" s="3421"/>
      <c r="M75" s="3418"/>
      <c r="N75" s="3419" t="s">
        <v>3054</v>
      </c>
      <c r="O75" s="3420"/>
      <c r="P75" s="3420">
        <v>0</v>
      </c>
      <c r="Q75" s="3420"/>
      <c r="R75" s="3420">
        <v>0</v>
      </c>
      <c r="S75" s="3302"/>
    </row>
    <row r="76" spans="12:34">
      <c r="L76" s="3421"/>
      <c r="M76" s="3418"/>
      <c r="N76" s="3419" t="s">
        <v>3070</v>
      </c>
      <c r="O76" s="3420">
        <v>1634.76</v>
      </c>
      <c r="P76" s="3420"/>
      <c r="Q76" s="3420"/>
      <c r="R76" s="3420">
        <v>1634.76</v>
      </c>
      <c r="S76" s="3302"/>
    </row>
    <row r="77" spans="12:34">
      <c r="L77" s="3429"/>
      <c r="M77" s="3422"/>
      <c r="N77" s="3419" t="s">
        <v>3071</v>
      </c>
      <c r="O77" s="3420"/>
      <c r="P77" s="3420">
        <v>52857.31</v>
      </c>
      <c r="Q77" s="3420"/>
      <c r="R77" s="3420">
        <v>52857.31</v>
      </c>
      <c r="S77" s="3302"/>
    </row>
    <row r="78" spans="12:34">
      <c r="L78" s="3430" t="s">
        <v>3072</v>
      </c>
      <c r="M78" s="3430"/>
      <c r="N78" s="3430"/>
      <c r="O78" s="3431">
        <v>5548.84</v>
      </c>
      <c r="P78" s="3431">
        <v>179412.47</v>
      </c>
      <c r="Q78" s="3431"/>
      <c r="R78" s="3431">
        <v>184961.31</v>
      </c>
      <c r="S78" s="3302">
        <v>184961.3016666667</v>
      </c>
    </row>
    <row r="79" spans="12:34">
      <c r="L79" s="3417" t="s">
        <v>3073</v>
      </c>
      <c r="M79" s="3418" t="s">
        <v>1254</v>
      </c>
      <c r="N79" s="3419" t="s">
        <v>3044</v>
      </c>
      <c r="O79" s="3420">
        <v>885.08</v>
      </c>
      <c r="P79" s="3420"/>
      <c r="Q79" s="3420"/>
      <c r="R79" s="3420">
        <v>885.08</v>
      </c>
      <c r="S79" s="3302"/>
    </row>
    <row r="80" spans="12:34">
      <c r="L80" s="3421"/>
      <c r="M80" s="3422"/>
      <c r="N80" s="3419" t="s">
        <v>3045</v>
      </c>
      <c r="O80" s="3420"/>
      <c r="P80" s="3420">
        <v>28617.43</v>
      </c>
      <c r="Q80" s="3420"/>
      <c r="R80" s="3420">
        <v>28617.43</v>
      </c>
      <c r="S80" s="3302"/>
    </row>
    <row r="81" spans="12:19">
      <c r="L81" s="3421"/>
      <c r="M81" s="3418" t="s">
        <v>1257</v>
      </c>
      <c r="N81" s="3419" t="s">
        <v>3047</v>
      </c>
      <c r="O81" s="3420"/>
      <c r="P81" s="3420">
        <v>26675</v>
      </c>
      <c r="Q81" s="3420"/>
      <c r="R81" s="3420">
        <v>26675</v>
      </c>
      <c r="S81" s="3302"/>
    </row>
    <row r="82" spans="12:19">
      <c r="L82" s="3421"/>
      <c r="M82" s="3422"/>
      <c r="N82" s="3419" t="s">
        <v>3048</v>
      </c>
      <c r="O82" s="3420">
        <v>825</v>
      </c>
      <c r="P82" s="3420"/>
      <c r="Q82" s="3420"/>
      <c r="R82" s="3420">
        <v>825</v>
      </c>
      <c r="S82" s="3302"/>
    </row>
    <row r="83" spans="12:19">
      <c r="L83" s="3421"/>
      <c r="M83" s="3418" t="s">
        <v>1053</v>
      </c>
      <c r="N83" s="3419" t="s">
        <v>3050</v>
      </c>
      <c r="O83" s="3420">
        <v>825</v>
      </c>
      <c r="P83" s="3420"/>
      <c r="Q83" s="3420"/>
      <c r="R83" s="3420">
        <v>825</v>
      </c>
      <c r="S83" s="3302"/>
    </row>
    <row r="84" spans="12:19">
      <c r="L84" s="3421"/>
      <c r="M84" s="3422"/>
      <c r="N84" s="3419" t="s">
        <v>3052</v>
      </c>
      <c r="O84" s="3420"/>
      <c r="P84" s="3420">
        <v>26675</v>
      </c>
      <c r="Q84" s="3420"/>
      <c r="R84" s="3420">
        <v>26675</v>
      </c>
      <c r="S84" s="3302"/>
    </row>
    <row r="85" spans="12:19">
      <c r="L85" s="3421"/>
      <c r="M85" s="3418" t="s">
        <v>1260</v>
      </c>
      <c r="N85" s="3419" t="s">
        <v>3053</v>
      </c>
      <c r="O85" s="3420">
        <v>825</v>
      </c>
      <c r="P85" s="3420"/>
      <c r="Q85" s="3420"/>
      <c r="R85" s="3420">
        <v>825</v>
      </c>
      <c r="S85" s="3302"/>
    </row>
    <row r="86" spans="12:19">
      <c r="L86" s="3429"/>
      <c r="M86" s="3422"/>
      <c r="N86" s="3419" t="s">
        <v>3054</v>
      </c>
      <c r="O86" s="3420"/>
      <c r="P86" s="3420">
        <v>26675</v>
      </c>
      <c r="Q86" s="3420"/>
      <c r="R86" s="3420">
        <v>26675</v>
      </c>
      <c r="S86" s="3302"/>
    </row>
    <row r="87" spans="12:19">
      <c r="L87" s="3430" t="s">
        <v>3074</v>
      </c>
      <c r="M87" s="3430"/>
      <c r="N87" s="3430"/>
      <c r="O87" s="3431">
        <v>3360.08</v>
      </c>
      <c r="P87" s="3431">
        <v>108642.43</v>
      </c>
      <c r="Q87" s="3431"/>
      <c r="R87" s="3431">
        <v>112002.51000000001</v>
      </c>
      <c r="S87" s="3302">
        <v>110247.51</v>
      </c>
    </row>
    <row r="88" spans="12:19">
      <c r="L88" s="3417" t="s">
        <v>3075</v>
      </c>
      <c r="M88" s="3418" t="s">
        <v>1254</v>
      </c>
      <c r="N88" s="3419" t="s">
        <v>3044</v>
      </c>
      <c r="O88" s="3420">
        <v>885.08</v>
      </c>
      <c r="P88" s="3420"/>
      <c r="Q88" s="3420"/>
      <c r="R88" s="3420">
        <v>885.08</v>
      </c>
      <c r="S88" s="3302"/>
    </row>
    <row r="89" spans="12:19">
      <c r="L89" s="3421"/>
      <c r="M89" s="3422"/>
      <c r="N89" s="3419" t="s">
        <v>3045</v>
      </c>
      <c r="O89" s="3420"/>
      <c r="P89" s="3420">
        <v>28617.43</v>
      </c>
      <c r="Q89" s="3420"/>
      <c r="R89" s="3420">
        <v>28617.43</v>
      </c>
      <c r="S89" s="3302"/>
    </row>
    <row r="90" spans="12:19">
      <c r="L90" s="3421"/>
      <c r="M90" s="3418" t="s">
        <v>1257</v>
      </c>
      <c r="N90" s="3419" t="s">
        <v>3047</v>
      </c>
      <c r="O90" s="3420"/>
      <c r="P90" s="3420">
        <v>26675</v>
      </c>
      <c r="Q90" s="3420"/>
      <c r="R90" s="3420">
        <v>26675</v>
      </c>
      <c r="S90" s="3302"/>
    </row>
    <row r="91" spans="12:19">
      <c r="L91" s="3421"/>
      <c r="M91" s="3422"/>
      <c r="N91" s="3419" t="s">
        <v>3048</v>
      </c>
      <c r="O91" s="3420">
        <v>825</v>
      </c>
      <c r="P91" s="3420"/>
      <c r="Q91" s="3420"/>
      <c r="R91" s="3420">
        <v>825</v>
      </c>
      <c r="S91" s="3302"/>
    </row>
    <row r="92" spans="12:19">
      <c r="L92" s="3421"/>
      <c r="M92" s="3418" t="s">
        <v>1053</v>
      </c>
      <c r="N92" s="3419" t="s">
        <v>3050</v>
      </c>
      <c r="O92" s="3420">
        <v>825</v>
      </c>
      <c r="P92" s="3420"/>
      <c r="Q92" s="3420"/>
      <c r="R92" s="3420">
        <v>825</v>
      </c>
      <c r="S92" s="3302"/>
    </row>
    <row r="93" spans="12:19">
      <c r="L93" s="3421"/>
      <c r="M93" s="3422"/>
      <c r="N93" s="3419" t="s">
        <v>3052</v>
      </c>
      <c r="O93" s="3420"/>
      <c r="P93" s="3420">
        <v>26675</v>
      </c>
      <c r="Q93" s="3420"/>
      <c r="R93" s="3420">
        <v>26675</v>
      </c>
      <c r="S93" s="3302"/>
    </row>
    <row r="94" spans="12:19">
      <c r="L94" s="3421"/>
      <c r="M94" s="3418" t="s">
        <v>1260</v>
      </c>
      <c r="N94" s="3419" t="s">
        <v>3053</v>
      </c>
      <c r="O94" s="3420">
        <v>825</v>
      </c>
      <c r="P94" s="3420"/>
      <c r="Q94" s="3420"/>
      <c r="R94" s="3420">
        <v>825</v>
      </c>
      <c r="S94" s="3302"/>
    </row>
    <row r="95" spans="12:19">
      <c r="L95" s="3429"/>
      <c r="M95" s="3422"/>
      <c r="N95" s="3419" t="s">
        <v>3054</v>
      </c>
      <c r="O95" s="3420"/>
      <c r="P95" s="3420">
        <v>26675</v>
      </c>
      <c r="Q95" s="3420"/>
      <c r="R95" s="3420">
        <v>26675</v>
      </c>
      <c r="S95" s="3302"/>
    </row>
    <row r="96" spans="12:19">
      <c r="L96" s="3430" t="s">
        <v>3076</v>
      </c>
      <c r="M96" s="3430"/>
      <c r="N96" s="3430"/>
      <c r="O96" s="3431">
        <v>3360.08</v>
      </c>
      <c r="P96" s="3431">
        <v>108642.43</v>
      </c>
      <c r="Q96" s="3431"/>
      <c r="R96" s="3431">
        <v>112002.51000000001</v>
      </c>
      <c r="S96" s="3302">
        <v>110247.51</v>
      </c>
    </row>
    <row r="97" spans="12:19">
      <c r="L97" s="3417" t="s">
        <v>3077</v>
      </c>
      <c r="M97" s="3422" t="s">
        <v>1254</v>
      </c>
      <c r="N97" s="3419" t="s">
        <v>3078</v>
      </c>
      <c r="O97" s="3420">
        <v>1499.25</v>
      </c>
      <c r="P97" s="3420">
        <v>48475.65</v>
      </c>
      <c r="Q97" s="3420"/>
      <c r="R97" s="3420">
        <v>49974.9</v>
      </c>
      <c r="S97" s="3302"/>
    </row>
    <row r="98" spans="12:19">
      <c r="L98" s="3429"/>
      <c r="M98" s="3422" t="s">
        <v>1261</v>
      </c>
      <c r="N98" s="3419" t="s">
        <v>3079</v>
      </c>
      <c r="O98" s="3420">
        <v>37491.83</v>
      </c>
      <c r="P98" s="3420"/>
      <c r="Q98" s="3420">
        <v>1212235.97</v>
      </c>
      <c r="R98" s="3420">
        <v>1249727.8</v>
      </c>
      <c r="S98" s="3302"/>
    </row>
    <row r="99" spans="12:19">
      <c r="L99" s="3430" t="s">
        <v>3080</v>
      </c>
      <c r="M99" s="3430"/>
      <c r="N99" s="3430"/>
      <c r="O99" s="3431">
        <v>38991.08</v>
      </c>
      <c r="P99" s="3431">
        <v>48475.65</v>
      </c>
      <c r="Q99" s="3431">
        <v>1212235.97</v>
      </c>
      <c r="R99" s="3431">
        <v>1299702.7</v>
      </c>
      <c r="S99" s="3302">
        <v>1304700.19</v>
      </c>
    </row>
    <row r="100" spans="12:19">
      <c r="L100" s="3417" t="s">
        <v>3081</v>
      </c>
      <c r="M100" s="3418" t="s">
        <v>1255</v>
      </c>
      <c r="N100" s="3419" t="s">
        <v>3082</v>
      </c>
      <c r="O100" s="3420"/>
      <c r="P100" s="3420">
        <v>24532.52</v>
      </c>
      <c r="Q100" s="3420"/>
      <c r="R100" s="3420">
        <v>24532.52</v>
      </c>
      <c r="S100" s="3302"/>
    </row>
    <row r="101" spans="12:19">
      <c r="L101" s="3421"/>
      <c r="M101" s="3422"/>
      <c r="N101" s="3419" t="s">
        <v>3083</v>
      </c>
      <c r="O101" s="3420">
        <v>758.74</v>
      </c>
      <c r="P101" s="3420"/>
      <c r="Q101" s="3420"/>
      <c r="R101" s="3420">
        <v>758.74</v>
      </c>
      <c r="S101" s="3302"/>
    </row>
    <row r="102" spans="12:19">
      <c r="L102" s="3421"/>
      <c r="M102" s="3418" t="s">
        <v>1257</v>
      </c>
      <c r="N102" s="3419" t="s">
        <v>3047</v>
      </c>
      <c r="O102" s="3420"/>
      <c r="P102" s="3420">
        <v>23037.5</v>
      </c>
      <c r="Q102" s="3420"/>
      <c r="R102" s="3420">
        <v>23037.5</v>
      </c>
      <c r="S102" s="3302"/>
    </row>
    <row r="103" spans="12:19">
      <c r="L103" s="3421"/>
      <c r="M103" s="3422"/>
      <c r="N103" s="3419" t="s">
        <v>3048</v>
      </c>
      <c r="O103" s="3420">
        <v>712.5</v>
      </c>
      <c r="P103" s="3420"/>
      <c r="Q103" s="3420"/>
      <c r="R103" s="3420">
        <v>712.5</v>
      </c>
      <c r="S103" s="3302"/>
    </row>
    <row r="104" spans="12:19">
      <c r="L104" s="3421"/>
      <c r="M104" s="3418" t="s">
        <v>1053</v>
      </c>
      <c r="N104" s="3419" t="s">
        <v>3050</v>
      </c>
      <c r="O104" s="3420">
        <v>712.5</v>
      </c>
      <c r="P104" s="3420"/>
      <c r="Q104" s="3420"/>
      <c r="R104" s="3420">
        <v>712.5</v>
      </c>
      <c r="S104" s="3302"/>
    </row>
    <row r="105" spans="12:19">
      <c r="L105" s="3421"/>
      <c r="M105" s="3422"/>
      <c r="N105" s="3419" t="s">
        <v>3052</v>
      </c>
      <c r="O105" s="3420"/>
      <c r="P105" s="3420">
        <v>23037.5</v>
      </c>
      <c r="Q105" s="3420"/>
      <c r="R105" s="3420">
        <v>23037.5</v>
      </c>
      <c r="S105" s="3302"/>
    </row>
    <row r="106" spans="12:19">
      <c r="L106" s="3421"/>
      <c r="M106" s="3418" t="s">
        <v>1260</v>
      </c>
      <c r="N106" s="3419" t="s">
        <v>3053</v>
      </c>
      <c r="O106" s="3420">
        <v>712.5</v>
      </c>
      <c r="P106" s="3420"/>
      <c r="Q106" s="3420"/>
      <c r="R106" s="3420">
        <v>712.5</v>
      </c>
      <c r="S106" s="3302"/>
    </row>
    <row r="107" spans="12:19">
      <c r="L107" s="3429"/>
      <c r="M107" s="3422"/>
      <c r="N107" s="3419" t="s">
        <v>3054</v>
      </c>
      <c r="O107" s="3420"/>
      <c r="P107" s="3420">
        <v>23037.5</v>
      </c>
      <c r="Q107" s="3420"/>
      <c r="R107" s="3420">
        <v>23037.5</v>
      </c>
      <c r="S107" s="3302"/>
    </row>
    <row r="108" spans="12:19">
      <c r="L108" s="3430" t="s">
        <v>3084</v>
      </c>
      <c r="M108" s="3430"/>
      <c r="N108" s="3430"/>
      <c r="O108" s="3431">
        <v>2896.24</v>
      </c>
      <c r="P108" s="3431">
        <v>93645.02</v>
      </c>
      <c r="Q108" s="3431"/>
      <c r="R108" s="3431">
        <v>96541.260000000009</v>
      </c>
      <c r="S108" s="3302">
        <v>95472.51</v>
      </c>
    </row>
    <row r="109" spans="12:19">
      <c r="L109" s="3417" t="s">
        <v>3085</v>
      </c>
      <c r="M109" s="3418" t="s">
        <v>1254</v>
      </c>
      <c r="N109" s="3419" t="s">
        <v>3044</v>
      </c>
      <c r="O109" s="3420">
        <v>1477.58</v>
      </c>
      <c r="P109" s="3420"/>
      <c r="Q109" s="3420"/>
      <c r="R109" s="3420">
        <v>1477.58</v>
      </c>
      <c r="S109" s="3302"/>
    </row>
    <row r="110" spans="12:19">
      <c r="L110" s="3421"/>
      <c r="M110" s="3422"/>
      <c r="N110" s="3419" t="s">
        <v>3045</v>
      </c>
      <c r="O110" s="3420"/>
      <c r="P110" s="3420">
        <v>47774.93</v>
      </c>
      <c r="Q110" s="3420"/>
      <c r="R110" s="3420">
        <v>47774.93</v>
      </c>
      <c r="S110" s="3302"/>
    </row>
    <row r="111" spans="12:19">
      <c r="L111" s="3421"/>
      <c r="M111" s="3418" t="s">
        <v>1257</v>
      </c>
      <c r="N111" s="3419" t="s">
        <v>3047</v>
      </c>
      <c r="O111" s="3420"/>
      <c r="P111" s="3420">
        <v>47287.5</v>
      </c>
      <c r="Q111" s="3420"/>
      <c r="R111" s="3420">
        <v>47287.5</v>
      </c>
      <c r="S111" s="3302"/>
    </row>
    <row r="112" spans="12:19">
      <c r="L112" s="3421"/>
      <c r="M112" s="3422"/>
      <c r="N112" s="3419" t="s">
        <v>3048</v>
      </c>
      <c r="O112" s="3420">
        <v>1462.5</v>
      </c>
      <c r="P112" s="3420"/>
      <c r="Q112" s="3420"/>
      <c r="R112" s="3420">
        <v>1462.5</v>
      </c>
      <c r="S112" s="3302"/>
    </row>
    <row r="113" spans="12:19">
      <c r="L113" s="3421"/>
      <c r="M113" s="3418" t="s">
        <v>1053</v>
      </c>
      <c r="N113" s="3419" t="s">
        <v>3050</v>
      </c>
      <c r="O113" s="3420">
        <v>1462.5</v>
      </c>
      <c r="P113" s="3420"/>
      <c r="Q113" s="3420"/>
      <c r="R113" s="3420">
        <v>1462.5</v>
      </c>
      <c r="S113" s="3302"/>
    </row>
    <row r="114" spans="12:19">
      <c r="L114" s="3421"/>
      <c r="M114" s="3422"/>
      <c r="N114" s="3419" t="s">
        <v>3052</v>
      </c>
      <c r="O114" s="3420"/>
      <c r="P114" s="3420">
        <v>47287.5</v>
      </c>
      <c r="Q114" s="3420"/>
      <c r="R114" s="3420">
        <v>47287.5</v>
      </c>
      <c r="S114" s="3302"/>
    </row>
    <row r="115" spans="12:19">
      <c r="L115" s="3421"/>
      <c r="M115" s="3418" t="s">
        <v>1260</v>
      </c>
      <c r="N115" s="3419" t="s">
        <v>3053</v>
      </c>
      <c r="O115" s="3420">
        <v>1462.5</v>
      </c>
      <c r="P115" s="3420"/>
      <c r="Q115" s="3420"/>
      <c r="R115" s="3420">
        <v>1462.5</v>
      </c>
      <c r="S115" s="3302"/>
    </row>
    <row r="116" spans="12:19">
      <c r="L116" s="3429"/>
      <c r="M116" s="3422"/>
      <c r="N116" s="3419" t="s">
        <v>3054</v>
      </c>
      <c r="O116" s="3420"/>
      <c r="P116" s="3420">
        <v>47287.5</v>
      </c>
      <c r="Q116" s="3420"/>
      <c r="R116" s="3420">
        <v>47287.5</v>
      </c>
      <c r="S116" s="3302"/>
    </row>
    <row r="117" spans="12:19">
      <c r="L117" s="3430" t="s">
        <v>3086</v>
      </c>
      <c r="M117" s="3430"/>
      <c r="N117" s="3430"/>
      <c r="O117" s="3431">
        <v>5865.08</v>
      </c>
      <c r="P117" s="3431">
        <v>189637.43</v>
      </c>
      <c r="Q117" s="3431"/>
      <c r="R117" s="3431">
        <v>195502.51</v>
      </c>
      <c r="S117" s="3302">
        <v>192495.01</v>
      </c>
    </row>
    <row r="118" spans="12:19">
      <c r="L118" s="3417" t="s">
        <v>3087</v>
      </c>
      <c r="M118" s="3418" t="s">
        <v>1254</v>
      </c>
      <c r="N118" s="3419" t="s">
        <v>3044</v>
      </c>
      <c r="O118" s="3420">
        <v>772.58</v>
      </c>
      <c r="P118" s="3420"/>
      <c r="Q118" s="3420"/>
      <c r="R118" s="3420">
        <v>772.58</v>
      </c>
      <c r="S118" s="3302"/>
    </row>
    <row r="119" spans="12:19">
      <c r="L119" s="3421"/>
      <c r="M119" s="3422"/>
      <c r="N119" s="3419" t="s">
        <v>3045</v>
      </c>
      <c r="O119" s="3420"/>
      <c r="P119" s="3420">
        <v>24979.93</v>
      </c>
      <c r="Q119" s="3420"/>
      <c r="R119" s="3420">
        <v>24979.93</v>
      </c>
      <c r="S119" s="3302"/>
    </row>
    <row r="120" spans="12:19">
      <c r="L120" s="3421"/>
      <c r="M120" s="3418" t="s">
        <v>1257</v>
      </c>
      <c r="N120" s="3419" t="s">
        <v>3047</v>
      </c>
      <c r="O120" s="3420"/>
      <c r="P120" s="3420">
        <v>23037.5</v>
      </c>
      <c r="Q120" s="3420"/>
      <c r="R120" s="3420">
        <v>23037.5</v>
      </c>
      <c r="S120" s="3302"/>
    </row>
    <row r="121" spans="12:19">
      <c r="L121" s="3421"/>
      <c r="M121" s="3422"/>
      <c r="N121" s="3419" t="s">
        <v>3048</v>
      </c>
      <c r="O121" s="3420">
        <v>712.5</v>
      </c>
      <c r="P121" s="3420"/>
      <c r="Q121" s="3420"/>
      <c r="R121" s="3420">
        <v>712.5</v>
      </c>
      <c r="S121" s="3302"/>
    </row>
    <row r="122" spans="12:19">
      <c r="L122" s="3421"/>
      <c r="M122" s="3418" t="s">
        <v>1053</v>
      </c>
      <c r="N122" s="3419" t="s">
        <v>3050</v>
      </c>
      <c r="O122" s="3420">
        <v>712.5</v>
      </c>
      <c r="P122" s="3420"/>
      <c r="Q122" s="3420"/>
      <c r="R122" s="3420">
        <v>712.5</v>
      </c>
      <c r="S122" s="3302"/>
    </row>
    <row r="123" spans="12:19">
      <c r="L123" s="3421"/>
      <c r="M123" s="3422"/>
      <c r="N123" s="3419" t="s">
        <v>3052</v>
      </c>
      <c r="O123" s="3420"/>
      <c r="P123" s="3420">
        <v>23037.5</v>
      </c>
      <c r="Q123" s="3420"/>
      <c r="R123" s="3420">
        <v>23037.5</v>
      </c>
      <c r="S123" s="3302"/>
    </row>
    <row r="124" spans="12:19">
      <c r="L124" s="3421"/>
      <c r="M124" s="3418" t="s">
        <v>1260</v>
      </c>
      <c r="N124" s="3419" t="s">
        <v>3053</v>
      </c>
      <c r="O124" s="3420">
        <v>787.5</v>
      </c>
      <c r="P124" s="3420"/>
      <c r="Q124" s="3420"/>
      <c r="R124" s="3420">
        <v>787.5</v>
      </c>
      <c r="S124" s="3302"/>
    </row>
    <row r="125" spans="12:19">
      <c r="L125" s="3429"/>
      <c r="M125" s="3422"/>
      <c r="N125" s="3419" t="s">
        <v>3054</v>
      </c>
      <c r="O125" s="3420"/>
      <c r="P125" s="3420">
        <v>25462.5</v>
      </c>
      <c r="Q125" s="3420"/>
      <c r="R125" s="3420">
        <v>25462.5</v>
      </c>
      <c r="S125" s="3302"/>
    </row>
    <row r="126" spans="12:19">
      <c r="L126" s="3430" t="s">
        <v>3088</v>
      </c>
      <c r="M126" s="3430"/>
      <c r="N126" s="3430"/>
      <c r="O126" s="3431">
        <v>2985.08</v>
      </c>
      <c r="P126" s="3431">
        <v>96517.43</v>
      </c>
      <c r="Q126" s="3431"/>
      <c r="R126" s="3431">
        <v>99502.510000000009</v>
      </c>
      <c r="S126" s="3302">
        <v>97935.01</v>
      </c>
    </row>
    <row r="127" spans="12:19">
      <c r="L127" s="3417" t="s">
        <v>3089</v>
      </c>
      <c r="M127" s="3418" t="s">
        <v>1254</v>
      </c>
      <c r="N127" s="3419" t="s">
        <v>3044</v>
      </c>
      <c r="O127" s="3420">
        <v>772.58</v>
      </c>
      <c r="P127" s="3420"/>
      <c r="Q127" s="3420"/>
      <c r="R127" s="3420">
        <v>772.58</v>
      </c>
      <c r="S127" s="3302"/>
    </row>
    <row r="128" spans="12:19">
      <c r="L128" s="3421"/>
      <c r="M128" s="3422"/>
      <c r="N128" s="3419" t="s">
        <v>3045</v>
      </c>
      <c r="O128" s="3420"/>
      <c r="P128" s="3420">
        <v>24979.93</v>
      </c>
      <c r="Q128" s="3420"/>
      <c r="R128" s="3420">
        <v>24979.93</v>
      </c>
      <c r="S128" s="3302"/>
    </row>
    <row r="129" spans="12:19">
      <c r="L129" s="3421"/>
      <c r="M129" s="3418" t="s">
        <v>1257</v>
      </c>
      <c r="N129" s="3419" t="s">
        <v>3047</v>
      </c>
      <c r="O129" s="3420"/>
      <c r="P129" s="3420">
        <v>23037.5</v>
      </c>
      <c r="Q129" s="3420"/>
      <c r="R129" s="3420">
        <v>23037.5</v>
      </c>
      <c r="S129" s="3302"/>
    </row>
    <row r="130" spans="12:19">
      <c r="L130" s="3421"/>
      <c r="M130" s="3422"/>
      <c r="N130" s="3419" t="s">
        <v>3048</v>
      </c>
      <c r="O130" s="3420">
        <v>712.5</v>
      </c>
      <c r="P130" s="3420"/>
      <c r="Q130" s="3420"/>
      <c r="R130" s="3420">
        <v>712.5</v>
      </c>
      <c r="S130" s="3302"/>
    </row>
    <row r="131" spans="12:19">
      <c r="L131" s="3421"/>
      <c r="M131" s="3418" t="s">
        <v>1053</v>
      </c>
      <c r="N131" s="3419" t="s">
        <v>3050</v>
      </c>
      <c r="O131" s="3420">
        <v>712.5</v>
      </c>
      <c r="P131" s="3420"/>
      <c r="Q131" s="3420"/>
      <c r="R131" s="3420">
        <v>712.5</v>
      </c>
      <c r="S131" s="3302"/>
    </row>
    <row r="132" spans="12:19">
      <c r="L132" s="3421"/>
      <c r="M132" s="3422"/>
      <c r="N132" s="3419" t="s">
        <v>3052</v>
      </c>
      <c r="O132" s="3420"/>
      <c r="P132" s="3420">
        <v>23037.5</v>
      </c>
      <c r="Q132" s="3420"/>
      <c r="R132" s="3420">
        <v>23037.5</v>
      </c>
      <c r="S132" s="3302"/>
    </row>
    <row r="133" spans="12:19">
      <c r="L133" s="3421"/>
      <c r="M133" s="3418" t="s">
        <v>1260</v>
      </c>
      <c r="N133" s="3419" t="s">
        <v>3053</v>
      </c>
      <c r="O133" s="3420">
        <v>712.5</v>
      </c>
      <c r="P133" s="3420"/>
      <c r="Q133" s="3420"/>
      <c r="R133" s="3420">
        <v>712.5</v>
      </c>
      <c r="S133" s="3302"/>
    </row>
    <row r="134" spans="12:19">
      <c r="L134" s="3429"/>
      <c r="M134" s="3422"/>
      <c r="N134" s="3419" t="s">
        <v>3054</v>
      </c>
      <c r="O134" s="3420"/>
      <c r="P134" s="3420">
        <v>23037.5</v>
      </c>
      <c r="Q134" s="3420"/>
      <c r="R134" s="3420">
        <v>23037.5</v>
      </c>
      <c r="S134" s="3302"/>
    </row>
    <row r="135" spans="12:19">
      <c r="L135" s="3430" t="s">
        <v>3090</v>
      </c>
      <c r="M135" s="3430"/>
      <c r="N135" s="3430"/>
      <c r="O135" s="3431">
        <v>2910.08</v>
      </c>
      <c r="P135" s="3431">
        <v>94092.43</v>
      </c>
      <c r="Q135" s="3431"/>
      <c r="R135" s="3431">
        <v>97002.510000000009</v>
      </c>
      <c r="S135" s="3302">
        <v>95472.51</v>
      </c>
    </row>
    <row r="136" spans="12:19">
      <c r="L136" s="3417" t="s">
        <v>3091</v>
      </c>
      <c r="M136" s="3418" t="s">
        <v>1261</v>
      </c>
      <c r="N136" s="3419" t="s">
        <v>3092</v>
      </c>
      <c r="O136" s="3420"/>
      <c r="P136" s="3420">
        <v>7005.55</v>
      </c>
      <c r="Q136" s="3420"/>
      <c r="R136" s="3420">
        <v>7005.55</v>
      </c>
      <c r="S136" s="3302"/>
    </row>
    <row r="137" spans="12:19">
      <c r="L137" s="3429"/>
      <c r="M137" s="3422"/>
      <c r="N137" s="3419" t="s">
        <v>3093</v>
      </c>
      <c r="O137" s="3420">
        <v>216.67</v>
      </c>
      <c r="P137" s="3420"/>
      <c r="Q137" s="3420"/>
      <c r="R137" s="3420">
        <v>216.67</v>
      </c>
      <c r="S137" s="3302"/>
    </row>
    <row r="138" spans="12:19" ht="15" thickBot="1">
      <c r="L138" s="3430" t="s">
        <v>3094</v>
      </c>
      <c r="M138" s="3430"/>
      <c r="N138" s="3430"/>
      <c r="O138" s="3431">
        <v>216.67</v>
      </c>
      <c r="P138" s="3431">
        <v>7005.55</v>
      </c>
      <c r="Q138" s="3431"/>
      <c r="R138" s="3431">
        <v>7222.22</v>
      </c>
      <c r="S138" s="3302">
        <v>7113.8933333333325</v>
      </c>
    </row>
    <row r="139" spans="12:19" ht="15" thickTop="1">
      <c r="L139" s="3443" t="s">
        <v>978</v>
      </c>
      <c r="M139" s="3443"/>
      <c r="N139" s="3443"/>
      <c r="O139" s="3444">
        <v>76063.47</v>
      </c>
      <c r="P139" s="3445">
        <v>1247148.1300000001</v>
      </c>
      <c r="Q139" s="3444">
        <v>1212235.97</v>
      </c>
      <c r="R139" s="3444">
        <v>2535447.5700000008</v>
      </c>
    </row>
    <row r="140" spans="12:19">
      <c r="O140" s="3446">
        <f>-T139</f>
        <v>0</v>
      </c>
      <c r="P140" s="2141"/>
      <c r="Q140" s="3447">
        <f>SUM(P139:Q139)</f>
        <v>2459384.1</v>
      </c>
      <c r="R140" s="3446">
        <f>-T139</f>
        <v>0</v>
      </c>
    </row>
    <row r="141" spans="12:19">
      <c r="N141" s="3448" t="s">
        <v>444</v>
      </c>
      <c r="O141" s="3449">
        <f>SUM(O139:O140)</f>
        <v>76063.47</v>
      </c>
      <c r="P141" s="3450"/>
      <c r="Q141" s="3450"/>
      <c r="R141" s="3449">
        <f>SUM(R139:R140)</f>
        <v>2535447.5700000008</v>
      </c>
    </row>
    <row r="142" spans="12:19">
      <c r="O142" s="2141"/>
      <c r="P142" s="2141"/>
      <c r="Q142" s="2141"/>
      <c r="R142" s="2141"/>
    </row>
    <row r="143" spans="12:19">
      <c r="O143" s="2141"/>
      <c r="P143" s="2141"/>
      <c r="Q143" s="2141"/>
      <c r="R143" s="2141"/>
    </row>
    <row r="144" spans="12:19">
      <c r="O144" s="2141"/>
      <c r="P144" s="2141"/>
      <c r="Q144" s="2141"/>
      <c r="R144" s="2141"/>
    </row>
    <row r="145" spans="15:18">
      <c r="O145" s="2141"/>
      <c r="P145" s="2141"/>
      <c r="Q145" s="2141"/>
      <c r="R145" s="2141"/>
    </row>
    <row r="146" spans="15:18">
      <c r="O146" s="2141"/>
      <c r="P146" s="2141"/>
      <c r="Q146" s="2141"/>
      <c r="R146" s="2141"/>
    </row>
    <row r="147" spans="15:18">
      <c r="O147" s="2141"/>
      <c r="P147" s="2141"/>
      <c r="Q147" s="2141"/>
      <c r="R147" s="2141"/>
    </row>
    <row r="148" spans="15:18">
      <c r="O148" s="2141"/>
      <c r="P148" s="2141"/>
      <c r="Q148" s="2141"/>
      <c r="R148" s="2141"/>
    </row>
    <row r="149" spans="15:18">
      <c r="O149" s="2141"/>
      <c r="P149" s="2141"/>
      <c r="Q149" s="2141"/>
      <c r="R149" s="2141"/>
    </row>
    <row r="150" spans="15:18">
      <c r="O150" s="2141"/>
      <c r="P150" s="2141"/>
      <c r="Q150" s="2141"/>
      <c r="R150" s="2141"/>
    </row>
    <row r="151" spans="15:18">
      <c r="O151" s="2141"/>
      <c r="P151" s="2141"/>
      <c r="Q151" s="2141"/>
      <c r="R151" s="2141"/>
    </row>
    <row r="152" spans="15:18">
      <c r="O152" s="2141"/>
      <c r="P152" s="2141"/>
      <c r="Q152" s="2141"/>
      <c r="R152" s="2141"/>
    </row>
    <row r="153" spans="15:18">
      <c r="O153" s="2141"/>
      <c r="P153" s="2141"/>
      <c r="Q153" s="2141"/>
      <c r="R153" s="2141"/>
    </row>
    <row r="154" spans="15:18">
      <c r="O154" s="2141"/>
      <c r="P154" s="2141"/>
      <c r="Q154" s="2141"/>
      <c r="R154" s="2141"/>
    </row>
    <row r="155" spans="15:18">
      <c r="O155" s="2141"/>
      <c r="P155" s="2141"/>
      <c r="Q155" s="2141"/>
      <c r="R155" s="2141"/>
    </row>
    <row r="156" spans="15:18">
      <c r="O156" s="2141"/>
      <c r="P156" s="2141"/>
      <c r="Q156" s="2141"/>
      <c r="R156" s="2141"/>
    </row>
    <row r="157" spans="15:18">
      <c r="O157" s="2141"/>
      <c r="P157" s="2141"/>
      <c r="Q157" s="2141"/>
      <c r="R157" s="2141"/>
    </row>
    <row r="158" spans="15:18">
      <c r="O158" s="2141"/>
      <c r="P158" s="2141"/>
      <c r="Q158" s="2141"/>
      <c r="R158" s="2141"/>
    </row>
    <row r="159" spans="15:18">
      <c r="O159" s="2141"/>
      <c r="P159" s="2141"/>
      <c r="Q159" s="2141"/>
      <c r="R159" s="2141"/>
    </row>
    <row r="160" spans="15:18">
      <c r="O160" s="2141"/>
      <c r="P160" s="2141"/>
      <c r="Q160" s="2141"/>
      <c r="R160" s="2141"/>
    </row>
    <row r="161" spans="15:18">
      <c r="O161" s="2141"/>
      <c r="P161" s="2141"/>
      <c r="Q161" s="2141"/>
      <c r="R161" s="2141"/>
    </row>
    <row r="162" spans="15:18">
      <c r="O162" s="2141"/>
      <c r="P162" s="2141"/>
      <c r="Q162" s="2141"/>
      <c r="R162" s="2141"/>
    </row>
    <row r="163" spans="15:18">
      <c r="O163" s="2141"/>
      <c r="P163" s="2141"/>
      <c r="Q163" s="2141"/>
      <c r="R163" s="2141"/>
    </row>
    <row r="164" spans="15:18">
      <c r="O164" s="2141"/>
      <c r="P164" s="2141"/>
      <c r="Q164" s="2141"/>
      <c r="R164" s="2141"/>
    </row>
    <row r="165" spans="15:18">
      <c r="O165" s="2141"/>
      <c r="P165" s="2141"/>
      <c r="Q165" s="2141"/>
      <c r="R165" s="2141"/>
    </row>
    <row r="166" spans="15:18">
      <c r="O166" s="2141"/>
      <c r="P166" s="2141"/>
      <c r="Q166" s="2141"/>
      <c r="R166" s="2141"/>
    </row>
    <row r="167" spans="15:18">
      <c r="O167" s="2141"/>
      <c r="P167" s="2141"/>
      <c r="Q167" s="2141"/>
      <c r="R167" s="2141"/>
    </row>
    <row r="168" spans="15:18">
      <c r="O168" s="2141"/>
      <c r="P168" s="2141"/>
      <c r="Q168" s="2141"/>
      <c r="R168" s="2141"/>
    </row>
    <row r="169" spans="15:18">
      <c r="O169" s="2141"/>
      <c r="P169" s="2141"/>
      <c r="Q169" s="2141"/>
      <c r="R169" s="2141"/>
    </row>
    <row r="170" spans="15:18">
      <c r="O170" s="2141"/>
      <c r="P170" s="2141"/>
      <c r="Q170" s="2141"/>
      <c r="R170" s="2141"/>
    </row>
    <row r="171" spans="15:18">
      <c r="O171" s="2141"/>
      <c r="P171" s="2141"/>
      <c r="Q171" s="2141"/>
      <c r="R171" s="2141"/>
    </row>
    <row r="172" spans="15:18">
      <c r="O172" s="2141"/>
      <c r="P172" s="2141"/>
      <c r="Q172" s="2141"/>
      <c r="R172" s="2141"/>
    </row>
    <row r="173" spans="15:18">
      <c r="O173" s="2141"/>
      <c r="P173" s="2141"/>
      <c r="Q173" s="2141"/>
      <c r="R173" s="2141"/>
    </row>
    <row r="174" spans="15:18">
      <c r="O174" s="2141"/>
      <c r="P174" s="2141"/>
      <c r="Q174" s="2141"/>
      <c r="R174" s="2141"/>
    </row>
    <row r="175" spans="15:18">
      <c r="O175" s="2141"/>
      <c r="P175" s="2141"/>
      <c r="Q175" s="2141"/>
      <c r="R175" s="2141"/>
    </row>
    <row r="176" spans="15:18">
      <c r="O176" s="2141"/>
      <c r="P176" s="2141"/>
      <c r="Q176" s="2141"/>
      <c r="R176" s="2141"/>
    </row>
    <row r="177" spans="15:18">
      <c r="O177" s="2141"/>
      <c r="P177" s="2141"/>
      <c r="Q177" s="2141"/>
      <c r="R177" s="2141"/>
    </row>
    <row r="178" spans="15:18">
      <c r="O178" s="2141"/>
      <c r="P178" s="2141"/>
      <c r="Q178" s="2141"/>
      <c r="R178" s="2141"/>
    </row>
    <row r="179" spans="15:18">
      <c r="O179" s="2141"/>
      <c r="P179" s="2141"/>
      <c r="Q179" s="2141"/>
      <c r="R179" s="2141"/>
    </row>
    <row r="180" spans="15:18">
      <c r="O180" s="2141"/>
      <c r="P180" s="2141"/>
      <c r="Q180" s="2141"/>
      <c r="R180" s="2141"/>
    </row>
    <row r="181" spans="15:18">
      <c r="O181" s="2141"/>
      <c r="P181" s="2141"/>
      <c r="Q181" s="2141"/>
      <c r="R181" s="2141"/>
    </row>
    <row r="182" spans="15:18">
      <c r="O182" s="2141"/>
      <c r="P182" s="2141"/>
      <c r="Q182" s="2141"/>
      <c r="R182" s="2141"/>
    </row>
    <row r="183" spans="15:18">
      <c r="O183" s="2141"/>
      <c r="P183" s="2141"/>
      <c r="Q183" s="2141"/>
      <c r="R183" s="2141"/>
    </row>
    <row r="184" spans="15:18">
      <c r="O184" s="2141"/>
      <c r="P184" s="2141"/>
      <c r="Q184" s="2141"/>
      <c r="R184" s="2141"/>
    </row>
    <row r="185" spans="15:18">
      <c r="O185" s="2141"/>
      <c r="P185" s="2141"/>
      <c r="Q185" s="2141"/>
      <c r="R185" s="2141"/>
    </row>
    <row r="186" spans="15:18">
      <c r="O186" s="2141"/>
      <c r="P186" s="2141"/>
      <c r="Q186" s="2141"/>
      <c r="R186" s="2141"/>
    </row>
    <row r="187" spans="15:18">
      <c r="O187" s="2141"/>
      <c r="P187" s="2141"/>
      <c r="Q187" s="2141"/>
      <c r="R187" s="2141"/>
    </row>
    <row r="188" spans="15:18">
      <c r="O188" s="2141"/>
      <c r="P188" s="2141"/>
      <c r="Q188" s="2141"/>
      <c r="R188" s="2141"/>
    </row>
    <row r="189" spans="15:18">
      <c r="O189" s="2141"/>
      <c r="P189" s="2141"/>
      <c r="Q189" s="2141"/>
      <c r="R189" s="2141"/>
    </row>
    <row r="190" spans="15:18">
      <c r="O190" s="2141"/>
      <c r="P190" s="2141"/>
      <c r="Q190" s="2141"/>
      <c r="R190" s="2141"/>
    </row>
    <row r="191" spans="15:18">
      <c r="O191" s="2141"/>
      <c r="P191" s="2141"/>
      <c r="Q191" s="2141"/>
      <c r="R191" s="2141"/>
    </row>
    <row r="192" spans="15:18">
      <c r="O192" s="2141"/>
      <c r="P192" s="2141"/>
      <c r="Q192" s="2141"/>
      <c r="R192" s="2141"/>
    </row>
    <row r="193" spans="15:18">
      <c r="O193" s="2141"/>
      <c r="P193" s="2141"/>
      <c r="Q193" s="2141"/>
      <c r="R193" s="2141"/>
    </row>
    <row r="194" spans="15:18">
      <c r="O194" s="2141"/>
      <c r="P194" s="2141"/>
      <c r="Q194" s="2141"/>
      <c r="R194" s="2141"/>
    </row>
    <row r="195" spans="15:18">
      <c r="O195" s="2141"/>
      <c r="P195" s="2141"/>
      <c r="Q195" s="2141"/>
      <c r="R195" s="2141"/>
    </row>
    <row r="196" spans="15:18">
      <c r="O196" s="2141"/>
      <c r="P196" s="2141"/>
      <c r="Q196" s="2141"/>
      <c r="R196" s="2141"/>
    </row>
    <row r="197" spans="15:18">
      <c r="O197" s="2141"/>
      <c r="P197" s="2141"/>
      <c r="Q197" s="2141"/>
      <c r="R197" s="2141"/>
    </row>
    <row r="198" spans="15:18">
      <c r="O198" s="2141"/>
      <c r="P198" s="2141"/>
      <c r="Q198" s="2141"/>
      <c r="R198" s="2141"/>
    </row>
    <row r="199" spans="15:18">
      <c r="O199" s="2141"/>
      <c r="P199" s="2141"/>
      <c r="Q199" s="2141"/>
      <c r="R199" s="2141"/>
    </row>
    <row r="200" spans="15:18">
      <c r="O200" s="2141"/>
      <c r="P200" s="2141"/>
      <c r="Q200" s="2141"/>
      <c r="R200" s="2141"/>
    </row>
    <row r="201" spans="15:18">
      <c r="O201" s="2141"/>
      <c r="P201" s="2141"/>
      <c r="Q201" s="2141"/>
      <c r="R201" s="2141"/>
    </row>
    <row r="202" spans="15:18">
      <c r="O202" s="2141"/>
      <c r="P202" s="2141"/>
      <c r="Q202" s="2141"/>
      <c r="R202" s="2141"/>
    </row>
    <row r="203" spans="15:18">
      <c r="O203" s="2141"/>
      <c r="P203" s="2141"/>
      <c r="Q203" s="2141"/>
      <c r="R203" s="2141"/>
    </row>
    <row r="204" spans="15:18">
      <c r="O204" s="2141"/>
      <c r="P204" s="2141"/>
      <c r="Q204" s="2141"/>
      <c r="R204" s="2141"/>
    </row>
    <row r="205" spans="15:18">
      <c r="O205" s="2141"/>
      <c r="P205" s="2141"/>
      <c r="Q205" s="2141"/>
      <c r="R205" s="2141"/>
    </row>
    <row r="206" spans="15:18">
      <c r="O206" s="2141"/>
      <c r="P206" s="2141"/>
      <c r="Q206" s="2141"/>
      <c r="R206" s="2141"/>
    </row>
    <row r="207" spans="15:18">
      <c r="O207" s="2141"/>
      <c r="P207" s="2141"/>
      <c r="Q207" s="2141"/>
      <c r="R207" s="2141"/>
    </row>
    <row r="208" spans="15:18">
      <c r="O208" s="2141"/>
      <c r="P208" s="2141"/>
      <c r="Q208" s="2141"/>
      <c r="R208" s="2141"/>
    </row>
    <row r="209" spans="15:18">
      <c r="O209" s="2141"/>
      <c r="P209" s="2141"/>
      <c r="Q209" s="2141"/>
      <c r="R209" s="2141"/>
    </row>
    <row r="210" spans="15:18">
      <c r="O210" s="2141"/>
      <c r="P210" s="2141"/>
      <c r="Q210" s="2141"/>
      <c r="R210" s="2141"/>
    </row>
    <row r="211" spans="15:18">
      <c r="O211" s="2141"/>
      <c r="P211" s="2141"/>
      <c r="Q211" s="2141"/>
      <c r="R211" s="2141"/>
    </row>
    <row r="212" spans="15:18">
      <c r="O212" s="2141"/>
      <c r="P212" s="2141"/>
      <c r="Q212" s="2141"/>
      <c r="R212" s="2141"/>
    </row>
    <row r="213" spans="15:18">
      <c r="O213" s="2141"/>
      <c r="P213" s="2141"/>
      <c r="Q213" s="2141"/>
      <c r="R213" s="2141"/>
    </row>
    <row r="214" spans="15:18">
      <c r="O214" s="2141"/>
      <c r="P214" s="2141"/>
      <c r="Q214" s="2141"/>
      <c r="R214" s="2141"/>
    </row>
    <row r="215" spans="15:18">
      <c r="O215" s="2141"/>
      <c r="P215" s="2141"/>
      <c r="Q215" s="2141"/>
      <c r="R215" s="2141"/>
    </row>
    <row r="216" spans="15:18">
      <c r="O216" s="2141"/>
      <c r="P216" s="2141"/>
      <c r="Q216" s="2141"/>
      <c r="R216" s="2141"/>
    </row>
    <row r="217" spans="15:18">
      <c r="O217" s="2141"/>
      <c r="P217" s="2141"/>
      <c r="Q217" s="2141"/>
      <c r="R217" s="2141"/>
    </row>
    <row r="218" spans="15:18">
      <c r="O218" s="2141"/>
      <c r="P218" s="2141"/>
      <c r="Q218" s="2141"/>
      <c r="R218" s="2141"/>
    </row>
    <row r="219" spans="15:18">
      <c r="O219" s="2141"/>
      <c r="P219" s="2141"/>
      <c r="Q219" s="2141"/>
      <c r="R219" s="2141"/>
    </row>
    <row r="220" spans="15:18">
      <c r="O220" s="2141"/>
      <c r="P220" s="2141"/>
      <c r="Q220" s="2141"/>
      <c r="R220" s="2141"/>
    </row>
    <row r="221" spans="15:18">
      <c r="O221" s="2141"/>
      <c r="P221" s="2141"/>
      <c r="Q221" s="2141"/>
      <c r="R221" s="2141"/>
    </row>
    <row r="222" spans="15:18">
      <c r="O222" s="2141"/>
      <c r="P222" s="2141"/>
      <c r="Q222" s="2141"/>
      <c r="R222" s="2141"/>
    </row>
    <row r="223" spans="15:18">
      <c r="O223" s="2141"/>
      <c r="P223" s="2141"/>
      <c r="Q223" s="2141"/>
      <c r="R223" s="2141"/>
    </row>
    <row r="224" spans="15:18">
      <c r="O224" s="2141"/>
      <c r="P224" s="2141"/>
      <c r="Q224" s="2141"/>
      <c r="R224" s="2141"/>
    </row>
    <row r="225" spans="15:18">
      <c r="O225" s="2141"/>
      <c r="P225" s="2141"/>
      <c r="Q225" s="2141"/>
      <c r="R225" s="2141"/>
    </row>
    <row r="226" spans="15:18">
      <c r="O226" s="2141"/>
      <c r="P226" s="2141"/>
      <c r="Q226" s="2141"/>
      <c r="R226" s="2141"/>
    </row>
    <row r="227" spans="15:18">
      <c r="O227" s="2141"/>
      <c r="P227" s="2141"/>
      <c r="Q227" s="2141"/>
      <c r="R227" s="2141"/>
    </row>
    <row r="228" spans="15:18">
      <c r="O228" s="2141"/>
      <c r="P228" s="2141"/>
      <c r="Q228" s="2141"/>
      <c r="R228" s="2141"/>
    </row>
    <row r="229" spans="15:18">
      <c r="O229" s="2141"/>
      <c r="P229" s="2141"/>
      <c r="Q229" s="2141"/>
      <c r="R229" s="2141"/>
    </row>
    <row r="230" spans="15:18">
      <c r="O230" s="2141"/>
      <c r="P230" s="2141"/>
      <c r="Q230" s="2141"/>
      <c r="R230" s="2141"/>
    </row>
    <row r="231" spans="15:18">
      <c r="O231" s="2141"/>
      <c r="P231" s="2141"/>
      <c r="Q231" s="2141"/>
      <c r="R231" s="2141"/>
    </row>
    <row r="232" spans="15:18">
      <c r="O232" s="2141"/>
      <c r="P232" s="2141"/>
      <c r="Q232" s="2141"/>
      <c r="R232" s="2141"/>
    </row>
    <row r="233" spans="15:18">
      <c r="O233" s="2141"/>
      <c r="P233" s="2141"/>
      <c r="Q233" s="2141"/>
      <c r="R233" s="2141"/>
    </row>
    <row r="234" spans="15:18">
      <c r="O234" s="2141"/>
      <c r="P234" s="2141"/>
      <c r="Q234" s="2141"/>
      <c r="R234" s="2141"/>
    </row>
    <row r="235" spans="15:18">
      <c r="O235" s="2141"/>
      <c r="P235" s="2141"/>
      <c r="Q235" s="2141"/>
      <c r="R235" s="2141"/>
    </row>
    <row r="236" spans="15:18">
      <c r="O236" s="2141"/>
      <c r="P236" s="2141"/>
      <c r="Q236" s="2141"/>
      <c r="R236" s="2141"/>
    </row>
    <row r="237" spans="15:18">
      <c r="O237" s="2141"/>
      <c r="P237" s="2141"/>
      <c r="Q237" s="2141"/>
      <c r="R237" s="2141"/>
    </row>
    <row r="238" spans="15:18">
      <c r="O238" s="2141"/>
      <c r="P238" s="2141"/>
      <c r="Q238" s="2141"/>
      <c r="R238" s="2141"/>
    </row>
    <row r="239" spans="15:18">
      <c r="O239" s="2141"/>
      <c r="P239" s="2141"/>
      <c r="Q239" s="2141"/>
      <c r="R239" s="2141"/>
    </row>
    <row r="240" spans="15:18">
      <c r="O240" s="2141"/>
      <c r="P240" s="2141"/>
      <c r="Q240" s="2141"/>
      <c r="R240" s="2141"/>
    </row>
    <row r="241" spans="15:18">
      <c r="O241" s="2141"/>
      <c r="P241" s="2141"/>
      <c r="Q241" s="2141"/>
      <c r="R241" s="2141"/>
    </row>
    <row r="242" spans="15:18">
      <c r="O242" s="2141"/>
      <c r="P242" s="2141"/>
      <c r="Q242" s="2141"/>
      <c r="R242" s="2141"/>
    </row>
    <row r="243" spans="15:18">
      <c r="O243" s="2141"/>
      <c r="P243" s="2141"/>
      <c r="Q243" s="2141"/>
      <c r="R243" s="2141"/>
    </row>
    <row r="244" spans="15:18">
      <c r="O244" s="2141"/>
      <c r="P244" s="2141"/>
      <c r="Q244" s="2141"/>
      <c r="R244" s="2141"/>
    </row>
    <row r="245" spans="15:18">
      <c r="O245" s="2141"/>
      <c r="P245" s="2141"/>
      <c r="Q245" s="2141"/>
      <c r="R245" s="2141"/>
    </row>
    <row r="246" spans="15:18">
      <c r="O246" s="2141"/>
      <c r="P246" s="2141"/>
      <c r="Q246" s="2141"/>
      <c r="R246" s="2141"/>
    </row>
    <row r="247" spans="15:18">
      <c r="O247" s="2141"/>
      <c r="P247" s="2141"/>
      <c r="Q247" s="2141"/>
      <c r="R247" s="2141"/>
    </row>
    <row r="248" spans="15:18">
      <c r="O248" s="2141"/>
      <c r="P248" s="2141"/>
      <c r="Q248" s="2141"/>
      <c r="R248" s="2141"/>
    </row>
    <row r="249" spans="15:18">
      <c r="O249" s="2141"/>
      <c r="P249" s="2141"/>
      <c r="Q249" s="2141"/>
      <c r="R249" s="2141"/>
    </row>
    <row r="250" spans="15:18">
      <c r="O250" s="2141"/>
      <c r="P250" s="2141"/>
      <c r="Q250" s="2141"/>
      <c r="R250" s="2141"/>
    </row>
    <row r="251" spans="15:18">
      <c r="O251" s="2141"/>
      <c r="P251" s="2141"/>
      <c r="Q251" s="2141"/>
      <c r="R251" s="2141"/>
    </row>
    <row r="252" spans="15:18">
      <c r="O252" s="2141"/>
      <c r="P252" s="2141"/>
      <c r="Q252" s="2141"/>
      <c r="R252" s="2141"/>
    </row>
    <row r="253" spans="15:18">
      <c r="O253" s="2141"/>
      <c r="P253" s="2141"/>
      <c r="Q253" s="2141"/>
      <c r="R253" s="2141"/>
    </row>
    <row r="254" spans="15:18">
      <c r="O254" s="2141"/>
      <c r="P254" s="2141"/>
      <c r="Q254" s="2141"/>
      <c r="R254" s="2141"/>
    </row>
    <row r="255" spans="15:18">
      <c r="O255" s="2141"/>
      <c r="P255" s="2141"/>
      <c r="Q255" s="2141"/>
      <c r="R255" s="2141"/>
    </row>
    <row r="256" spans="15:18">
      <c r="O256" s="2141"/>
      <c r="P256" s="2141"/>
      <c r="Q256" s="2141"/>
      <c r="R256" s="2141"/>
    </row>
    <row r="257" spans="15:18">
      <c r="O257" s="2141"/>
      <c r="P257" s="2141"/>
      <c r="Q257" s="2141"/>
      <c r="R257" s="2141"/>
    </row>
    <row r="258" spans="15:18">
      <c r="O258" s="2141"/>
      <c r="P258" s="2141"/>
      <c r="Q258" s="2141"/>
      <c r="R258" s="2141"/>
    </row>
    <row r="259" spans="15:18">
      <c r="O259" s="2141"/>
      <c r="P259" s="2141"/>
      <c r="Q259" s="2141"/>
      <c r="R259" s="2141"/>
    </row>
    <row r="260" spans="15:18">
      <c r="O260" s="2141"/>
      <c r="P260" s="2141"/>
      <c r="Q260" s="2141"/>
      <c r="R260" s="2141"/>
    </row>
    <row r="261" spans="15:18">
      <c r="O261" s="2141"/>
      <c r="P261" s="2141"/>
      <c r="Q261" s="2141"/>
      <c r="R261" s="2141"/>
    </row>
    <row r="262" spans="15:18">
      <c r="O262" s="2141"/>
      <c r="P262" s="2141"/>
      <c r="Q262" s="2141"/>
      <c r="R262" s="2141"/>
    </row>
    <row r="263" spans="15:18">
      <c r="O263" s="2141"/>
      <c r="P263" s="2141"/>
      <c r="Q263" s="2141"/>
      <c r="R263" s="2141"/>
    </row>
    <row r="264" spans="15:18">
      <c r="O264" s="2141"/>
      <c r="P264" s="2141"/>
      <c r="Q264" s="2141"/>
      <c r="R264" s="2141"/>
    </row>
    <row r="265" spans="15:18">
      <c r="O265" s="2141"/>
      <c r="P265" s="2141"/>
      <c r="Q265" s="2141"/>
      <c r="R265" s="2141"/>
    </row>
    <row r="266" spans="15:18">
      <c r="O266" s="2141"/>
      <c r="P266" s="2141"/>
      <c r="Q266" s="2141"/>
      <c r="R266" s="2141"/>
    </row>
    <row r="267" spans="15:18">
      <c r="O267" s="2141"/>
      <c r="P267" s="2141"/>
      <c r="Q267" s="2141"/>
      <c r="R267" s="2141"/>
    </row>
    <row r="268" spans="15:18">
      <c r="O268" s="2141"/>
      <c r="P268" s="2141"/>
      <c r="Q268" s="2141"/>
      <c r="R268" s="2141"/>
    </row>
    <row r="269" spans="15:18">
      <c r="O269" s="2141"/>
      <c r="P269" s="2141"/>
      <c r="Q269" s="2141"/>
      <c r="R269" s="2141"/>
    </row>
    <row r="270" spans="15:18">
      <c r="O270" s="2141"/>
      <c r="P270" s="2141"/>
      <c r="Q270" s="2141"/>
      <c r="R270" s="2141"/>
    </row>
    <row r="271" spans="15:18">
      <c r="O271" s="2141"/>
      <c r="P271" s="2141"/>
      <c r="Q271" s="2141"/>
      <c r="R271" s="2141"/>
    </row>
    <row r="272" spans="15:18">
      <c r="O272" s="2141"/>
      <c r="P272" s="2141"/>
      <c r="Q272" s="2141"/>
      <c r="R272" s="2141"/>
    </row>
    <row r="273" spans="15:18">
      <c r="O273" s="2141"/>
      <c r="P273" s="2141"/>
      <c r="Q273" s="2141"/>
      <c r="R273" s="2141"/>
    </row>
    <row r="274" spans="15:18">
      <c r="O274" s="2141"/>
      <c r="P274" s="2141"/>
      <c r="Q274" s="2141"/>
      <c r="R274" s="2141"/>
    </row>
    <row r="275" spans="15:18">
      <c r="O275" s="2141"/>
      <c r="P275" s="2141"/>
      <c r="Q275" s="2141"/>
      <c r="R275" s="2141"/>
    </row>
    <row r="276" spans="15:18">
      <c r="O276" s="2141"/>
      <c r="P276" s="2141"/>
      <c r="Q276" s="2141"/>
      <c r="R276" s="2141"/>
    </row>
    <row r="277" spans="15:18">
      <c r="O277" s="2141"/>
      <c r="P277" s="2141"/>
      <c r="Q277" s="2141"/>
      <c r="R277" s="2141"/>
    </row>
    <row r="278" spans="15:18">
      <c r="O278" s="2141"/>
      <c r="P278" s="2141"/>
      <c r="Q278" s="2141"/>
      <c r="R278" s="2141"/>
    </row>
    <row r="279" spans="15:18">
      <c r="O279" s="2141"/>
      <c r="P279" s="2141"/>
      <c r="Q279" s="2141"/>
      <c r="R279" s="2141"/>
    </row>
    <row r="280" spans="15:18">
      <c r="O280" s="2141"/>
      <c r="P280" s="2141"/>
      <c r="Q280" s="2141"/>
      <c r="R280" s="2141"/>
    </row>
    <row r="281" spans="15:18">
      <c r="O281" s="2141"/>
      <c r="P281" s="2141"/>
      <c r="Q281" s="2141"/>
      <c r="R281" s="2141"/>
    </row>
    <row r="282" spans="15:18">
      <c r="O282" s="2141"/>
      <c r="P282" s="2141"/>
      <c r="Q282" s="2141"/>
      <c r="R282" s="2141"/>
    </row>
    <row r="283" spans="15:18">
      <c r="O283" s="2141"/>
      <c r="P283" s="2141"/>
      <c r="Q283" s="2141"/>
      <c r="R283" s="2141"/>
    </row>
    <row r="284" spans="15:18">
      <c r="O284" s="2141"/>
      <c r="P284" s="2141"/>
      <c r="Q284" s="2141"/>
      <c r="R284" s="2141"/>
    </row>
    <row r="285" spans="15:18">
      <c r="O285" s="2141"/>
      <c r="P285" s="2141"/>
      <c r="Q285" s="2141"/>
      <c r="R285" s="2141"/>
    </row>
    <row r="286" spans="15:18">
      <c r="O286" s="2141"/>
      <c r="P286" s="2141"/>
      <c r="Q286" s="2141"/>
      <c r="R286" s="2141"/>
    </row>
    <row r="287" spans="15:18">
      <c r="O287" s="2141"/>
      <c r="P287" s="2141"/>
      <c r="Q287" s="2141"/>
      <c r="R287" s="2141"/>
    </row>
    <row r="288" spans="15:18">
      <c r="O288" s="2141"/>
      <c r="P288" s="2141"/>
      <c r="Q288" s="2141"/>
      <c r="R288" s="2141"/>
    </row>
    <row r="289" spans="15:18">
      <c r="O289" s="2141"/>
      <c r="P289" s="2141"/>
      <c r="Q289" s="2141"/>
      <c r="R289" s="2141"/>
    </row>
    <row r="290" spans="15:18">
      <c r="O290" s="2141"/>
      <c r="P290" s="2141"/>
      <c r="Q290" s="2141"/>
      <c r="R290" s="2141"/>
    </row>
    <row r="291" spans="15:18">
      <c r="O291" s="2141"/>
      <c r="P291" s="2141"/>
      <c r="Q291" s="2141"/>
      <c r="R291" s="2141"/>
    </row>
    <row r="292" spans="15:18">
      <c r="O292" s="2141"/>
      <c r="P292" s="2141"/>
      <c r="Q292" s="2141"/>
      <c r="R292" s="2141"/>
    </row>
    <row r="293" spans="15:18">
      <c r="O293" s="2141"/>
      <c r="P293" s="2141"/>
      <c r="Q293" s="2141"/>
      <c r="R293" s="2141"/>
    </row>
    <row r="294" spans="15:18">
      <c r="O294" s="2141"/>
      <c r="P294" s="2141"/>
      <c r="Q294" s="2141"/>
      <c r="R294" s="2141"/>
    </row>
    <row r="295" spans="15:18">
      <c r="O295" s="2141"/>
      <c r="P295" s="2141"/>
      <c r="Q295" s="2141"/>
      <c r="R295" s="2141"/>
    </row>
    <row r="296" spans="15:18">
      <c r="O296" s="2141"/>
      <c r="P296" s="2141"/>
      <c r="Q296" s="2141"/>
      <c r="R296" s="2141"/>
    </row>
    <row r="297" spans="15:18">
      <c r="O297" s="2141"/>
      <c r="P297" s="2141"/>
      <c r="Q297" s="2141"/>
      <c r="R297" s="2141"/>
    </row>
    <row r="298" spans="15:18">
      <c r="O298" s="2141"/>
      <c r="P298" s="2141"/>
      <c r="Q298" s="2141"/>
      <c r="R298" s="2141"/>
    </row>
    <row r="299" spans="15:18">
      <c r="O299" s="2141"/>
      <c r="P299" s="2141"/>
      <c r="Q299" s="2141"/>
      <c r="R299" s="2141"/>
    </row>
    <row r="300" spans="15:18">
      <c r="O300" s="2141"/>
      <c r="P300" s="2141"/>
      <c r="Q300" s="2141"/>
      <c r="R300" s="2141"/>
    </row>
    <row r="301" spans="15:18">
      <c r="O301" s="2141"/>
      <c r="P301" s="2141"/>
      <c r="Q301" s="2141"/>
      <c r="R301" s="2141"/>
    </row>
    <row r="302" spans="15:18">
      <c r="O302" s="2141"/>
      <c r="P302" s="2141"/>
      <c r="Q302" s="2141"/>
      <c r="R302" s="2141"/>
    </row>
    <row r="303" spans="15:18">
      <c r="O303" s="2141"/>
      <c r="P303" s="2141"/>
      <c r="Q303" s="2141"/>
      <c r="R303" s="2141"/>
    </row>
    <row r="304" spans="15:18">
      <c r="O304" s="2141"/>
      <c r="P304" s="2141"/>
      <c r="Q304" s="2141"/>
      <c r="R304" s="2141"/>
    </row>
    <row r="305" spans="15:18">
      <c r="O305" s="2141"/>
      <c r="P305" s="2141"/>
      <c r="Q305" s="2141"/>
      <c r="R305" s="2141"/>
    </row>
    <row r="306" spans="15:18">
      <c r="O306" s="2141"/>
      <c r="P306" s="2141"/>
      <c r="Q306" s="2141"/>
      <c r="R306" s="2141"/>
    </row>
    <row r="307" spans="15:18">
      <c r="O307" s="2141"/>
      <c r="P307" s="2141"/>
      <c r="Q307" s="2141"/>
      <c r="R307" s="2141"/>
    </row>
    <row r="308" spans="15:18">
      <c r="O308" s="2141"/>
      <c r="P308" s="2141"/>
      <c r="Q308" s="2141"/>
      <c r="R308" s="2141"/>
    </row>
    <row r="309" spans="15:18">
      <c r="O309" s="2141"/>
      <c r="P309" s="2141"/>
      <c r="Q309" s="2141"/>
      <c r="R309" s="2141"/>
    </row>
    <row r="310" spans="15:18">
      <c r="O310" s="2141"/>
      <c r="P310" s="2141"/>
      <c r="Q310" s="2141"/>
      <c r="R310" s="2141"/>
    </row>
    <row r="311" spans="15:18">
      <c r="O311" s="2141"/>
      <c r="P311" s="2141"/>
      <c r="Q311" s="2141"/>
      <c r="R311" s="2141"/>
    </row>
    <row r="312" spans="15:18">
      <c r="O312" s="2141"/>
      <c r="P312" s="2141"/>
      <c r="Q312" s="2141"/>
      <c r="R312" s="2141"/>
    </row>
    <row r="313" spans="15:18">
      <c r="O313" s="2141"/>
      <c r="P313" s="2141"/>
      <c r="Q313" s="2141"/>
      <c r="R313" s="2141"/>
    </row>
    <row r="314" spans="15:18">
      <c r="O314" s="2141"/>
      <c r="P314" s="2141"/>
      <c r="Q314" s="2141"/>
      <c r="R314" s="2141"/>
    </row>
    <row r="315" spans="15:18">
      <c r="O315" s="2141"/>
      <c r="P315" s="2141"/>
      <c r="Q315" s="2141"/>
      <c r="R315" s="2141"/>
    </row>
    <row r="316" spans="15:18">
      <c r="O316" s="2141"/>
      <c r="P316" s="2141"/>
      <c r="Q316" s="2141"/>
      <c r="R316" s="2141"/>
    </row>
    <row r="317" spans="15:18">
      <c r="O317" s="2141"/>
      <c r="P317" s="2141"/>
      <c r="Q317" s="2141"/>
      <c r="R317" s="2141"/>
    </row>
    <row r="318" spans="15:18">
      <c r="O318" s="2141"/>
      <c r="P318" s="2141"/>
      <c r="Q318" s="2141"/>
      <c r="R318" s="2141"/>
    </row>
    <row r="319" spans="15:18">
      <c r="O319" s="2141"/>
      <c r="P319" s="2141"/>
      <c r="Q319" s="2141"/>
      <c r="R319" s="2141"/>
    </row>
    <row r="320" spans="15:18">
      <c r="O320" s="2141"/>
      <c r="P320" s="2141"/>
      <c r="Q320" s="2141"/>
      <c r="R320" s="2141"/>
    </row>
    <row r="321" spans="15:18">
      <c r="O321" s="2141"/>
      <c r="P321" s="2141"/>
      <c r="Q321" s="2141"/>
      <c r="R321" s="2141"/>
    </row>
    <row r="322" spans="15:18">
      <c r="O322" s="2141"/>
      <c r="P322" s="2141"/>
      <c r="Q322" s="2141"/>
      <c r="R322" s="2141"/>
    </row>
    <row r="323" spans="15:18">
      <c r="O323" s="2141"/>
      <c r="P323" s="2141"/>
      <c r="Q323" s="2141"/>
      <c r="R323" s="2141"/>
    </row>
    <row r="324" spans="15:18">
      <c r="O324" s="2141"/>
      <c r="P324" s="2141"/>
      <c r="Q324" s="2141"/>
      <c r="R324" s="2141"/>
    </row>
    <row r="325" spans="15:18">
      <c r="O325" s="2141"/>
      <c r="P325" s="2141"/>
      <c r="Q325" s="2141"/>
      <c r="R325" s="2141"/>
    </row>
    <row r="326" spans="15:18">
      <c r="O326" s="2141"/>
      <c r="P326" s="2141"/>
      <c r="Q326" s="2141"/>
      <c r="R326" s="2141"/>
    </row>
    <row r="327" spans="15:18">
      <c r="O327" s="2141"/>
      <c r="P327" s="2141"/>
      <c r="Q327" s="2141"/>
      <c r="R327" s="2141"/>
    </row>
    <row r="328" spans="15:18">
      <c r="O328" s="2141"/>
      <c r="P328" s="2141"/>
      <c r="Q328" s="2141"/>
      <c r="R328" s="2141"/>
    </row>
    <row r="329" spans="15:18">
      <c r="O329" s="2141"/>
      <c r="P329" s="2141"/>
      <c r="Q329" s="2141"/>
      <c r="R329" s="2141"/>
    </row>
    <row r="330" spans="15:18">
      <c r="O330" s="2141"/>
      <c r="P330" s="2141"/>
      <c r="Q330" s="2141"/>
      <c r="R330" s="2141"/>
    </row>
    <row r="331" spans="15:18">
      <c r="O331" s="2141"/>
      <c r="P331" s="2141"/>
      <c r="Q331" s="2141"/>
      <c r="R331" s="2141"/>
    </row>
    <row r="332" spans="15:18">
      <c r="O332" s="2141"/>
      <c r="P332" s="2141"/>
      <c r="Q332" s="2141"/>
      <c r="R332" s="2141"/>
    </row>
    <row r="333" spans="15:18">
      <c r="O333" s="2141"/>
      <c r="P333" s="2141"/>
      <c r="Q333" s="2141"/>
      <c r="R333" s="2141"/>
    </row>
    <row r="334" spans="15:18">
      <c r="O334" s="2141"/>
      <c r="P334" s="2141"/>
      <c r="Q334" s="2141"/>
      <c r="R334" s="2141"/>
    </row>
    <row r="335" spans="15:18">
      <c r="O335" s="2141"/>
      <c r="P335" s="2141"/>
      <c r="Q335" s="2141"/>
      <c r="R335" s="2141"/>
    </row>
    <row r="336" spans="15:18">
      <c r="O336" s="2141"/>
      <c r="P336" s="2141"/>
      <c r="Q336" s="2141"/>
      <c r="R336" s="2141"/>
    </row>
    <row r="337" spans="15:18">
      <c r="O337" s="2141"/>
      <c r="P337" s="2141"/>
      <c r="Q337" s="2141"/>
      <c r="R337" s="2141"/>
    </row>
    <row r="338" spans="15:18">
      <c r="O338" s="2141"/>
      <c r="P338" s="2141"/>
      <c r="Q338" s="2141"/>
      <c r="R338" s="2141"/>
    </row>
    <row r="339" spans="15:18">
      <c r="O339" s="2141"/>
      <c r="P339" s="2141"/>
      <c r="Q339" s="2141"/>
      <c r="R339" s="2141"/>
    </row>
    <row r="340" spans="15:18">
      <c r="O340" s="2141"/>
      <c r="P340" s="2141"/>
      <c r="Q340" s="2141"/>
      <c r="R340" s="2141"/>
    </row>
    <row r="341" spans="15:18">
      <c r="O341" s="2141"/>
      <c r="P341" s="2141"/>
      <c r="Q341" s="2141"/>
      <c r="R341" s="2141"/>
    </row>
    <row r="342" spans="15:18">
      <c r="O342" s="2141"/>
      <c r="P342" s="2141"/>
      <c r="Q342" s="2141"/>
      <c r="R342" s="2141"/>
    </row>
    <row r="343" spans="15:18">
      <c r="O343" s="2141"/>
      <c r="P343" s="2141"/>
      <c r="Q343" s="2141"/>
      <c r="R343" s="2141"/>
    </row>
    <row r="344" spans="15:18">
      <c r="O344" s="2141"/>
      <c r="P344" s="2141"/>
      <c r="Q344" s="2141"/>
      <c r="R344" s="2141"/>
    </row>
    <row r="345" spans="15:18">
      <c r="O345" s="2141"/>
      <c r="P345" s="2141"/>
      <c r="Q345" s="2141"/>
      <c r="R345" s="2141"/>
    </row>
    <row r="346" spans="15:18">
      <c r="O346" s="2141"/>
      <c r="P346" s="2141"/>
      <c r="Q346" s="2141"/>
      <c r="R346" s="2141"/>
    </row>
    <row r="347" spans="15:18">
      <c r="O347" s="2141"/>
      <c r="P347" s="2141"/>
      <c r="Q347" s="2141"/>
      <c r="R347" s="2141"/>
    </row>
    <row r="348" spans="15:18">
      <c r="O348" s="2141"/>
      <c r="P348" s="2141"/>
      <c r="Q348" s="2141"/>
      <c r="R348" s="2141"/>
    </row>
    <row r="349" spans="15:18">
      <c r="O349" s="2141"/>
      <c r="P349" s="2141"/>
      <c r="Q349" s="2141"/>
      <c r="R349" s="2141"/>
    </row>
    <row r="350" spans="15:18">
      <c r="O350" s="2141"/>
      <c r="P350" s="2141"/>
      <c r="Q350" s="2141"/>
      <c r="R350" s="2141"/>
    </row>
    <row r="351" spans="15:18">
      <c r="O351" s="2141"/>
      <c r="P351" s="2141"/>
      <c r="Q351" s="2141"/>
      <c r="R351" s="2141"/>
    </row>
    <row r="352" spans="15:18">
      <c r="O352" s="2141"/>
      <c r="P352" s="2141"/>
      <c r="Q352" s="2141"/>
      <c r="R352" s="2141"/>
    </row>
    <row r="353" spans="15:18">
      <c r="O353" s="2141"/>
      <c r="P353" s="2141"/>
      <c r="Q353" s="2141"/>
      <c r="R353" s="2141"/>
    </row>
    <row r="354" spans="15:18">
      <c r="O354" s="2141"/>
      <c r="P354" s="2141"/>
      <c r="Q354" s="2141"/>
      <c r="R354" s="2141"/>
    </row>
    <row r="355" spans="15:18">
      <c r="O355" s="2141"/>
      <c r="P355" s="2141"/>
      <c r="Q355" s="2141"/>
      <c r="R355" s="2141"/>
    </row>
    <row r="356" spans="15:18">
      <c r="O356" s="2141"/>
      <c r="P356" s="2141"/>
      <c r="Q356" s="2141"/>
      <c r="R356" s="2141"/>
    </row>
    <row r="357" spans="15:18">
      <c r="O357" s="2141"/>
      <c r="P357" s="2141"/>
      <c r="Q357" s="2141"/>
      <c r="R357" s="2141"/>
    </row>
    <row r="358" spans="15:18">
      <c r="O358" s="2141"/>
      <c r="P358" s="2141"/>
      <c r="Q358" s="2141"/>
      <c r="R358" s="2141"/>
    </row>
    <row r="359" spans="15:18">
      <c r="O359" s="2141"/>
      <c r="P359" s="2141"/>
      <c r="Q359" s="2141"/>
      <c r="R359" s="2141"/>
    </row>
    <row r="360" spans="15:18">
      <c r="O360" s="2141"/>
      <c r="P360" s="2141"/>
      <c r="Q360" s="2141"/>
      <c r="R360" s="2141"/>
    </row>
    <row r="361" spans="15:18">
      <c r="O361" s="2141"/>
      <c r="P361" s="2141"/>
      <c r="Q361" s="2141"/>
      <c r="R361" s="2141"/>
    </row>
    <row r="362" spans="15:18">
      <c r="O362" s="2141"/>
      <c r="P362" s="2141"/>
      <c r="Q362" s="2141"/>
      <c r="R362" s="2141"/>
    </row>
    <row r="363" spans="15:18">
      <c r="O363" s="2141"/>
      <c r="P363" s="2141"/>
      <c r="Q363" s="2141"/>
      <c r="R363" s="2141"/>
    </row>
    <row r="364" spans="15:18">
      <c r="O364" s="2141"/>
      <c r="P364" s="2141"/>
      <c r="Q364" s="2141"/>
      <c r="R364" s="2141"/>
    </row>
    <row r="365" spans="15:18">
      <c r="O365" s="2141"/>
      <c r="P365" s="2141"/>
      <c r="Q365" s="2141"/>
      <c r="R365" s="2141"/>
    </row>
    <row r="366" spans="15:18">
      <c r="O366" s="2141"/>
      <c r="P366" s="2141"/>
      <c r="Q366" s="2141"/>
      <c r="R366" s="2141"/>
    </row>
    <row r="367" spans="15:18">
      <c r="O367" s="2141"/>
      <c r="P367" s="2141"/>
      <c r="Q367" s="2141"/>
      <c r="R367" s="2141"/>
    </row>
    <row r="368" spans="15:18">
      <c r="O368" s="2141"/>
      <c r="P368" s="2141"/>
      <c r="Q368" s="2141"/>
      <c r="R368" s="2141"/>
    </row>
    <row r="369" spans="15:18">
      <c r="O369" s="2141"/>
      <c r="P369" s="2141"/>
      <c r="Q369" s="2141"/>
      <c r="R369" s="2141"/>
    </row>
    <row r="370" spans="15:18">
      <c r="O370" s="2141"/>
      <c r="P370" s="2141"/>
      <c r="Q370" s="2141"/>
      <c r="R370" s="2141"/>
    </row>
    <row r="371" spans="15:18">
      <c r="O371" s="2141"/>
      <c r="P371" s="2141"/>
      <c r="Q371" s="2141"/>
      <c r="R371" s="2141"/>
    </row>
    <row r="372" spans="15:18">
      <c r="O372" s="2141"/>
      <c r="P372" s="2141"/>
      <c r="Q372" s="2141"/>
      <c r="R372" s="2141"/>
    </row>
    <row r="373" spans="15:18">
      <c r="O373" s="2141"/>
      <c r="P373" s="2141"/>
      <c r="Q373" s="2141"/>
      <c r="R373" s="2141"/>
    </row>
    <row r="374" spans="15:18">
      <c r="O374" s="2141"/>
      <c r="P374" s="2141"/>
      <c r="Q374" s="2141"/>
      <c r="R374" s="2141"/>
    </row>
    <row r="375" spans="15:18">
      <c r="O375" s="2141"/>
      <c r="P375" s="2141"/>
      <c r="Q375" s="2141"/>
      <c r="R375" s="2141"/>
    </row>
    <row r="376" spans="15:18">
      <c r="O376" s="2141"/>
      <c r="P376" s="2141"/>
      <c r="Q376" s="2141"/>
      <c r="R376" s="2141"/>
    </row>
    <row r="377" spans="15:18">
      <c r="O377" s="2141"/>
      <c r="P377" s="2141"/>
      <c r="Q377" s="2141"/>
      <c r="R377" s="2141"/>
    </row>
    <row r="378" spans="15:18">
      <c r="O378" s="2141"/>
      <c r="P378" s="2141"/>
      <c r="Q378" s="2141"/>
      <c r="R378" s="2141"/>
    </row>
    <row r="379" spans="15:18">
      <c r="O379" s="2141"/>
      <c r="P379" s="2141"/>
      <c r="Q379" s="2141"/>
      <c r="R379" s="2141"/>
    </row>
    <row r="380" spans="15:18">
      <c r="O380" s="2141"/>
      <c r="P380" s="2141"/>
      <c r="Q380" s="2141"/>
      <c r="R380" s="2141"/>
    </row>
    <row r="381" spans="15:18">
      <c r="O381" s="2141"/>
      <c r="P381" s="2141"/>
      <c r="Q381" s="2141"/>
      <c r="R381" s="2141"/>
    </row>
    <row r="382" spans="15:18">
      <c r="O382" s="2141"/>
      <c r="P382" s="2141"/>
      <c r="Q382" s="2141"/>
      <c r="R382" s="2141"/>
    </row>
    <row r="383" spans="15:18">
      <c r="O383" s="2141"/>
      <c r="P383" s="2141"/>
      <c r="Q383" s="2141"/>
      <c r="R383" s="2141"/>
    </row>
    <row r="384" spans="15:18">
      <c r="O384" s="2141"/>
      <c r="P384" s="2141"/>
      <c r="Q384" s="2141"/>
      <c r="R384" s="2141"/>
    </row>
    <row r="385" spans="15:18">
      <c r="O385" s="2141"/>
      <c r="P385" s="2141"/>
      <c r="Q385" s="2141"/>
      <c r="R385" s="2141"/>
    </row>
    <row r="386" spans="15:18">
      <c r="O386" s="2141"/>
      <c r="P386" s="2141"/>
      <c r="Q386" s="2141"/>
      <c r="R386" s="2141"/>
    </row>
    <row r="387" spans="15:18">
      <c r="O387" s="2141"/>
      <c r="P387" s="2141"/>
      <c r="Q387" s="2141"/>
      <c r="R387" s="2141"/>
    </row>
    <row r="388" spans="15:18">
      <c r="O388" s="2141"/>
      <c r="P388" s="2141"/>
      <c r="Q388" s="2141"/>
      <c r="R388" s="2141"/>
    </row>
    <row r="389" spans="15:18">
      <c r="O389" s="2141"/>
      <c r="P389" s="2141"/>
      <c r="Q389" s="2141"/>
      <c r="R389" s="2141"/>
    </row>
    <row r="390" spans="15:18">
      <c r="O390" s="2141"/>
      <c r="P390" s="2141"/>
      <c r="Q390" s="2141"/>
      <c r="R390" s="2141"/>
    </row>
    <row r="391" spans="15:18">
      <c r="O391" s="2141"/>
      <c r="P391" s="2141"/>
      <c r="Q391" s="2141"/>
      <c r="R391" s="2141"/>
    </row>
    <row r="392" spans="15:18">
      <c r="O392" s="2141"/>
      <c r="P392" s="2141"/>
      <c r="Q392" s="2141"/>
      <c r="R392" s="2141"/>
    </row>
    <row r="393" spans="15:18">
      <c r="O393" s="2141"/>
      <c r="P393" s="2141"/>
      <c r="Q393" s="2141"/>
      <c r="R393" s="2141"/>
    </row>
    <row r="394" spans="15:18">
      <c r="O394" s="2141"/>
      <c r="P394" s="2141"/>
      <c r="Q394" s="2141"/>
      <c r="R394" s="2141"/>
    </row>
    <row r="395" spans="15:18">
      <c r="O395" s="2141"/>
      <c r="P395" s="2141"/>
      <c r="Q395" s="2141"/>
      <c r="R395" s="2141"/>
    </row>
    <row r="396" spans="15:18">
      <c r="O396" s="2141"/>
      <c r="P396" s="2141"/>
      <c r="Q396" s="2141"/>
      <c r="R396" s="2141"/>
    </row>
    <row r="397" spans="15:18">
      <c r="O397" s="2141"/>
      <c r="P397" s="2141"/>
      <c r="Q397" s="2141"/>
      <c r="R397" s="2141"/>
    </row>
    <row r="398" spans="15:18">
      <c r="O398" s="2141"/>
      <c r="P398" s="2141"/>
      <c r="Q398" s="2141"/>
      <c r="R398" s="2141"/>
    </row>
    <row r="399" spans="15:18">
      <c r="O399" s="2141"/>
      <c r="P399" s="2141"/>
      <c r="Q399" s="2141"/>
      <c r="R399" s="2141"/>
    </row>
    <row r="400" spans="15:18">
      <c r="O400" s="2141"/>
      <c r="P400" s="2141"/>
      <c r="Q400" s="2141"/>
      <c r="R400" s="2141"/>
    </row>
    <row r="401" spans="15:18">
      <c r="O401" s="2141"/>
      <c r="P401" s="2141"/>
      <c r="Q401" s="2141"/>
      <c r="R401" s="2141"/>
    </row>
    <row r="402" spans="15:18">
      <c r="O402" s="2141"/>
      <c r="P402" s="2141"/>
      <c r="Q402" s="2141"/>
      <c r="R402" s="2141"/>
    </row>
    <row r="403" spans="15:18">
      <c r="O403" s="2141"/>
      <c r="P403" s="2141"/>
      <c r="Q403" s="2141"/>
      <c r="R403" s="2141"/>
    </row>
    <row r="404" spans="15:18">
      <c r="O404" s="2141"/>
      <c r="P404" s="2141"/>
      <c r="Q404" s="2141"/>
      <c r="R404" s="2141"/>
    </row>
    <row r="405" spans="15:18">
      <c r="O405" s="2141"/>
      <c r="P405" s="2141"/>
      <c r="Q405" s="2141"/>
      <c r="R405" s="2141"/>
    </row>
    <row r="406" spans="15:18">
      <c r="O406" s="2141"/>
      <c r="P406" s="2141"/>
      <c r="Q406" s="2141"/>
      <c r="R406" s="2141"/>
    </row>
    <row r="407" spans="15:18">
      <c r="O407" s="2141"/>
      <c r="P407" s="2141"/>
      <c r="Q407" s="2141"/>
      <c r="R407" s="2141"/>
    </row>
    <row r="408" spans="15:18">
      <c r="O408" s="2141"/>
      <c r="P408" s="2141"/>
      <c r="Q408" s="2141"/>
      <c r="R408" s="2141"/>
    </row>
    <row r="409" spans="15:18">
      <c r="O409" s="2141"/>
      <c r="P409" s="2141"/>
      <c r="Q409" s="2141"/>
      <c r="R409" s="2141"/>
    </row>
    <row r="410" spans="15:18">
      <c r="O410" s="2141"/>
      <c r="P410" s="2141"/>
      <c r="Q410" s="2141"/>
      <c r="R410" s="2141"/>
    </row>
    <row r="411" spans="15:18">
      <c r="O411" s="2141"/>
      <c r="P411" s="2141"/>
      <c r="Q411" s="2141"/>
      <c r="R411" s="2141"/>
    </row>
    <row r="412" spans="15:18">
      <c r="O412" s="2141"/>
      <c r="P412" s="2141"/>
      <c r="Q412" s="2141"/>
      <c r="R412" s="2141"/>
    </row>
    <row r="413" spans="15:18">
      <c r="O413" s="2141"/>
      <c r="P413" s="2141"/>
      <c r="Q413" s="2141"/>
      <c r="R413" s="2141"/>
    </row>
    <row r="414" spans="15:18">
      <c r="O414" s="2141"/>
      <c r="P414" s="2141"/>
      <c r="Q414" s="2141"/>
      <c r="R414" s="2141"/>
    </row>
    <row r="415" spans="15:18">
      <c r="O415" s="2141"/>
      <c r="P415" s="2141"/>
      <c r="Q415" s="2141"/>
      <c r="R415" s="2141"/>
    </row>
    <row r="416" spans="15:18">
      <c r="O416" s="2141"/>
      <c r="P416" s="2141"/>
      <c r="Q416" s="2141"/>
      <c r="R416" s="2141"/>
    </row>
    <row r="417" spans="15:18">
      <c r="O417" s="2141"/>
      <c r="P417" s="2141"/>
      <c r="Q417" s="2141"/>
      <c r="R417" s="2141"/>
    </row>
    <row r="418" spans="15:18">
      <c r="O418" s="2141"/>
      <c r="P418" s="2141"/>
      <c r="Q418" s="2141"/>
      <c r="R418" s="2141"/>
    </row>
    <row r="419" spans="15:18">
      <c r="O419" s="2141"/>
      <c r="P419" s="2141"/>
      <c r="Q419" s="2141"/>
      <c r="R419" s="2141"/>
    </row>
    <row r="420" spans="15:18">
      <c r="O420" s="2141"/>
      <c r="P420" s="2141"/>
      <c r="Q420" s="2141"/>
      <c r="R420" s="2141"/>
    </row>
    <row r="421" spans="15:18">
      <c r="O421" s="2141"/>
      <c r="P421" s="2141"/>
      <c r="Q421" s="2141"/>
      <c r="R421" s="2141"/>
    </row>
    <row r="422" spans="15:18">
      <c r="O422" s="2141"/>
      <c r="P422" s="2141"/>
      <c r="Q422" s="2141"/>
      <c r="R422" s="2141"/>
    </row>
    <row r="423" spans="15:18">
      <c r="O423" s="2141"/>
      <c r="P423" s="2141"/>
      <c r="Q423" s="2141"/>
      <c r="R423" s="2141"/>
    </row>
    <row r="424" spans="15:18">
      <c r="O424" s="2141"/>
      <c r="P424" s="2141"/>
      <c r="Q424" s="2141"/>
      <c r="R424" s="2141"/>
    </row>
    <row r="425" spans="15:18">
      <c r="O425" s="2141"/>
      <c r="P425" s="2141"/>
      <c r="Q425" s="2141"/>
      <c r="R425" s="2141"/>
    </row>
    <row r="426" spans="15:18">
      <c r="O426" s="2141"/>
      <c r="P426" s="2141"/>
      <c r="Q426" s="2141"/>
      <c r="R426" s="2141"/>
    </row>
    <row r="427" spans="15:18">
      <c r="O427" s="2141"/>
      <c r="P427" s="2141"/>
      <c r="Q427" s="2141"/>
      <c r="R427" s="2141"/>
    </row>
    <row r="428" spans="15:18">
      <c r="O428" s="2141"/>
      <c r="P428" s="2141"/>
      <c r="Q428" s="2141"/>
      <c r="R428" s="2141"/>
    </row>
    <row r="429" spans="15:18">
      <c r="O429" s="2141"/>
      <c r="P429" s="2141"/>
      <c r="Q429" s="2141"/>
      <c r="R429" s="2141"/>
    </row>
    <row r="430" spans="15:18">
      <c r="O430" s="2141"/>
      <c r="P430" s="2141"/>
      <c r="Q430" s="2141"/>
      <c r="R430" s="2141"/>
    </row>
    <row r="431" spans="15:18">
      <c r="O431" s="2141"/>
      <c r="P431" s="2141"/>
      <c r="Q431" s="2141"/>
      <c r="R431" s="2141"/>
    </row>
    <row r="432" spans="15:18">
      <c r="O432" s="2141"/>
      <c r="P432" s="2141"/>
      <c r="Q432" s="2141"/>
      <c r="R432" s="2141"/>
    </row>
    <row r="433" spans="15:18">
      <c r="O433" s="2141"/>
      <c r="P433" s="2141"/>
      <c r="Q433" s="2141"/>
      <c r="R433" s="2141"/>
    </row>
    <row r="434" spans="15:18">
      <c r="O434" s="2141"/>
      <c r="P434" s="2141"/>
      <c r="Q434" s="2141"/>
      <c r="R434" s="2141"/>
    </row>
    <row r="435" spans="15:18">
      <c r="O435" s="2141"/>
      <c r="P435" s="2141"/>
      <c r="Q435" s="2141"/>
      <c r="R435" s="2141"/>
    </row>
    <row r="436" spans="15:18">
      <c r="O436" s="2141"/>
      <c r="P436" s="2141"/>
      <c r="Q436" s="2141"/>
      <c r="R436" s="2141"/>
    </row>
    <row r="437" spans="15:18">
      <c r="O437" s="2141"/>
      <c r="P437" s="2141"/>
      <c r="Q437" s="2141"/>
      <c r="R437" s="2141"/>
    </row>
    <row r="438" spans="15:18">
      <c r="O438" s="2141"/>
      <c r="P438" s="2141"/>
      <c r="Q438" s="2141"/>
      <c r="R438" s="2141"/>
    </row>
    <row r="439" spans="15:18">
      <c r="O439" s="2141"/>
      <c r="P439" s="2141"/>
      <c r="Q439" s="2141"/>
      <c r="R439" s="2141"/>
    </row>
    <row r="440" spans="15:18">
      <c r="O440" s="2141"/>
      <c r="P440" s="2141"/>
      <c r="Q440" s="2141"/>
      <c r="R440" s="2141"/>
    </row>
    <row r="441" spans="15:18">
      <c r="O441" s="2141"/>
      <c r="P441" s="2141"/>
      <c r="Q441" s="2141"/>
      <c r="R441" s="2141"/>
    </row>
    <row r="442" spans="15:18">
      <c r="O442" s="2141"/>
      <c r="P442" s="2141"/>
      <c r="Q442" s="2141"/>
      <c r="R442" s="2141"/>
    </row>
    <row r="443" spans="15:18">
      <c r="O443" s="2141"/>
      <c r="P443" s="2141"/>
      <c r="Q443" s="2141"/>
      <c r="R443" s="2141"/>
    </row>
    <row r="444" spans="15:18">
      <c r="O444" s="2141"/>
      <c r="P444" s="2141"/>
      <c r="Q444" s="2141"/>
      <c r="R444" s="2141"/>
    </row>
    <row r="445" spans="15:18">
      <c r="O445" s="2141"/>
      <c r="P445" s="2141"/>
      <c r="Q445" s="2141"/>
      <c r="R445" s="2141"/>
    </row>
    <row r="446" spans="15:18">
      <c r="O446" s="2141"/>
      <c r="P446" s="2141"/>
      <c r="Q446" s="2141"/>
      <c r="R446" s="2141"/>
    </row>
    <row r="447" spans="15:18">
      <c r="O447" s="2141"/>
      <c r="P447" s="2141"/>
      <c r="Q447" s="2141"/>
      <c r="R447" s="2141"/>
    </row>
    <row r="448" spans="15:18">
      <c r="O448" s="2141"/>
      <c r="P448" s="2141"/>
      <c r="Q448" s="2141"/>
      <c r="R448" s="2141"/>
    </row>
    <row r="449" spans="15:18">
      <c r="O449" s="2141"/>
      <c r="P449" s="2141"/>
      <c r="Q449" s="2141"/>
      <c r="R449" s="2141"/>
    </row>
    <row r="450" spans="15:18">
      <c r="O450" s="2141"/>
      <c r="P450" s="2141"/>
      <c r="Q450" s="2141"/>
      <c r="R450" s="2141"/>
    </row>
    <row r="451" spans="15:18">
      <c r="O451" s="2141"/>
      <c r="P451" s="2141"/>
      <c r="Q451" s="2141"/>
      <c r="R451" s="2141"/>
    </row>
    <row r="452" spans="15:18">
      <c r="O452" s="2141"/>
      <c r="P452" s="2141"/>
      <c r="Q452" s="2141"/>
      <c r="R452" s="2141"/>
    </row>
    <row r="453" spans="15:18">
      <c r="O453" s="2141"/>
      <c r="P453" s="2141"/>
      <c r="Q453" s="2141"/>
      <c r="R453" s="2141"/>
    </row>
    <row r="454" spans="15:18">
      <c r="O454" s="2141"/>
      <c r="P454" s="2141"/>
      <c r="Q454" s="2141"/>
      <c r="R454" s="2141"/>
    </row>
    <row r="455" spans="15:18">
      <c r="O455" s="2141"/>
      <c r="P455" s="2141"/>
      <c r="Q455" s="2141"/>
      <c r="R455" s="2141"/>
    </row>
    <row r="456" spans="15:18">
      <c r="O456" s="2141"/>
      <c r="P456" s="2141"/>
      <c r="Q456" s="2141"/>
      <c r="R456" s="2141"/>
    </row>
    <row r="457" spans="15:18">
      <c r="O457" s="2141"/>
      <c r="P457" s="2141"/>
      <c r="Q457" s="2141"/>
      <c r="R457" s="2141"/>
    </row>
    <row r="458" spans="15:18">
      <c r="O458" s="2141"/>
      <c r="P458" s="2141"/>
      <c r="Q458" s="2141"/>
      <c r="R458" s="2141"/>
    </row>
    <row r="459" spans="15:18">
      <c r="O459" s="2141"/>
      <c r="P459" s="2141"/>
      <c r="Q459" s="2141"/>
      <c r="R459" s="2141"/>
    </row>
    <row r="460" spans="15:18">
      <c r="O460" s="2141"/>
      <c r="P460" s="2141"/>
      <c r="Q460" s="2141"/>
      <c r="R460" s="2141"/>
    </row>
    <row r="461" spans="15:18">
      <c r="O461" s="2141"/>
      <c r="P461" s="2141"/>
      <c r="Q461" s="2141"/>
      <c r="R461" s="2141"/>
    </row>
    <row r="462" spans="15:18">
      <c r="O462" s="2141"/>
      <c r="P462" s="2141"/>
      <c r="Q462" s="2141"/>
      <c r="R462" s="2141"/>
    </row>
    <row r="463" spans="15:18">
      <c r="O463" s="2141"/>
      <c r="P463" s="2141"/>
      <c r="Q463" s="2141"/>
      <c r="R463" s="2141"/>
    </row>
    <row r="464" spans="15:18">
      <c r="O464" s="2141"/>
      <c r="P464" s="2141"/>
      <c r="Q464" s="2141"/>
      <c r="R464" s="2141"/>
    </row>
    <row r="465" spans="15:18">
      <c r="O465" s="2141"/>
      <c r="P465" s="2141"/>
      <c r="Q465" s="2141"/>
      <c r="R465" s="2141"/>
    </row>
    <row r="466" spans="15:18">
      <c r="O466" s="2141"/>
      <c r="P466" s="2141"/>
      <c r="Q466" s="2141"/>
      <c r="R466" s="2141"/>
    </row>
    <row r="467" spans="15:18">
      <c r="O467" s="2141"/>
      <c r="P467" s="2141"/>
      <c r="Q467" s="2141"/>
      <c r="R467" s="2141"/>
    </row>
    <row r="468" spans="15:18">
      <c r="O468" s="2141"/>
      <c r="P468" s="2141"/>
      <c r="Q468" s="2141"/>
      <c r="R468" s="2141"/>
    </row>
    <row r="469" spans="15:18">
      <c r="O469" s="2141"/>
      <c r="P469" s="2141"/>
      <c r="Q469" s="2141"/>
      <c r="R469" s="2141"/>
    </row>
    <row r="470" spans="15:18">
      <c r="O470" s="2141"/>
      <c r="P470" s="2141"/>
      <c r="Q470" s="2141"/>
      <c r="R470" s="2141"/>
    </row>
    <row r="471" spans="15:18">
      <c r="O471" s="2141"/>
      <c r="P471" s="2141"/>
      <c r="Q471" s="2141"/>
      <c r="R471" s="2141"/>
    </row>
    <row r="472" spans="15:18">
      <c r="O472" s="2141"/>
      <c r="P472" s="2141"/>
      <c r="Q472" s="2141"/>
      <c r="R472" s="2141"/>
    </row>
    <row r="473" spans="15:18">
      <c r="O473" s="2141"/>
      <c r="P473" s="2141"/>
      <c r="Q473" s="2141"/>
      <c r="R473" s="2141"/>
    </row>
    <row r="474" spans="15:18">
      <c r="O474" s="2141"/>
      <c r="P474" s="2141"/>
      <c r="Q474" s="2141"/>
      <c r="R474" s="2141"/>
    </row>
    <row r="475" spans="15:18">
      <c r="O475" s="2141"/>
      <c r="P475" s="2141"/>
      <c r="Q475" s="2141"/>
      <c r="R475" s="2141"/>
    </row>
    <row r="476" spans="15:18">
      <c r="O476" s="2141"/>
      <c r="P476" s="2141"/>
      <c r="Q476" s="2141"/>
      <c r="R476" s="2141"/>
    </row>
    <row r="477" spans="15:18">
      <c r="O477" s="2141"/>
      <c r="P477" s="2141"/>
      <c r="Q477" s="2141"/>
      <c r="R477" s="2141"/>
    </row>
    <row r="478" spans="15:18">
      <c r="O478" s="2141"/>
      <c r="P478" s="2141"/>
      <c r="Q478" s="2141"/>
      <c r="R478" s="2141"/>
    </row>
    <row r="479" spans="15:18">
      <c r="O479" s="2141"/>
      <c r="P479" s="2141"/>
      <c r="Q479" s="2141"/>
      <c r="R479" s="2141"/>
    </row>
    <row r="480" spans="15:18">
      <c r="O480" s="2141"/>
      <c r="P480" s="2141"/>
      <c r="Q480" s="2141"/>
      <c r="R480" s="2141"/>
    </row>
    <row r="481" spans="15:18">
      <c r="O481" s="2141"/>
      <c r="P481" s="2141"/>
      <c r="Q481" s="2141"/>
      <c r="R481" s="2141"/>
    </row>
    <row r="482" spans="15:18">
      <c r="O482" s="2141"/>
      <c r="P482" s="2141"/>
      <c r="Q482" s="2141"/>
      <c r="R482" s="2141"/>
    </row>
    <row r="483" spans="15:18">
      <c r="O483" s="2141"/>
      <c r="P483" s="2141"/>
      <c r="Q483" s="2141"/>
      <c r="R483" s="2141"/>
    </row>
    <row r="484" spans="15:18">
      <c r="O484" s="2141"/>
      <c r="P484" s="2141"/>
      <c r="Q484" s="2141"/>
      <c r="R484" s="2141"/>
    </row>
    <row r="485" spans="15:18">
      <c r="O485" s="2141"/>
      <c r="P485" s="2141"/>
      <c r="Q485" s="2141"/>
      <c r="R485" s="2141"/>
    </row>
    <row r="486" spans="15:18">
      <c r="O486" s="2141"/>
      <c r="P486" s="2141"/>
      <c r="Q486" s="2141"/>
      <c r="R486" s="2141"/>
    </row>
    <row r="487" spans="15:18">
      <c r="O487" s="2141"/>
      <c r="P487" s="2141"/>
      <c r="Q487" s="2141"/>
      <c r="R487" s="2141"/>
    </row>
    <row r="488" spans="15:18">
      <c r="O488" s="2141"/>
      <c r="P488" s="2141"/>
      <c r="Q488" s="2141"/>
      <c r="R488" s="2141"/>
    </row>
    <row r="489" spans="15:18">
      <c r="O489" s="2141"/>
      <c r="P489" s="2141"/>
      <c r="Q489" s="2141"/>
      <c r="R489" s="2141"/>
    </row>
    <row r="490" spans="15:18">
      <c r="O490" s="2141"/>
      <c r="P490" s="2141"/>
      <c r="Q490" s="2141"/>
      <c r="R490" s="2141"/>
    </row>
    <row r="491" spans="15:18">
      <c r="O491" s="2141"/>
      <c r="P491" s="2141"/>
      <c r="Q491" s="2141"/>
      <c r="R491" s="2141"/>
    </row>
    <row r="492" spans="15:18">
      <c r="O492" s="2141"/>
      <c r="P492" s="2141"/>
      <c r="Q492" s="2141"/>
      <c r="R492" s="2141"/>
    </row>
    <row r="493" spans="15:18">
      <c r="O493" s="2141"/>
      <c r="P493" s="2141"/>
      <c r="Q493" s="2141"/>
      <c r="R493" s="2141"/>
    </row>
    <row r="494" spans="15:18">
      <c r="O494" s="2141"/>
      <c r="P494" s="2141"/>
      <c r="Q494" s="2141"/>
      <c r="R494" s="2141"/>
    </row>
    <row r="495" spans="15:18">
      <c r="O495" s="2141"/>
      <c r="P495" s="2141"/>
      <c r="Q495" s="2141"/>
      <c r="R495" s="2141"/>
    </row>
    <row r="496" spans="15:18">
      <c r="O496" s="2141"/>
      <c r="P496" s="2141"/>
      <c r="Q496" s="2141"/>
      <c r="R496" s="2141"/>
    </row>
    <row r="497" spans="15:18">
      <c r="O497" s="2141"/>
      <c r="P497" s="2141"/>
      <c r="Q497" s="2141"/>
      <c r="R497" s="2141"/>
    </row>
    <row r="498" spans="15:18">
      <c r="O498" s="2141"/>
      <c r="P498" s="2141"/>
      <c r="Q498" s="2141"/>
      <c r="R498" s="2141"/>
    </row>
    <row r="499" spans="15:18">
      <c r="O499" s="2141"/>
      <c r="P499" s="2141"/>
      <c r="Q499" s="2141"/>
      <c r="R499" s="2141"/>
    </row>
    <row r="500" spans="15:18">
      <c r="O500" s="2141"/>
      <c r="P500" s="2141"/>
      <c r="Q500" s="2141"/>
      <c r="R500" s="2141"/>
    </row>
    <row r="501" spans="15:18">
      <c r="O501" s="2141"/>
      <c r="P501" s="2141"/>
      <c r="Q501" s="2141"/>
      <c r="R501" s="2141"/>
    </row>
    <row r="502" spans="15:18">
      <c r="O502" s="2141"/>
      <c r="P502" s="2141"/>
      <c r="Q502" s="2141"/>
      <c r="R502" s="2141"/>
    </row>
    <row r="503" spans="15:18">
      <c r="O503" s="2141"/>
      <c r="P503" s="2141"/>
      <c r="Q503" s="2141"/>
      <c r="R503" s="2141"/>
    </row>
    <row r="504" spans="15:18">
      <c r="O504" s="2141"/>
      <c r="P504" s="2141"/>
      <c r="Q504" s="2141"/>
      <c r="R504" s="2141"/>
    </row>
    <row r="505" spans="15:18">
      <c r="O505" s="2141"/>
      <c r="P505" s="2141"/>
      <c r="Q505" s="2141"/>
      <c r="R505" s="2141"/>
    </row>
    <row r="506" spans="15:18">
      <c r="O506" s="2141"/>
      <c r="P506" s="2141"/>
      <c r="Q506" s="2141"/>
      <c r="R506" s="2141"/>
    </row>
    <row r="507" spans="15:18">
      <c r="O507" s="2141"/>
      <c r="P507" s="2141"/>
      <c r="Q507" s="2141"/>
      <c r="R507" s="2141"/>
    </row>
    <row r="508" spans="15:18">
      <c r="O508" s="2141"/>
      <c r="P508" s="2141"/>
      <c r="Q508" s="2141"/>
      <c r="R508" s="2141"/>
    </row>
    <row r="509" spans="15:18">
      <c r="O509" s="2141"/>
      <c r="P509" s="2141"/>
      <c r="Q509" s="2141"/>
      <c r="R509" s="2141"/>
    </row>
    <row r="510" spans="15:18">
      <c r="O510" s="2141"/>
      <c r="P510" s="2141"/>
      <c r="Q510" s="2141"/>
      <c r="R510" s="2141"/>
    </row>
    <row r="511" spans="15:18">
      <c r="O511" s="2141"/>
      <c r="P511" s="2141"/>
      <c r="Q511" s="2141"/>
      <c r="R511" s="2141"/>
    </row>
    <row r="512" spans="15:18">
      <c r="O512" s="2141"/>
      <c r="P512" s="2141"/>
      <c r="Q512" s="2141"/>
      <c r="R512" s="2141"/>
    </row>
    <row r="513" spans="15:18">
      <c r="O513" s="2141"/>
      <c r="P513" s="2141"/>
      <c r="Q513" s="2141"/>
      <c r="R513" s="2141"/>
    </row>
    <row r="514" spans="15:18">
      <c r="O514" s="2141"/>
      <c r="P514" s="2141"/>
      <c r="Q514" s="2141"/>
      <c r="R514" s="2141"/>
    </row>
    <row r="515" spans="15:18">
      <c r="O515" s="2141"/>
      <c r="P515" s="2141"/>
      <c r="Q515" s="2141"/>
      <c r="R515" s="2141"/>
    </row>
    <row r="516" spans="15:18">
      <c r="O516" s="2141"/>
      <c r="P516" s="2141"/>
      <c r="Q516" s="2141"/>
      <c r="R516" s="2141"/>
    </row>
    <row r="517" spans="15:18">
      <c r="O517" s="2141"/>
      <c r="P517" s="2141"/>
      <c r="Q517" s="2141"/>
      <c r="R517" s="2141"/>
    </row>
    <row r="518" spans="15:18">
      <c r="O518" s="2141"/>
      <c r="P518" s="2141"/>
      <c r="Q518" s="2141"/>
      <c r="R518" s="2141"/>
    </row>
    <row r="519" spans="15:18">
      <c r="O519" s="2141"/>
      <c r="P519" s="2141"/>
      <c r="Q519" s="2141"/>
      <c r="R519" s="2141"/>
    </row>
    <row r="520" spans="15:18">
      <c r="O520" s="2141"/>
      <c r="P520" s="2141"/>
      <c r="Q520" s="2141"/>
      <c r="R520" s="2141"/>
    </row>
    <row r="521" spans="15:18">
      <c r="O521" s="2141"/>
      <c r="P521" s="2141"/>
      <c r="Q521" s="2141"/>
      <c r="R521" s="2141"/>
    </row>
    <row r="522" spans="15:18">
      <c r="O522" s="2141"/>
      <c r="P522" s="2141"/>
      <c r="Q522" s="2141"/>
      <c r="R522" s="2141"/>
    </row>
    <row r="523" spans="15:18">
      <c r="O523" s="2141"/>
      <c r="P523" s="2141"/>
      <c r="Q523" s="2141"/>
      <c r="R523" s="2141"/>
    </row>
    <row r="524" spans="15:18">
      <c r="O524" s="2141"/>
      <c r="P524" s="2141"/>
      <c r="Q524" s="2141"/>
      <c r="R524" s="2141"/>
    </row>
    <row r="525" spans="15:18">
      <c r="O525" s="2141"/>
      <c r="P525" s="2141"/>
      <c r="Q525" s="2141"/>
      <c r="R525" s="2141"/>
    </row>
    <row r="526" spans="15:18">
      <c r="O526" s="2141"/>
      <c r="P526" s="2141"/>
      <c r="Q526" s="2141"/>
      <c r="R526" s="2141"/>
    </row>
    <row r="527" spans="15:18">
      <c r="O527" s="2141"/>
      <c r="P527" s="2141"/>
      <c r="Q527" s="2141"/>
      <c r="R527" s="2141"/>
    </row>
    <row r="528" spans="15:18">
      <c r="O528" s="2141"/>
      <c r="P528" s="2141"/>
      <c r="Q528" s="2141"/>
      <c r="R528" s="2141"/>
    </row>
    <row r="529" spans="15:18">
      <c r="O529" s="2141"/>
      <c r="P529" s="2141"/>
      <c r="Q529" s="2141"/>
      <c r="R529" s="2141"/>
    </row>
    <row r="530" spans="15:18">
      <c r="O530" s="2141"/>
      <c r="P530" s="2141"/>
      <c r="Q530" s="2141"/>
      <c r="R530" s="2141"/>
    </row>
    <row r="531" spans="15:18">
      <c r="O531" s="2141"/>
      <c r="P531" s="2141"/>
      <c r="Q531" s="2141"/>
      <c r="R531" s="2141"/>
    </row>
    <row r="532" spans="15:18">
      <c r="O532" s="2141"/>
      <c r="P532" s="2141"/>
      <c r="Q532" s="2141"/>
      <c r="R532" s="2141"/>
    </row>
    <row r="533" spans="15:18">
      <c r="O533" s="2141"/>
      <c r="P533" s="2141"/>
      <c r="Q533" s="2141"/>
      <c r="R533" s="2141"/>
    </row>
    <row r="534" spans="15:18">
      <c r="O534" s="2141"/>
      <c r="P534" s="2141"/>
      <c r="Q534" s="2141"/>
      <c r="R534" s="2141"/>
    </row>
    <row r="535" spans="15:18">
      <c r="O535" s="2141"/>
      <c r="P535" s="2141"/>
      <c r="Q535" s="2141"/>
      <c r="R535" s="2141"/>
    </row>
    <row r="536" spans="15:18">
      <c r="O536" s="2141"/>
      <c r="P536" s="2141"/>
      <c r="Q536" s="2141"/>
      <c r="R536" s="2141"/>
    </row>
    <row r="537" spans="15:18">
      <c r="O537" s="2141"/>
      <c r="P537" s="2141"/>
      <c r="Q537" s="2141"/>
      <c r="R537" s="2141"/>
    </row>
    <row r="538" spans="15:18">
      <c r="O538" s="2141"/>
      <c r="P538" s="2141"/>
      <c r="Q538" s="2141"/>
      <c r="R538" s="2141"/>
    </row>
    <row r="539" spans="15:18">
      <c r="O539" s="2141"/>
      <c r="P539" s="2141"/>
      <c r="Q539" s="2141"/>
      <c r="R539" s="2141"/>
    </row>
    <row r="540" spans="15:18">
      <c r="O540" s="2141"/>
      <c r="P540" s="2141"/>
      <c r="Q540" s="2141"/>
      <c r="R540" s="2141"/>
    </row>
    <row r="541" spans="15:18">
      <c r="O541" s="2141"/>
      <c r="P541" s="2141"/>
      <c r="Q541" s="2141"/>
      <c r="R541" s="2141"/>
    </row>
    <row r="542" spans="15:18">
      <c r="O542" s="2141"/>
      <c r="P542" s="2141"/>
      <c r="Q542" s="2141"/>
      <c r="R542" s="2141"/>
    </row>
    <row r="543" spans="15:18">
      <c r="O543" s="2141"/>
      <c r="P543" s="2141"/>
      <c r="Q543" s="2141"/>
      <c r="R543" s="2141"/>
    </row>
    <row r="544" spans="15:18">
      <c r="O544" s="2141"/>
      <c r="P544" s="2141"/>
      <c r="Q544" s="2141"/>
      <c r="R544" s="2141"/>
    </row>
    <row r="545" spans="15:18">
      <c r="O545" s="2141"/>
      <c r="P545" s="2141"/>
      <c r="Q545" s="2141"/>
      <c r="R545" s="2141"/>
    </row>
    <row r="546" spans="15:18">
      <c r="O546" s="2141"/>
      <c r="P546" s="2141"/>
      <c r="Q546" s="2141"/>
      <c r="R546" s="2141"/>
    </row>
    <row r="547" spans="15:18">
      <c r="O547" s="2141"/>
      <c r="P547" s="2141"/>
      <c r="Q547" s="2141"/>
      <c r="R547" s="2141"/>
    </row>
    <row r="548" spans="15:18">
      <c r="O548" s="2141"/>
      <c r="P548" s="2141"/>
      <c r="Q548" s="2141"/>
      <c r="R548" s="2141"/>
    </row>
    <row r="549" spans="15:18">
      <c r="O549" s="2141"/>
      <c r="P549" s="2141"/>
      <c r="Q549" s="2141"/>
      <c r="R549" s="2141"/>
    </row>
    <row r="550" spans="15:18">
      <c r="O550" s="2141"/>
      <c r="P550" s="2141"/>
      <c r="Q550" s="2141"/>
      <c r="R550" s="2141"/>
    </row>
    <row r="551" spans="15:18">
      <c r="O551" s="2141"/>
      <c r="P551" s="2141"/>
      <c r="Q551" s="2141"/>
      <c r="R551" s="2141"/>
    </row>
    <row r="552" spans="15:18">
      <c r="O552" s="2141"/>
      <c r="P552" s="2141"/>
      <c r="Q552" s="2141"/>
      <c r="R552" s="2141"/>
    </row>
    <row r="553" spans="15:18">
      <c r="O553" s="2141"/>
      <c r="P553" s="2141"/>
      <c r="Q553" s="2141"/>
      <c r="R553" s="2141"/>
    </row>
    <row r="554" spans="15:18">
      <c r="O554" s="2141"/>
      <c r="P554" s="2141"/>
      <c r="Q554" s="2141"/>
      <c r="R554" s="2141"/>
    </row>
    <row r="555" spans="15:18">
      <c r="O555" s="2141"/>
      <c r="P555" s="2141"/>
      <c r="Q555" s="2141"/>
      <c r="R555" s="2141"/>
    </row>
    <row r="556" spans="15:18">
      <c r="O556" s="2141"/>
      <c r="P556" s="2141"/>
      <c r="Q556" s="2141"/>
      <c r="R556" s="2141"/>
    </row>
    <row r="557" spans="15:18">
      <c r="O557" s="2141"/>
      <c r="P557" s="2141"/>
      <c r="Q557" s="2141"/>
      <c r="R557" s="2141"/>
    </row>
    <row r="558" spans="15:18">
      <c r="O558" s="2141"/>
      <c r="P558" s="2141"/>
      <c r="Q558" s="2141"/>
      <c r="R558" s="2141"/>
    </row>
    <row r="559" spans="15:18">
      <c r="O559" s="2141"/>
      <c r="P559" s="2141"/>
      <c r="Q559" s="2141"/>
      <c r="R559" s="2141"/>
    </row>
    <row r="560" spans="15:18">
      <c r="O560" s="2141"/>
      <c r="P560" s="2141"/>
      <c r="Q560" s="2141"/>
      <c r="R560" s="2141"/>
    </row>
    <row r="561" spans="15:18">
      <c r="O561" s="2141"/>
      <c r="P561" s="2141"/>
      <c r="Q561" s="2141"/>
      <c r="R561" s="2141"/>
    </row>
    <row r="562" spans="15:18">
      <c r="O562" s="2141"/>
      <c r="P562" s="2141"/>
      <c r="Q562" s="2141"/>
      <c r="R562" s="2141"/>
    </row>
    <row r="563" spans="15:18">
      <c r="O563" s="2141"/>
      <c r="P563" s="2141"/>
      <c r="Q563" s="2141"/>
      <c r="R563" s="2141"/>
    </row>
    <row r="564" spans="15:18">
      <c r="O564" s="2141"/>
      <c r="P564" s="2141"/>
      <c r="Q564" s="2141"/>
      <c r="R564" s="2141"/>
    </row>
    <row r="565" spans="15:18">
      <c r="O565" s="2141"/>
      <c r="P565" s="2141"/>
      <c r="Q565" s="2141"/>
      <c r="R565" s="2141"/>
    </row>
    <row r="566" spans="15:18">
      <c r="O566" s="2141"/>
      <c r="P566" s="2141"/>
      <c r="Q566" s="2141"/>
      <c r="R566" s="2141"/>
    </row>
    <row r="567" spans="15:18">
      <c r="O567" s="2141"/>
      <c r="P567" s="2141"/>
      <c r="Q567" s="2141"/>
      <c r="R567" s="2141"/>
    </row>
    <row r="568" spans="15:18">
      <c r="O568" s="2141"/>
      <c r="P568" s="2141"/>
      <c r="Q568" s="2141"/>
      <c r="R568" s="2141"/>
    </row>
    <row r="569" spans="15:18">
      <c r="O569" s="2141"/>
      <c r="P569" s="2141"/>
      <c r="Q569" s="2141"/>
      <c r="R569" s="2141"/>
    </row>
    <row r="570" spans="15:18">
      <c r="O570" s="2141"/>
      <c r="P570" s="2141"/>
      <c r="Q570" s="2141"/>
      <c r="R570" s="2141"/>
    </row>
    <row r="571" spans="15:18">
      <c r="O571" s="2141"/>
      <c r="P571" s="2141"/>
      <c r="Q571" s="2141"/>
      <c r="R571" s="2141"/>
    </row>
    <row r="572" spans="15:18">
      <c r="O572" s="2141"/>
      <c r="P572" s="2141"/>
      <c r="Q572" s="2141"/>
      <c r="R572" s="2141"/>
    </row>
    <row r="573" spans="15:18">
      <c r="O573" s="2141"/>
      <c r="P573" s="2141"/>
      <c r="Q573" s="2141"/>
      <c r="R573" s="2141"/>
    </row>
    <row r="574" spans="15:18">
      <c r="O574" s="2141"/>
      <c r="P574" s="2141"/>
      <c r="Q574" s="2141"/>
      <c r="R574" s="2141"/>
    </row>
    <row r="575" spans="15:18">
      <c r="O575" s="2141"/>
      <c r="P575" s="2141"/>
      <c r="Q575" s="2141"/>
      <c r="R575" s="2141"/>
    </row>
    <row r="576" spans="15:18">
      <c r="O576" s="2141"/>
      <c r="P576" s="2141"/>
      <c r="Q576" s="2141"/>
      <c r="R576" s="2141"/>
    </row>
    <row r="577" spans="15:18">
      <c r="O577" s="2141"/>
      <c r="P577" s="2141"/>
      <c r="Q577" s="2141"/>
      <c r="R577" s="2141"/>
    </row>
    <row r="578" spans="15:18">
      <c r="O578" s="2141"/>
      <c r="P578" s="2141"/>
      <c r="Q578" s="2141"/>
      <c r="R578" s="2141"/>
    </row>
    <row r="579" spans="15:18">
      <c r="O579" s="2141"/>
      <c r="P579" s="2141"/>
      <c r="Q579" s="2141"/>
      <c r="R579" s="2141"/>
    </row>
    <row r="580" spans="15:18">
      <c r="O580" s="2141"/>
      <c r="P580" s="2141"/>
      <c r="Q580" s="2141"/>
      <c r="R580" s="2141"/>
    </row>
    <row r="581" spans="15:18">
      <c r="O581" s="2141"/>
      <c r="P581" s="2141"/>
      <c r="Q581" s="2141"/>
      <c r="R581" s="2141"/>
    </row>
    <row r="582" spans="15:18">
      <c r="O582" s="2141"/>
      <c r="P582" s="2141"/>
      <c r="Q582" s="2141"/>
      <c r="R582" s="2141"/>
    </row>
    <row r="583" spans="15:18">
      <c r="O583" s="2141"/>
      <c r="P583" s="2141"/>
      <c r="Q583" s="2141"/>
      <c r="R583" s="2141"/>
    </row>
    <row r="584" spans="15:18">
      <c r="O584" s="2141"/>
      <c r="P584" s="2141"/>
      <c r="Q584" s="2141"/>
      <c r="R584" s="2141"/>
    </row>
    <row r="585" spans="15:18">
      <c r="O585" s="2141"/>
      <c r="P585" s="2141"/>
      <c r="Q585" s="2141"/>
      <c r="R585" s="2141"/>
    </row>
    <row r="586" spans="15:18">
      <c r="O586" s="2141"/>
      <c r="P586" s="2141"/>
      <c r="Q586" s="2141"/>
      <c r="R586" s="2141"/>
    </row>
    <row r="587" spans="15:18">
      <c r="O587" s="2141"/>
      <c r="P587" s="2141"/>
      <c r="Q587" s="2141"/>
      <c r="R587" s="2141"/>
    </row>
    <row r="588" spans="15:18">
      <c r="O588" s="2141"/>
      <c r="P588" s="2141"/>
      <c r="Q588" s="2141"/>
      <c r="R588" s="2141"/>
    </row>
    <row r="589" spans="15:18">
      <c r="O589" s="2141"/>
      <c r="P589" s="2141"/>
      <c r="Q589" s="2141"/>
      <c r="R589" s="2141"/>
    </row>
    <row r="590" spans="15:18">
      <c r="O590" s="2141"/>
      <c r="P590" s="2141"/>
      <c r="Q590" s="2141"/>
      <c r="R590" s="2141"/>
    </row>
    <row r="591" spans="15:18">
      <c r="O591" s="2141"/>
      <c r="P591" s="2141"/>
      <c r="Q591" s="2141"/>
      <c r="R591" s="2141"/>
    </row>
    <row r="592" spans="15:18">
      <c r="O592" s="2141"/>
      <c r="P592" s="2141"/>
      <c r="Q592" s="2141"/>
      <c r="R592" s="2141"/>
    </row>
    <row r="593" spans="15:18">
      <c r="O593" s="2141"/>
      <c r="P593" s="2141"/>
      <c r="Q593" s="2141"/>
      <c r="R593" s="2141"/>
    </row>
    <row r="594" spans="15:18">
      <c r="O594" s="2141"/>
      <c r="P594" s="2141"/>
      <c r="Q594" s="2141"/>
      <c r="R594" s="2141"/>
    </row>
    <row r="595" spans="15:18">
      <c r="O595" s="2141"/>
      <c r="P595" s="2141"/>
      <c r="Q595" s="2141"/>
      <c r="R595" s="2141"/>
    </row>
    <row r="596" spans="15:18">
      <c r="O596" s="2141"/>
      <c r="P596" s="2141"/>
      <c r="Q596" s="2141"/>
      <c r="R596" s="2141"/>
    </row>
    <row r="597" spans="15:18">
      <c r="O597" s="2141"/>
      <c r="P597" s="2141"/>
      <c r="Q597" s="2141"/>
      <c r="R597" s="2141"/>
    </row>
    <row r="598" spans="15:18">
      <c r="O598" s="2141"/>
      <c r="P598" s="2141"/>
      <c r="Q598" s="2141"/>
      <c r="R598" s="2141"/>
    </row>
    <row r="599" spans="15:18">
      <c r="O599" s="2141"/>
      <c r="P599" s="2141"/>
      <c r="Q599" s="2141"/>
      <c r="R599" s="2141"/>
    </row>
    <row r="600" spans="15:18">
      <c r="O600" s="2141"/>
      <c r="P600" s="2141"/>
      <c r="Q600" s="2141"/>
      <c r="R600" s="2141"/>
    </row>
    <row r="601" spans="15:18">
      <c r="O601" s="2141"/>
      <c r="P601" s="2141"/>
      <c r="Q601" s="2141"/>
      <c r="R601" s="2141"/>
    </row>
    <row r="602" spans="15:18">
      <c r="O602" s="2141"/>
      <c r="P602" s="2141"/>
      <c r="Q602" s="2141"/>
      <c r="R602" s="2141"/>
    </row>
    <row r="603" spans="15:18">
      <c r="O603" s="2141"/>
      <c r="P603" s="2141"/>
      <c r="Q603" s="2141"/>
      <c r="R603" s="2141"/>
    </row>
    <row r="604" spans="15:18">
      <c r="O604" s="2141"/>
      <c r="P604" s="2141"/>
      <c r="Q604" s="2141"/>
      <c r="R604" s="2141"/>
    </row>
    <row r="605" spans="15:18">
      <c r="O605" s="2141"/>
      <c r="P605" s="2141"/>
      <c r="Q605" s="2141"/>
      <c r="R605" s="2141"/>
    </row>
    <row r="606" spans="15:18">
      <c r="O606" s="2141"/>
      <c r="P606" s="2141"/>
      <c r="Q606" s="2141"/>
      <c r="R606" s="2141"/>
    </row>
    <row r="607" spans="15:18">
      <c r="O607" s="2141"/>
      <c r="P607" s="2141"/>
      <c r="Q607" s="2141"/>
      <c r="R607" s="2141"/>
    </row>
    <row r="608" spans="15:18">
      <c r="O608" s="2141"/>
      <c r="P608" s="2141"/>
      <c r="Q608" s="2141"/>
      <c r="R608" s="2141"/>
    </row>
    <row r="609" spans="15:18">
      <c r="O609" s="2141"/>
      <c r="P609" s="2141"/>
      <c r="Q609" s="2141"/>
      <c r="R609" s="2141"/>
    </row>
    <row r="610" spans="15:18">
      <c r="O610" s="2141"/>
      <c r="P610" s="2141"/>
      <c r="Q610" s="2141"/>
      <c r="R610" s="2141"/>
    </row>
    <row r="611" spans="15:18">
      <c r="O611" s="2141"/>
      <c r="P611" s="2141"/>
      <c r="Q611" s="2141"/>
      <c r="R611" s="2141"/>
    </row>
    <row r="612" spans="15:18">
      <c r="O612" s="2141"/>
      <c r="P612" s="2141"/>
      <c r="Q612" s="2141"/>
      <c r="R612" s="2141"/>
    </row>
    <row r="613" spans="15:18">
      <c r="O613" s="2141"/>
      <c r="P613" s="2141"/>
      <c r="Q613" s="2141"/>
      <c r="R613" s="2141"/>
    </row>
    <row r="614" spans="15:18">
      <c r="O614" s="2141"/>
      <c r="P614" s="2141"/>
      <c r="Q614" s="2141"/>
      <c r="R614" s="2141"/>
    </row>
    <row r="615" spans="15:18">
      <c r="O615" s="2141"/>
      <c r="P615" s="2141"/>
      <c r="Q615" s="2141"/>
      <c r="R615" s="2141"/>
    </row>
    <row r="616" spans="15:18">
      <c r="O616" s="2141"/>
      <c r="P616" s="2141"/>
      <c r="Q616" s="2141"/>
      <c r="R616" s="2141"/>
    </row>
    <row r="617" spans="15:18">
      <c r="O617" s="2141"/>
      <c r="P617" s="2141"/>
      <c r="Q617" s="2141"/>
      <c r="R617" s="2141"/>
    </row>
    <row r="618" spans="15:18">
      <c r="O618" s="2141"/>
      <c r="P618" s="2141"/>
      <c r="Q618" s="2141"/>
      <c r="R618" s="2141"/>
    </row>
    <row r="619" spans="15:18">
      <c r="O619" s="2141"/>
      <c r="P619" s="2141"/>
      <c r="Q619" s="2141"/>
      <c r="R619" s="2141"/>
    </row>
    <row r="620" spans="15:18">
      <c r="O620" s="2141"/>
      <c r="P620" s="2141"/>
      <c r="Q620" s="2141"/>
      <c r="R620" s="2141"/>
    </row>
    <row r="621" spans="15:18">
      <c r="O621" s="2141"/>
      <c r="P621" s="2141"/>
      <c r="Q621" s="2141"/>
      <c r="R621" s="2141"/>
    </row>
    <row r="622" spans="15:18">
      <c r="O622" s="2141"/>
      <c r="P622" s="2141"/>
      <c r="Q622" s="2141"/>
      <c r="R622" s="2141"/>
    </row>
    <row r="623" spans="15:18">
      <c r="O623" s="2141"/>
      <c r="P623" s="2141"/>
      <c r="Q623" s="2141"/>
      <c r="R623" s="2141"/>
    </row>
    <row r="624" spans="15:18">
      <c r="O624" s="2141"/>
      <c r="P624" s="2141"/>
      <c r="Q624" s="2141"/>
      <c r="R624" s="2141"/>
    </row>
    <row r="625" spans="15:18">
      <c r="O625" s="2141"/>
      <c r="P625" s="2141"/>
      <c r="Q625" s="2141"/>
      <c r="R625" s="2141"/>
    </row>
    <row r="626" spans="15:18">
      <c r="O626" s="2141"/>
      <c r="P626" s="2141"/>
      <c r="Q626" s="2141"/>
      <c r="R626" s="2141"/>
    </row>
    <row r="627" spans="15:18">
      <c r="O627" s="2141"/>
      <c r="P627" s="2141"/>
      <c r="Q627" s="2141"/>
      <c r="R627" s="2141"/>
    </row>
    <row r="628" spans="15:18">
      <c r="O628" s="2141"/>
      <c r="P628" s="2141"/>
      <c r="Q628" s="2141"/>
      <c r="R628" s="2141"/>
    </row>
    <row r="629" spans="15:18">
      <c r="O629" s="2141"/>
      <c r="P629" s="2141"/>
      <c r="Q629" s="2141"/>
      <c r="R629" s="2141"/>
    </row>
    <row r="630" spans="15:18">
      <c r="O630" s="2141"/>
      <c r="P630" s="2141"/>
      <c r="Q630" s="2141"/>
      <c r="R630" s="2141"/>
    </row>
    <row r="631" spans="15:18">
      <c r="O631" s="2141"/>
      <c r="P631" s="2141"/>
      <c r="Q631" s="2141"/>
      <c r="R631" s="2141"/>
    </row>
    <row r="632" spans="15:18">
      <c r="O632" s="2141"/>
      <c r="P632" s="2141"/>
      <c r="Q632" s="2141"/>
      <c r="R632" s="2141"/>
    </row>
    <row r="633" spans="15:18">
      <c r="O633" s="2141"/>
      <c r="P633" s="2141"/>
      <c r="Q633" s="2141"/>
      <c r="R633" s="2141"/>
    </row>
    <row r="634" spans="15:18">
      <c r="O634" s="2141"/>
      <c r="P634" s="2141"/>
      <c r="Q634" s="2141"/>
      <c r="R634" s="2141"/>
    </row>
    <row r="635" spans="15:18">
      <c r="O635" s="2141"/>
      <c r="P635" s="2141"/>
      <c r="Q635" s="2141"/>
      <c r="R635" s="2141"/>
    </row>
    <row r="636" spans="15:18">
      <c r="O636" s="2141"/>
      <c r="P636" s="2141"/>
      <c r="Q636" s="2141"/>
      <c r="R636" s="2141"/>
    </row>
    <row r="637" spans="15:18">
      <c r="O637" s="2141"/>
      <c r="P637" s="2141"/>
      <c r="Q637" s="2141"/>
      <c r="R637" s="2141"/>
    </row>
    <row r="638" spans="15:18">
      <c r="O638" s="2141"/>
      <c r="P638" s="2141"/>
      <c r="Q638" s="2141"/>
      <c r="R638" s="2141"/>
    </row>
    <row r="639" spans="15:18">
      <c r="O639" s="2141"/>
      <c r="P639" s="2141"/>
      <c r="Q639" s="2141"/>
      <c r="R639" s="2141"/>
    </row>
    <row r="640" spans="15:18">
      <c r="O640" s="2141"/>
      <c r="P640" s="2141"/>
      <c r="Q640" s="2141"/>
      <c r="R640" s="2141"/>
    </row>
    <row r="641" spans="15:18">
      <c r="O641" s="2141"/>
      <c r="P641" s="2141"/>
      <c r="Q641" s="2141"/>
      <c r="R641" s="2141"/>
    </row>
    <row r="642" spans="15:18">
      <c r="O642" s="2141"/>
      <c r="P642" s="2141"/>
      <c r="Q642" s="2141"/>
      <c r="R642" s="2141"/>
    </row>
    <row r="643" spans="15:18">
      <c r="O643" s="2141"/>
      <c r="P643" s="2141"/>
      <c r="Q643" s="2141"/>
      <c r="R643" s="2141"/>
    </row>
    <row r="644" spans="15:18">
      <c r="O644" s="2141"/>
      <c r="P644" s="2141"/>
      <c r="Q644" s="2141"/>
      <c r="R644" s="2141"/>
    </row>
    <row r="645" spans="15:18">
      <c r="O645" s="2141"/>
      <c r="P645" s="2141"/>
      <c r="Q645" s="2141"/>
      <c r="R645" s="2141"/>
    </row>
    <row r="646" spans="15:18">
      <c r="O646" s="2141"/>
      <c r="P646" s="2141"/>
      <c r="Q646" s="2141"/>
      <c r="R646" s="2141"/>
    </row>
    <row r="647" spans="15:18">
      <c r="O647" s="2141"/>
      <c r="P647" s="2141"/>
      <c r="Q647" s="2141"/>
      <c r="R647" s="2141"/>
    </row>
    <row r="648" spans="15:18">
      <c r="O648" s="2141"/>
      <c r="P648" s="2141"/>
      <c r="Q648" s="2141"/>
      <c r="R648" s="2141"/>
    </row>
    <row r="649" spans="15:18">
      <c r="O649" s="2141"/>
      <c r="P649" s="2141"/>
      <c r="Q649" s="2141"/>
      <c r="R649" s="2141"/>
    </row>
    <row r="650" spans="15:18">
      <c r="O650" s="2141"/>
      <c r="P650" s="2141"/>
      <c r="Q650" s="2141"/>
      <c r="R650" s="2141"/>
    </row>
    <row r="651" spans="15:18">
      <c r="O651" s="2141"/>
      <c r="P651" s="2141"/>
      <c r="Q651" s="2141"/>
      <c r="R651" s="2141"/>
    </row>
    <row r="652" spans="15:18">
      <c r="O652" s="2141"/>
      <c r="P652" s="2141"/>
      <c r="Q652" s="2141"/>
      <c r="R652" s="2141"/>
    </row>
    <row r="653" spans="15:18">
      <c r="O653" s="2141"/>
      <c r="P653" s="2141"/>
      <c r="Q653" s="2141"/>
      <c r="R653" s="2141"/>
    </row>
    <row r="654" spans="15:18">
      <c r="O654" s="2141"/>
      <c r="P654" s="2141"/>
      <c r="Q654" s="2141"/>
      <c r="R654" s="2141"/>
    </row>
    <row r="655" spans="15:18">
      <c r="O655" s="2141"/>
      <c r="P655" s="2141"/>
      <c r="Q655" s="2141"/>
      <c r="R655" s="2141"/>
    </row>
    <row r="656" spans="15:18">
      <c r="O656" s="2141"/>
      <c r="P656" s="2141"/>
      <c r="Q656" s="2141"/>
      <c r="R656" s="2141"/>
    </row>
    <row r="657" spans="15:18">
      <c r="O657" s="2141"/>
      <c r="P657" s="2141"/>
      <c r="Q657" s="2141"/>
      <c r="R657" s="2141"/>
    </row>
    <row r="658" spans="15:18">
      <c r="O658" s="2141"/>
      <c r="P658" s="2141"/>
      <c r="Q658" s="2141"/>
      <c r="R658" s="2141"/>
    </row>
    <row r="659" spans="15:18">
      <c r="O659" s="2141"/>
      <c r="P659" s="2141"/>
      <c r="Q659" s="2141"/>
      <c r="R659" s="2141"/>
    </row>
    <row r="660" spans="15:18">
      <c r="O660" s="2141"/>
      <c r="P660" s="2141"/>
      <c r="Q660" s="2141"/>
      <c r="R660" s="2141"/>
    </row>
    <row r="661" spans="15:18">
      <c r="O661" s="2141"/>
      <c r="P661" s="2141"/>
      <c r="Q661" s="2141"/>
      <c r="R661" s="2141"/>
    </row>
    <row r="662" spans="15:18">
      <c r="O662" s="2141"/>
      <c r="P662" s="2141"/>
      <c r="Q662" s="2141"/>
      <c r="R662" s="2141"/>
    </row>
    <row r="663" spans="15:18">
      <c r="O663" s="2141"/>
      <c r="P663" s="2141"/>
      <c r="Q663" s="2141"/>
      <c r="R663" s="2141"/>
    </row>
    <row r="664" spans="15:18">
      <c r="O664" s="2141"/>
      <c r="P664" s="2141"/>
      <c r="Q664" s="2141"/>
      <c r="R664" s="2141"/>
    </row>
    <row r="665" spans="15:18">
      <c r="O665" s="2141"/>
      <c r="P665" s="2141"/>
      <c r="Q665" s="2141"/>
      <c r="R665" s="2141"/>
    </row>
    <row r="666" spans="15:18">
      <c r="O666" s="2141"/>
      <c r="P666" s="2141"/>
      <c r="Q666" s="2141"/>
      <c r="R666" s="2141"/>
    </row>
    <row r="667" spans="15:18">
      <c r="O667" s="2141"/>
      <c r="P667" s="2141"/>
      <c r="Q667" s="2141"/>
      <c r="R667" s="2141"/>
    </row>
    <row r="668" spans="15:18">
      <c r="O668" s="2141"/>
      <c r="P668" s="2141"/>
      <c r="Q668" s="2141"/>
      <c r="R668" s="2141"/>
    </row>
    <row r="669" spans="15:18">
      <c r="O669" s="2141"/>
      <c r="P669" s="2141"/>
      <c r="Q669" s="2141"/>
      <c r="R669" s="2141"/>
    </row>
    <row r="670" spans="15:18">
      <c r="O670" s="2141"/>
      <c r="P670" s="2141"/>
      <c r="Q670" s="2141"/>
      <c r="R670" s="2141"/>
    </row>
    <row r="671" spans="15:18">
      <c r="O671" s="2141"/>
      <c r="P671" s="2141"/>
      <c r="Q671" s="2141"/>
      <c r="R671" s="2141"/>
    </row>
    <row r="672" spans="15:18">
      <c r="O672" s="2141"/>
      <c r="P672" s="2141"/>
      <c r="Q672" s="2141"/>
      <c r="R672" s="2141"/>
    </row>
    <row r="673" spans="15:18">
      <c r="O673" s="2141"/>
      <c r="P673" s="2141"/>
      <c r="Q673" s="2141"/>
      <c r="R673" s="2141"/>
    </row>
    <row r="674" spans="15:18">
      <c r="O674" s="2141"/>
      <c r="P674" s="2141"/>
      <c r="Q674" s="2141"/>
      <c r="R674" s="2141"/>
    </row>
    <row r="675" spans="15:18">
      <c r="O675" s="2141"/>
      <c r="P675" s="2141"/>
      <c r="Q675" s="2141"/>
      <c r="R675" s="2141"/>
    </row>
    <row r="676" spans="15:18">
      <c r="O676" s="2141"/>
      <c r="P676" s="2141"/>
      <c r="Q676" s="2141"/>
      <c r="R676" s="2141"/>
    </row>
    <row r="677" spans="15:18">
      <c r="O677" s="2141"/>
      <c r="P677" s="2141"/>
      <c r="Q677" s="2141"/>
      <c r="R677" s="2141"/>
    </row>
    <row r="678" spans="15:18">
      <c r="O678" s="2141"/>
      <c r="P678" s="2141"/>
      <c r="Q678" s="2141"/>
      <c r="R678" s="2141"/>
    </row>
    <row r="679" spans="15:18">
      <c r="O679" s="2141"/>
      <c r="P679" s="2141"/>
      <c r="Q679" s="2141"/>
      <c r="R679" s="2141"/>
    </row>
    <row r="680" spans="15:18">
      <c r="O680" s="2141"/>
      <c r="P680" s="2141"/>
      <c r="Q680" s="2141"/>
      <c r="R680" s="2141"/>
    </row>
    <row r="681" spans="15:18">
      <c r="O681" s="2141"/>
      <c r="P681" s="2141"/>
      <c r="Q681" s="2141"/>
      <c r="R681" s="2141"/>
    </row>
    <row r="682" spans="15:18">
      <c r="O682" s="2141"/>
      <c r="P682" s="2141"/>
      <c r="Q682" s="2141"/>
      <c r="R682" s="2141"/>
    </row>
    <row r="683" spans="15:18">
      <c r="O683" s="2141"/>
      <c r="P683" s="2141"/>
      <c r="Q683" s="2141"/>
      <c r="R683" s="2141"/>
    </row>
    <row r="684" spans="15:18">
      <c r="O684" s="2141"/>
      <c r="P684" s="2141"/>
      <c r="Q684" s="2141"/>
      <c r="R684" s="2141"/>
    </row>
    <row r="685" spans="15:18">
      <c r="O685" s="2141"/>
      <c r="P685" s="2141"/>
      <c r="Q685" s="2141"/>
      <c r="R685" s="2141"/>
    </row>
    <row r="686" spans="15:18">
      <c r="O686" s="2141"/>
      <c r="P686" s="2141"/>
      <c r="Q686" s="2141"/>
      <c r="R686" s="2141"/>
    </row>
    <row r="687" spans="15:18">
      <c r="O687" s="2141"/>
      <c r="P687" s="2141"/>
      <c r="Q687" s="2141"/>
      <c r="R687" s="2141"/>
    </row>
    <row r="688" spans="15:18">
      <c r="O688" s="2141"/>
      <c r="P688" s="2141"/>
      <c r="Q688" s="2141"/>
      <c r="R688" s="2141"/>
    </row>
    <row r="689" spans="15:18">
      <c r="O689" s="2141"/>
      <c r="P689" s="2141"/>
      <c r="Q689" s="2141"/>
      <c r="R689" s="2141"/>
    </row>
    <row r="690" spans="15:18">
      <c r="O690" s="2141"/>
      <c r="P690" s="2141"/>
      <c r="Q690" s="2141"/>
      <c r="R690" s="2141"/>
    </row>
    <row r="691" spans="15:18">
      <c r="O691" s="2141"/>
      <c r="P691" s="2141"/>
      <c r="Q691" s="2141"/>
      <c r="R691" s="2141"/>
    </row>
    <row r="692" spans="15:18">
      <c r="O692" s="2141"/>
      <c r="P692" s="2141"/>
      <c r="Q692" s="2141"/>
      <c r="R692" s="2141"/>
    </row>
    <row r="693" spans="15:18">
      <c r="O693" s="2141"/>
      <c r="P693" s="2141"/>
      <c r="Q693" s="2141"/>
      <c r="R693" s="2141"/>
    </row>
    <row r="694" spans="15:18">
      <c r="O694" s="2141"/>
      <c r="P694" s="2141"/>
      <c r="Q694" s="2141"/>
      <c r="R694" s="2141"/>
    </row>
    <row r="695" spans="15:18">
      <c r="O695" s="2141"/>
      <c r="P695" s="2141"/>
      <c r="Q695" s="2141"/>
      <c r="R695" s="2141"/>
    </row>
    <row r="696" spans="15:18">
      <c r="O696" s="2141"/>
      <c r="P696" s="2141"/>
      <c r="Q696" s="2141"/>
      <c r="R696" s="2141"/>
    </row>
    <row r="697" spans="15:18">
      <c r="O697" s="2141"/>
      <c r="P697" s="2141"/>
      <c r="Q697" s="2141"/>
      <c r="R697" s="2141"/>
    </row>
    <row r="698" spans="15:18">
      <c r="O698" s="2141"/>
      <c r="P698" s="2141"/>
      <c r="Q698" s="2141"/>
      <c r="R698" s="2141"/>
    </row>
    <row r="699" spans="15:18">
      <c r="O699" s="2141"/>
      <c r="P699" s="2141"/>
      <c r="Q699" s="2141"/>
      <c r="R699" s="2141"/>
    </row>
    <row r="700" spans="15:18">
      <c r="O700" s="2141"/>
      <c r="P700" s="2141"/>
      <c r="Q700" s="2141"/>
      <c r="R700" s="2141"/>
    </row>
    <row r="701" spans="15:18">
      <c r="O701" s="2141"/>
      <c r="P701" s="2141"/>
      <c r="Q701" s="2141"/>
      <c r="R701" s="2141"/>
    </row>
    <row r="702" spans="15:18">
      <c r="O702" s="2141"/>
      <c r="P702" s="2141"/>
      <c r="Q702" s="2141"/>
      <c r="R702" s="2141"/>
    </row>
    <row r="703" spans="15:18">
      <c r="O703" s="2141"/>
      <c r="P703" s="2141"/>
      <c r="Q703" s="2141"/>
      <c r="R703" s="2141"/>
    </row>
    <row r="704" spans="15:18">
      <c r="O704" s="2141"/>
      <c r="P704" s="2141"/>
      <c r="Q704" s="2141"/>
      <c r="R704" s="2141"/>
    </row>
    <row r="705" spans="15:18">
      <c r="O705" s="2141"/>
      <c r="P705" s="2141"/>
      <c r="Q705" s="2141"/>
      <c r="R705" s="2141"/>
    </row>
    <row r="706" spans="15:18">
      <c r="O706" s="2141"/>
      <c r="P706" s="2141"/>
      <c r="Q706" s="2141"/>
      <c r="R706" s="2141"/>
    </row>
    <row r="707" spans="15:18">
      <c r="O707" s="2141"/>
      <c r="P707" s="2141"/>
      <c r="Q707" s="2141"/>
      <c r="R707" s="2141"/>
    </row>
    <row r="708" spans="15:18">
      <c r="O708" s="2141"/>
      <c r="P708" s="2141"/>
      <c r="Q708" s="2141"/>
      <c r="R708" s="2141"/>
    </row>
    <row r="709" spans="15:18">
      <c r="O709" s="2141"/>
      <c r="P709" s="2141"/>
      <c r="Q709" s="2141"/>
      <c r="R709" s="2141"/>
    </row>
    <row r="710" spans="15:18">
      <c r="O710" s="2141"/>
      <c r="P710" s="2141"/>
      <c r="Q710" s="2141"/>
      <c r="R710" s="2141"/>
    </row>
    <row r="711" spans="15:18">
      <c r="O711" s="2141"/>
      <c r="P711" s="2141"/>
      <c r="Q711" s="2141"/>
      <c r="R711" s="2141"/>
    </row>
    <row r="712" spans="15:18">
      <c r="O712" s="2141"/>
      <c r="P712" s="2141"/>
      <c r="Q712" s="2141"/>
      <c r="R712" s="2141"/>
    </row>
    <row r="713" spans="15:18">
      <c r="O713" s="2141"/>
      <c r="P713" s="2141"/>
      <c r="Q713" s="2141"/>
      <c r="R713" s="2141"/>
    </row>
    <row r="714" spans="15:18">
      <c r="O714" s="2141"/>
      <c r="P714" s="2141"/>
      <c r="Q714" s="2141"/>
      <c r="R714" s="2141"/>
    </row>
    <row r="715" spans="15:18">
      <c r="O715" s="2141"/>
      <c r="P715" s="2141"/>
      <c r="Q715" s="2141"/>
      <c r="R715" s="2141"/>
    </row>
    <row r="716" spans="15:18">
      <c r="O716" s="2141"/>
      <c r="P716" s="2141"/>
      <c r="Q716" s="2141"/>
      <c r="R716" s="2141"/>
    </row>
    <row r="717" spans="15:18">
      <c r="O717" s="2141"/>
      <c r="P717" s="2141"/>
      <c r="Q717" s="2141"/>
      <c r="R717" s="2141"/>
    </row>
    <row r="718" spans="15:18">
      <c r="O718" s="2141"/>
      <c r="P718" s="2141"/>
      <c r="Q718" s="2141"/>
      <c r="R718" s="2141"/>
    </row>
    <row r="719" spans="15:18">
      <c r="O719" s="2141"/>
      <c r="P719" s="2141"/>
      <c r="Q719" s="2141"/>
      <c r="R719" s="2141"/>
    </row>
    <row r="720" spans="15:18">
      <c r="O720" s="2141"/>
      <c r="P720" s="2141"/>
      <c r="Q720" s="2141"/>
      <c r="R720" s="2141"/>
    </row>
    <row r="721" spans="15:18">
      <c r="O721" s="2141"/>
      <c r="P721" s="2141"/>
      <c r="Q721" s="2141"/>
      <c r="R721" s="2141"/>
    </row>
    <row r="722" spans="15:18">
      <c r="O722" s="2141"/>
      <c r="P722" s="2141"/>
      <c r="Q722" s="2141"/>
      <c r="R722" s="2141"/>
    </row>
    <row r="723" spans="15:18">
      <c r="O723" s="2141"/>
      <c r="P723" s="2141"/>
      <c r="Q723" s="2141"/>
      <c r="R723" s="2141"/>
    </row>
    <row r="724" spans="15:18">
      <c r="O724" s="2141"/>
      <c r="P724" s="2141"/>
      <c r="Q724" s="2141"/>
      <c r="R724" s="2141"/>
    </row>
    <row r="725" spans="15:18">
      <c r="O725" s="2141"/>
      <c r="P725" s="2141"/>
      <c r="Q725" s="2141"/>
      <c r="R725" s="2141"/>
    </row>
    <row r="726" spans="15:18">
      <c r="O726" s="2141"/>
      <c r="P726" s="2141"/>
      <c r="Q726" s="2141"/>
      <c r="R726" s="2141"/>
    </row>
    <row r="727" spans="15:18">
      <c r="O727" s="2141"/>
      <c r="P727" s="2141"/>
      <c r="Q727" s="2141"/>
      <c r="R727" s="2141"/>
    </row>
    <row r="728" spans="15:18">
      <c r="O728" s="2141"/>
      <c r="P728" s="2141"/>
      <c r="Q728" s="2141"/>
      <c r="R728" s="2141"/>
    </row>
    <row r="729" spans="15:18">
      <c r="O729" s="2141"/>
      <c r="P729" s="2141"/>
      <c r="Q729" s="2141"/>
      <c r="R729" s="2141"/>
    </row>
    <row r="730" spans="15:18">
      <c r="O730" s="2141"/>
      <c r="P730" s="2141"/>
      <c r="Q730" s="2141"/>
      <c r="R730" s="2141"/>
    </row>
    <row r="731" spans="15:18">
      <c r="O731" s="2141"/>
      <c r="P731" s="2141"/>
      <c r="Q731" s="2141"/>
      <c r="R731" s="2141"/>
    </row>
    <row r="732" spans="15:18">
      <c r="O732" s="2141"/>
      <c r="P732" s="2141"/>
      <c r="Q732" s="2141"/>
      <c r="R732" s="2141"/>
    </row>
    <row r="733" spans="15:18">
      <c r="O733" s="2141"/>
      <c r="P733" s="2141"/>
      <c r="Q733" s="2141"/>
      <c r="R733" s="2141"/>
    </row>
    <row r="734" spans="15:18">
      <c r="O734" s="2141"/>
      <c r="P734" s="2141"/>
      <c r="Q734" s="2141"/>
      <c r="R734" s="2141"/>
    </row>
    <row r="735" spans="15:18">
      <c r="O735" s="2141"/>
      <c r="P735" s="2141"/>
      <c r="Q735" s="2141"/>
      <c r="R735" s="2141"/>
    </row>
    <row r="736" spans="15:18">
      <c r="O736" s="2141"/>
      <c r="P736" s="2141"/>
      <c r="Q736" s="2141"/>
      <c r="R736" s="2141"/>
    </row>
    <row r="737" spans="15:18">
      <c r="O737" s="2141"/>
      <c r="P737" s="2141"/>
      <c r="Q737" s="2141"/>
      <c r="R737" s="2141"/>
    </row>
    <row r="738" spans="15:18">
      <c r="O738" s="2141"/>
      <c r="P738" s="2141"/>
      <c r="Q738" s="2141"/>
      <c r="R738" s="2141"/>
    </row>
    <row r="739" spans="15:18">
      <c r="O739" s="2141"/>
      <c r="P739" s="2141"/>
      <c r="Q739" s="2141"/>
      <c r="R739" s="2141"/>
    </row>
    <row r="740" spans="15:18">
      <c r="O740" s="2141"/>
      <c r="P740" s="2141"/>
      <c r="Q740" s="2141"/>
      <c r="R740" s="2141"/>
    </row>
    <row r="741" spans="15:18">
      <c r="O741" s="2141"/>
      <c r="P741" s="2141"/>
      <c r="Q741" s="2141"/>
      <c r="R741" s="2141"/>
    </row>
    <row r="742" spans="15:18">
      <c r="O742" s="2141"/>
      <c r="P742" s="2141"/>
      <c r="Q742" s="2141"/>
      <c r="R742" s="2141"/>
    </row>
    <row r="743" spans="15:18">
      <c r="O743" s="2141"/>
      <c r="P743" s="2141"/>
      <c r="Q743" s="2141"/>
      <c r="R743" s="2141"/>
    </row>
    <row r="744" spans="15:18">
      <c r="O744" s="2141"/>
      <c r="P744" s="2141"/>
      <c r="Q744" s="2141"/>
      <c r="R744" s="2141"/>
    </row>
    <row r="745" spans="15:18">
      <c r="O745" s="2141"/>
      <c r="P745" s="2141"/>
      <c r="Q745" s="2141"/>
      <c r="R745" s="2141"/>
    </row>
    <row r="746" spans="15:18">
      <c r="O746" s="2141"/>
      <c r="P746" s="2141"/>
      <c r="Q746" s="2141"/>
      <c r="R746" s="2141"/>
    </row>
    <row r="747" spans="15:18">
      <c r="O747" s="2141"/>
      <c r="P747" s="2141"/>
      <c r="Q747" s="2141"/>
      <c r="R747" s="2141"/>
    </row>
    <row r="748" spans="15:18">
      <c r="O748" s="2141"/>
      <c r="P748" s="2141"/>
      <c r="Q748" s="2141"/>
      <c r="R748" s="2141"/>
    </row>
    <row r="749" spans="15:18">
      <c r="O749" s="2141"/>
      <c r="P749" s="2141"/>
      <c r="Q749" s="2141"/>
      <c r="R749" s="2141"/>
    </row>
    <row r="750" spans="15:18">
      <c r="O750" s="2141"/>
      <c r="P750" s="2141"/>
      <c r="Q750" s="2141"/>
      <c r="R750" s="2141"/>
    </row>
    <row r="751" spans="15:18">
      <c r="O751" s="2141"/>
      <c r="P751" s="2141"/>
      <c r="Q751" s="2141"/>
      <c r="R751" s="2141"/>
    </row>
    <row r="752" spans="15:18">
      <c r="O752" s="2141"/>
      <c r="P752" s="2141"/>
      <c r="Q752" s="2141"/>
      <c r="R752" s="2141"/>
    </row>
    <row r="753" spans="15:18">
      <c r="O753" s="2141"/>
      <c r="P753" s="2141"/>
      <c r="Q753" s="2141"/>
      <c r="R753" s="2141"/>
    </row>
    <row r="754" spans="15:18">
      <c r="O754" s="2141"/>
      <c r="P754" s="2141"/>
      <c r="Q754" s="2141"/>
      <c r="R754" s="2141"/>
    </row>
    <row r="755" spans="15:18">
      <c r="O755" s="2141"/>
      <c r="P755" s="2141"/>
      <c r="Q755" s="2141"/>
      <c r="R755" s="2141"/>
    </row>
    <row r="756" spans="15:18">
      <c r="O756" s="2141"/>
      <c r="P756" s="2141"/>
      <c r="Q756" s="2141"/>
      <c r="R756" s="2141"/>
    </row>
    <row r="757" spans="15:18">
      <c r="O757" s="2141"/>
      <c r="P757" s="2141"/>
      <c r="Q757" s="2141"/>
      <c r="R757" s="2141"/>
    </row>
    <row r="758" spans="15:18">
      <c r="O758" s="2141"/>
      <c r="P758" s="2141"/>
      <c r="Q758" s="2141"/>
      <c r="R758" s="2141"/>
    </row>
    <row r="759" spans="15:18">
      <c r="O759" s="2141"/>
      <c r="P759" s="2141"/>
      <c r="Q759" s="2141"/>
      <c r="R759" s="2141"/>
    </row>
    <row r="760" spans="15:18">
      <c r="O760" s="2141"/>
      <c r="P760" s="2141"/>
      <c r="Q760" s="2141"/>
      <c r="R760" s="2141"/>
    </row>
    <row r="761" spans="15:18">
      <c r="O761" s="2141"/>
      <c r="P761" s="2141"/>
      <c r="Q761" s="2141"/>
      <c r="R761" s="2141"/>
    </row>
    <row r="762" spans="15:18">
      <c r="O762" s="2141"/>
      <c r="P762" s="2141"/>
      <c r="Q762" s="2141"/>
      <c r="R762" s="2141"/>
    </row>
    <row r="763" spans="15:18">
      <c r="O763" s="2141"/>
      <c r="P763" s="2141"/>
      <c r="Q763" s="2141"/>
      <c r="R763" s="2141"/>
    </row>
    <row r="764" spans="15:18">
      <c r="O764" s="2141"/>
      <c r="P764" s="2141"/>
      <c r="Q764" s="2141"/>
      <c r="R764" s="2141"/>
    </row>
    <row r="765" spans="15:18">
      <c r="O765" s="2141"/>
      <c r="P765" s="2141"/>
      <c r="Q765" s="2141"/>
      <c r="R765" s="2141"/>
    </row>
    <row r="766" spans="15:18">
      <c r="O766" s="2141"/>
      <c r="P766" s="2141"/>
      <c r="Q766" s="2141"/>
      <c r="R766" s="2141"/>
    </row>
    <row r="767" spans="15:18">
      <c r="O767" s="2141"/>
      <c r="P767" s="2141"/>
      <c r="Q767" s="2141"/>
      <c r="R767" s="2141"/>
    </row>
    <row r="768" spans="15:18">
      <c r="O768" s="2141"/>
      <c r="P768" s="2141"/>
      <c r="Q768" s="2141"/>
      <c r="R768" s="2141"/>
    </row>
    <row r="769" spans="15:18">
      <c r="O769" s="2141"/>
      <c r="P769" s="2141"/>
      <c r="Q769" s="2141"/>
      <c r="R769" s="2141"/>
    </row>
    <row r="770" spans="15:18">
      <c r="O770" s="2141"/>
      <c r="P770" s="2141"/>
      <c r="Q770" s="2141"/>
      <c r="R770" s="2141"/>
    </row>
    <row r="771" spans="15:18">
      <c r="O771" s="2141"/>
      <c r="P771" s="2141"/>
      <c r="Q771" s="2141"/>
      <c r="R771" s="2141"/>
    </row>
    <row r="772" spans="15:18">
      <c r="O772" s="2141"/>
      <c r="P772" s="2141"/>
      <c r="Q772" s="2141"/>
      <c r="R772" s="2141"/>
    </row>
    <row r="773" spans="15:18">
      <c r="O773" s="2141"/>
      <c r="P773" s="2141"/>
      <c r="Q773" s="2141"/>
      <c r="R773" s="2141"/>
    </row>
    <row r="774" spans="15:18">
      <c r="O774" s="2141"/>
      <c r="P774" s="2141"/>
      <c r="Q774" s="2141"/>
      <c r="R774" s="2141"/>
    </row>
    <row r="775" spans="15:18">
      <c r="O775" s="2141"/>
      <c r="P775" s="2141"/>
      <c r="Q775" s="2141"/>
      <c r="R775" s="2141"/>
    </row>
    <row r="776" spans="15:18">
      <c r="O776" s="2141"/>
      <c r="P776" s="2141"/>
      <c r="Q776" s="2141"/>
      <c r="R776" s="2141"/>
    </row>
    <row r="777" spans="15:18">
      <c r="O777" s="2141"/>
      <c r="P777" s="2141"/>
      <c r="Q777" s="2141"/>
      <c r="R777" s="2141"/>
    </row>
    <row r="778" spans="15:18">
      <c r="O778" s="2141"/>
      <c r="P778" s="2141"/>
      <c r="Q778" s="2141"/>
      <c r="R778" s="2141"/>
    </row>
    <row r="779" spans="15:18">
      <c r="O779" s="2141"/>
      <c r="P779" s="2141"/>
      <c r="Q779" s="2141"/>
      <c r="R779" s="2141"/>
    </row>
    <row r="780" spans="15:18">
      <c r="O780" s="2141"/>
      <c r="P780" s="2141"/>
      <c r="Q780" s="2141"/>
      <c r="R780" s="2141"/>
    </row>
    <row r="781" spans="15:18">
      <c r="O781" s="2141"/>
      <c r="P781" s="2141"/>
      <c r="Q781" s="2141"/>
      <c r="R781" s="2141"/>
    </row>
    <row r="782" spans="15:18">
      <c r="O782" s="2141"/>
      <c r="P782" s="2141"/>
      <c r="Q782" s="2141"/>
      <c r="R782" s="2141"/>
    </row>
    <row r="783" spans="15:18">
      <c r="O783" s="2141"/>
      <c r="P783" s="2141"/>
      <c r="Q783" s="2141"/>
      <c r="R783" s="2141"/>
    </row>
    <row r="784" spans="15:18">
      <c r="O784" s="2141"/>
      <c r="P784" s="2141"/>
      <c r="Q784" s="2141"/>
      <c r="R784" s="2141"/>
    </row>
    <row r="785" spans="15:18">
      <c r="O785" s="2141"/>
      <c r="P785" s="2141"/>
      <c r="Q785" s="2141"/>
      <c r="R785" s="2141"/>
    </row>
    <row r="786" spans="15:18">
      <c r="O786" s="2141"/>
      <c r="P786" s="2141"/>
      <c r="Q786" s="2141"/>
      <c r="R786" s="2141"/>
    </row>
    <row r="787" spans="15:18">
      <c r="O787" s="2141"/>
      <c r="P787" s="2141"/>
      <c r="Q787" s="2141"/>
      <c r="R787" s="2141"/>
    </row>
    <row r="788" spans="15:18">
      <c r="O788" s="2141"/>
      <c r="P788" s="2141"/>
      <c r="Q788" s="2141"/>
      <c r="R788" s="2141"/>
    </row>
    <row r="789" spans="15:18">
      <c r="O789" s="2141"/>
      <c r="P789" s="2141"/>
      <c r="Q789" s="2141"/>
      <c r="R789" s="2141"/>
    </row>
    <row r="790" spans="15:18">
      <c r="O790" s="2141"/>
      <c r="P790" s="2141"/>
      <c r="Q790" s="2141"/>
      <c r="R790" s="2141"/>
    </row>
    <row r="791" spans="15:18">
      <c r="O791" s="2141"/>
      <c r="P791" s="2141"/>
      <c r="Q791" s="2141"/>
      <c r="R791" s="2141"/>
    </row>
    <row r="792" spans="15:18">
      <c r="O792" s="2141"/>
      <c r="P792" s="2141"/>
      <c r="Q792" s="2141"/>
      <c r="R792" s="2141"/>
    </row>
    <row r="793" spans="15:18">
      <c r="O793" s="2141"/>
      <c r="P793" s="2141"/>
      <c r="Q793" s="2141"/>
      <c r="R793" s="2141"/>
    </row>
    <row r="794" spans="15:18">
      <c r="O794" s="2141"/>
      <c r="P794" s="2141"/>
      <c r="Q794" s="2141"/>
      <c r="R794" s="2141"/>
    </row>
    <row r="795" spans="15:18">
      <c r="O795" s="2141"/>
      <c r="P795" s="2141"/>
      <c r="Q795" s="2141"/>
      <c r="R795" s="2141"/>
    </row>
    <row r="796" spans="15:18">
      <c r="O796" s="2141"/>
      <c r="P796" s="2141"/>
      <c r="Q796" s="2141"/>
      <c r="R796" s="2141"/>
    </row>
    <row r="797" spans="15:18">
      <c r="O797" s="2141"/>
      <c r="P797" s="2141"/>
      <c r="Q797" s="2141"/>
      <c r="R797" s="2141"/>
    </row>
    <row r="798" spans="15:18">
      <c r="O798" s="2141"/>
      <c r="P798" s="2141"/>
      <c r="Q798" s="2141"/>
      <c r="R798" s="2141"/>
    </row>
    <row r="799" spans="15:18">
      <c r="O799" s="2141"/>
      <c r="P799" s="2141"/>
      <c r="Q799" s="2141"/>
      <c r="R799" s="2141"/>
    </row>
    <row r="800" spans="15:18">
      <c r="O800" s="2141"/>
      <c r="P800" s="2141"/>
      <c r="Q800" s="2141"/>
      <c r="R800" s="2141"/>
    </row>
    <row r="801" spans="15:18">
      <c r="O801" s="2141"/>
      <c r="P801" s="2141"/>
      <c r="Q801" s="2141"/>
      <c r="R801" s="2141"/>
    </row>
    <row r="802" spans="15:18">
      <c r="O802" s="2141"/>
      <c r="P802" s="2141"/>
      <c r="Q802" s="2141"/>
      <c r="R802" s="2141"/>
    </row>
    <row r="803" spans="15:18">
      <c r="O803" s="2141"/>
      <c r="P803" s="2141"/>
      <c r="Q803" s="2141"/>
      <c r="R803" s="2141"/>
    </row>
    <row r="804" spans="15:18">
      <c r="O804" s="2141"/>
      <c r="P804" s="2141"/>
      <c r="Q804" s="2141"/>
      <c r="R804" s="2141"/>
    </row>
    <row r="805" spans="15:18">
      <c r="O805" s="2141"/>
      <c r="P805" s="2141"/>
      <c r="Q805" s="2141"/>
      <c r="R805" s="2141"/>
    </row>
    <row r="806" spans="15:18">
      <c r="O806" s="2141"/>
      <c r="P806" s="2141"/>
      <c r="Q806" s="2141"/>
      <c r="R806" s="2141"/>
    </row>
    <row r="807" spans="15:18">
      <c r="O807" s="2141"/>
      <c r="P807" s="2141"/>
      <c r="Q807" s="2141"/>
      <c r="R807" s="2141"/>
    </row>
    <row r="808" spans="15:18">
      <c r="O808" s="2141"/>
      <c r="P808" s="2141"/>
      <c r="Q808" s="2141"/>
      <c r="R808" s="2141"/>
    </row>
    <row r="809" spans="15:18">
      <c r="O809" s="2141"/>
      <c r="P809" s="2141"/>
      <c r="Q809" s="2141"/>
      <c r="R809" s="2141"/>
    </row>
    <row r="810" spans="15:18">
      <c r="O810" s="2141"/>
      <c r="P810" s="2141"/>
      <c r="Q810" s="2141"/>
      <c r="R810" s="2141"/>
    </row>
    <row r="811" spans="15:18">
      <c r="O811" s="2141"/>
      <c r="P811" s="2141"/>
      <c r="Q811" s="2141"/>
      <c r="R811" s="2141"/>
    </row>
    <row r="812" spans="15:18">
      <c r="O812" s="2141"/>
      <c r="P812" s="2141"/>
      <c r="Q812" s="2141"/>
      <c r="R812" s="2141"/>
    </row>
    <row r="813" spans="15:18">
      <c r="O813" s="2141"/>
      <c r="P813" s="2141"/>
      <c r="Q813" s="2141"/>
      <c r="R813" s="2141"/>
    </row>
    <row r="814" spans="15:18">
      <c r="O814" s="2141"/>
      <c r="P814" s="2141"/>
      <c r="Q814" s="2141"/>
      <c r="R814" s="2141"/>
    </row>
    <row r="815" spans="15:18">
      <c r="O815" s="2141"/>
      <c r="P815" s="2141"/>
      <c r="Q815" s="2141"/>
      <c r="R815" s="2141"/>
    </row>
    <row r="816" spans="15:18">
      <c r="O816" s="2141"/>
      <c r="P816" s="2141"/>
      <c r="Q816" s="2141"/>
      <c r="R816" s="2141"/>
    </row>
    <row r="817" spans="15:18">
      <c r="O817" s="2141"/>
      <c r="P817" s="2141"/>
      <c r="Q817" s="2141"/>
      <c r="R817" s="2141"/>
    </row>
    <row r="818" spans="15:18">
      <c r="O818" s="2141"/>
      <c r="P818" s="2141"/>
      <c r="Q818" s="2141"/>
      <c r="R818" s="2141"/>
    </row>
    <row r="819" spans="15:18">
      <c r="O819" s="2141"/>
      <c r="P819" s="2141"/>
      <c r="Q819" s="2141"/>
      <c r="R819" s="2141"/>
    </row>
    <row r="820" spans="15:18">
      <c r="O820" s="2141"/>
      <c r="P820" s="2141"/>
      <c r="Q820" s="2141"/>
      <c r="R820" s="2141"/>
    </row>
    <row r="821" spans="15:18">
      <c r="O821" s="2141"/>
      <c r="P821" s="2141"/>
      <c r="Q821" s="2141"/>
      <c r="R821" s="2141"/>
    </row>
    <row r="822" spans="15:18">
      <c r="O822" s="2141"/>
      <c r="P822" s="2141"/>
      <c r="Q822" s="2141"/>
      <c r="R822" s="2141"/>
    </row>
    <row r="823" spans="15:18">
      <c r="O823" s="2141"/>
      <c r="P823" s="2141"/>
      <c r="Q823" s="2141"/>
      <c r="R823" s="2141"/>
    </row>
    <row r="824" spans="15:18">
      <c r="O824" s="2141"/>
      <c r="P824" s="2141"/>
      <c r="Q824" s="2141"/>
      <c r="R824" s="2141"/>
    </row>
    <row r="825" spans="15:18">
      <c r="O825" s="2141"/>
      <c r="P825" s="2141"/>
      <c r="Q825" s="2141"/>
      <c r="R825" s="2141"/>
    </row>
    <row r="826" spans="15:18">
      <c r="O826" s="2141"/>
      <c r="P826" s="2141"/>
      <c r="Q826" s="2141"/>
      <c r="R826" s="2141"/>
    </row>
    <row r="827" spans="15:18">
      <c r="O827" s="2141"/>
      <c r="P827" s="2141"/>
      <c r="Q827" s="2141"/>
      <c r="R827" s="2141"/>
    </row>
    <row r="828" spans="15:18">
      <c r="O828" s="2141"/>
      <c r="P828" s="2141"/>
      <c r="Q828" s="2141"/>
      <c r="R828" s="2141"/>
    </row>
    <row r="829" spans="15:18">
      <c r="O829" s="2141"/>
      <c r="P829" s="2141"/>
      <c r="Q829" s="2141"/>
      <c r="R829" s="2141"/>
    </row>
    <row r="830" spans="15:18">
      <c r="O830" s="2141"/>
      <c r="P830" s="2141"/>
      <c r="Q830" s="2141"/>
      <c r="R830" s="2141"/>
    </row>
    <row r="831" spans="15:18">
      <c r="O831" s="2141"/>
      <c r="P831" s="2141"/>
      <c r="Q831" s="2141"/>
      <c r="R831" s="2141"/>
    </row>
    <row r="832" spans="15:18">
      <c r="O832" s="2141"/>
      <c r="P832" s="2141"/>
      <c r="Q832" s="2141"/>
      <c r="R832" s="2141"/>
    </row>
    <row r="833" spans="15:18">
      <c r="O833" s="2141"/>
      <c r="P833" s="2141"/>
      <c r="Q833" s="2141"/>
      <c r="R833" s="2141"/>
    </row>
    <row r="834" spans="15:18">
      <c r="O834" s="2141"/>
      <c r="P834" s="2141"/>
      <c r="Q834" s="2141"/>
      <c r="R834" s="2141"/>
    </row>
    <row r="835" spans="15:18">
      <c r="O835" s="2141"/>
      <c r="P835" s="2141"/>
      <c r="Q835" s="2141"/>
      <c r="R835" s="2141"/>
    </row>
    <row r="836" spans="15:18">
      <c r="O836" s="2141"/>
      <c r="P836" s="2141"/>
      <c r="Q836" s="2141"/>
      <c r="R836" s="2141"/>
    </row>
    <row r="837" spans="15:18">
      <c r="O837" s="2141"/>
      <c r="P837" s="2141"/>
      <c r="Q837" s="2141"/>
      <c r="R837" s="2141"/>
    </row>
    <row r="838" spans="15:18">
      <c r="O838" s="2141"/>
      <c r="P838" s="2141"/>
      <c r="Q838" s="2141"/>
      <c r="R838" s="2141"/>
    </row>
    <row r="839" spans="15:18">
      <c r="O839" s="2141"/>
      <c r="P839" s="2141"/>
      <c r="Q839" s="2141"/>
      <c r="R839" s="2141"/>
    </row>
    <row r="840" spans="15:18">
      <c r="O840" s="2141"/>
      <c r="P840" s="2141"/>
      <c r="Q840" s="2141"/>
      <c r="R840" s="2141"/>
    </row>
    <row r="841" spans="15:18">
      <c r="O841" s="2141"/>
      <c r="P841" s="2141"/>
      <c r="Q841" s="2141"/>
      <c r="R841" s="2141"/>
    </row>
    <row r="842" spans="15:18">
      <c r="O842" s="2141"/>
      <c r="P842" s="2141"/>
      <c r="Q842" s="2141"/>
      <c r="R842" s="2141"/>
    </row>
    <row r="843" spans="15:18">
      <c r="O843" s="2141"/>
      <c r="P843" s="2141"/>
      <c r="Q843" s="2141"/>
      <c r="R843" s="2141"/>
    </row>
    <row r="844" spans="15:18">
      <c r="O844" s="2141"/>
      <c r="P844" s="2141"/>
      <c r="Q844" s="2141"/>
      <c r="R844" s="2141"/>
    </row>
    <row r="845" spans="15:18">
      <c r="O845" s="2141"/>
      <c r="P845" s="2141"/>
      <c r="Q845" s="2141"/>
      <c r="R845" s="2141"/>
    </row>
    <row r="846" spans="15:18">
      <c r="O846" s="2141"/>
      <c r="P846" s="2141"/>
      <c r="Q846" s="2141"/>
      <c r="R846" s="2141"/>
    </row>
    <row r="847" spans="15:18">
      <c r="O847" s="2141"/>
      <c r="P847" s="2141"/>
      <c r="Q847" s="2141"/>
      <c r="R847" s="2141"/>
    </row>
    <row r="848" spans="15:18">
      <c r="O848" s="2141"/>
      <c r="P848" s="2141"/>
      <c r="Q848" s="2141"/>
      <c r="R848" s="2141"/>
    </row>
    <row r="849" spans="15:18">
      <c r="O849" s="2141"/>
      <c r="P849" s="2141"/>
      <c r="Q849" s="2141"/>
      <c r="R849" s="2141"/>
    </row>
    <row r="850" spans="15:18">
      <c r="O850" s="2141"/>
      <c r="P850" s="2141"/>
      <c r="Q850" s="2141"/>
      <c r="R850" s="2141"/>
    </row>
    <row r="851" spans="15:18">
      <c r="O851" s="2141"/>
      <c r="P851" s="2141"/>
      <c r="Q851" s="2141"/>
      <c r="R851" s="2141"/>
    </row>
    <row r="852" spans="15:18">
      <c r="O852" s="2141"/>
      <c r="P852" s="2141"/>
      <c r="Q852" s="2141"/>
      <c r="R852" s="2141"/>
    </row>
    <row r="853" spans="15:18">
      <c r="O853" s="2141"/>
      <c r="P853" s="2141"/>
      <c r="Q853" s="2141"/>
      <c r="R853" s="2141"/>
    </row>
    <row r="854" spans="15:18">
      <c r="O854" s="2141"/>
      <c r="P854" s="2141"/>
      <c r="Q854" s="2141"/>
      <c r="R854" s="2141"/>
    </row>
    <row r="855" spans="15:18">
      <c r="O855" s="2141"/>
      <c r="P855" s="2141"/>
      <c r="Q855" s="2141"/>
      <c r="R855" s="2141"/>
    </row>
    <row r="856" spans="15:18">
      <c r="O856" s="2141"/>
      <c r="P856" s="2141"/>
      <c r="Q856" s="2141"/>
      <c r="R856" s="2141"/>
    </row>
    <row r="857" spans="15:18">
      <c r="O857" s="2141"/>
      <c r="P857" s="2141"/>
      <c r="Q857" s="2141"/>
      <c r="R857" s="2141"/>
    </row>
    <row r="858" spans="15:18">
      <c r="O858" s="2141"/>
      <c r="P858" s="2141"/>
      <c r="Q858" s="2141"/>
      <c r="R858" s="2141"/>
    </row>
    <row r="859" spans="15:18">
      <c r="O859" s="2141"/>
      <c r="P859" s="2141"/>
      <c r="Q859" s="2141"/>
      <c r="R859" s="2141"/>
    </row>
    <row r="860" spans="15:18">
      <c r="O860" s="2141"/>
      <c r="P860" s="2141"/>
      <c r="Q860" s="2141"/>
      <c r="R860" s="2141"/>
    </row>
    <row r="861" spans="15:18">
      <c r="O861" s="2141"/>
      <c r="P861" s="2141"/>
      <c r="Q861" s="2141"/>
      <c r="R861" s="2141"/>
    </row>
    <row r="862" spans="15:18">
      <c r="O862" s="2141"/>
      <c r="P862" s="2141"/>
      <c r="Q862" s="2141"/>
      <c r="R862" s="2141"/>
    </row>
    <row r="863" spans="15:18">
      <c r="O863" s="2141"/>
      <c r="P863" s="2141"/>
      <c r="Q863" s="2141"/>
      <c r="R863" s="2141"/>
    </row>
    <row r="864" spans="15:18">
      <c r="O864" s="2141"/>
      <c r="P864" s="2141"/>
      <c r="Q864" s="2141"/>
      <c r="R864" s="2141"/>
    </row>
    <row r="865" spans="15:18">
      <c r="O865" s="2141"/>
      <c r="P865" s="2141"/>
      <c r="Q865" s="2141"/>
      <c r="R865" s="2141"/>
    </row>
    <row r="866" spans="15:18">
      <c r="O866" s="2141"/>
      <c r="P866" s="2141"/>
      <c r="Q866" s="2141"/>
      <c r="R866" s="2141"/>
    </row>
    <row r="867" spans="15:18">
      <c r="O867" s="2141"/>
      <c r="P867" s="2141"/>
      <c r="Q867" s="2141"/>
      <c r="R867" s="2141"/>
    </row>
    <row r="868" spans="15:18">
      <c r="O868" s="2141"/>
      <c r="P868" s="2141"/>
      <c r="Q868" s="2141"/>
      <c r="R868" s="2141"/>
    </row>
    <row r="869" spans="15:18">
      <c r="O869" s="2141"/>
      <c r="P869" s="2141"/>
      <c r="Q869" s="2141"/>
      <c r="R869" s="2141"/>
    </row>
    <row r="870" spans="15:18">
      <c r="O870" s="2141"/>
      <c r="P870" s="2141"/>
      <c r="Q870" s="2141"/>
      <c r="R870" s="2141"/>
    </row>
    <row r="871" spans="15:18">
      <c r="O871" s="2141"/>
      <c r="P871" s="2141"/>
      <c r="Q871" s="2141"/>
      <c r="R871" s="2141"/>
    </row>
    <row r="872" spans="15:18">
      <c r="O872" s="2141"/>
      <c r="P872" s="2141"/>
      <c r="Q872" s="2141"/>
      <c r="R872" s="2141"/>
    </row>
    <row r="873" spans="15:18">
      <c r="O873" s="2141"/>
      <c r="P873" s="2141"/>
      <c r="Q873" s="2141"/>
      <c r="R873" s="2141"/>
    </row>
    <row r="874" spans="15:18">
      <c r="O874" s="2141"/>
      <c r="P874" s="2141"/>
      <c r="Q874" s="2141"/>
      <c r="R874" s="2141"/>
    </row>
    <row r="875" spans="15:18">
      <c r="O875" s="2141"/>
      <c r="P875" s="2141"/>
      <c r="Q875" s="2141"/>
      <c r="R875" s="2141"/>
    </row>
    <row r="876" spans="15:18">
      <c r="O876" s="2141"/>
      <c r="P876" s="2141"/>
      <c r="Q876" s="2141"/>
      <c r="R876" s="2141"/>
    </row>
    <row r="877" spans="15:18">
      <c r="O877" s="2141"/>
      <c r="P877" s="2141"/>
      <c r="Q877" s="2141"/>
      <c r="R877" s="2141"/>
    </row>
    <row r="878" spans="15:18">
      <c r="O878" s="2141"/>
      <c r="P878" s="2141"/>
      <c r="Q878" s="2141"/>
      <c r="R878" s="2141"/>
    </row>
    <row r="879" spans="15:18">
      <c r="O879" s="2141"/>
      <c r="P879" s="2141"/>
      <c r="Q879" s="2141"/>
      <c r="R879" s="2141"/>
    </row>
    <row r="880" spans="15:18">
      <c r="O880" s="2141"/>
      <c r="P880" s="2141"/>
      <c r="Q880" s="2141"/>
      <c r="R880" s="2141"/>
    </row>
    <row r="881" spans="15:18">
      <c r="O881" s="2141"/>
      <c r="P881" s="2141"/>
      <c r="Q881" s="2141"/>
      <c r="R881" s="2141"/>
    </row>
    <row r="882" spans="15:18">
      <c r="O882" s="2141"/>
      <c r="P882" s="2141"/>
      <c r="Q882" s="2141"/>
      <c r="R882" s="2141"/>
    </row>
    <row r="883" spans="15:18">
      <c r="O883" s="2141"/>
      <c r="P883" s="2141"/>
      <c r="Q883" s="2141"/>
      <c r="R883" s="2141"/>
    </row>
    <row r="884" spans="15:18">
      <c r="O884" s="2141"/>
      <c r="P884" s="2141"/>
      <c r="Q884" s="2141"/>
      <c r="R884" s="2141"/>
    </row>
    <row r="885" spans="15:18">
      <c r="O885" s="2141"/>
      <c r="P885" s="2141"/>
      <c r="Q885" s="2141"/>
      <c r="R885" s="2141"/>
    </row>
    <row r="886" spans="15:18">
      <c r="O886" s="2141"/>
      <c r="P886" s="2141"/>
      <c r="Q886" s="2141"/>
      <c r="R886" s="2141"/>
    </row>
    <row r="887" spans="15:18">
      <c r="O887" s="2141"/>
      <c r="P887" s="2141"/>
      <c r="Q887" s="2141"/>
      <c r="R887" s="2141"/>
    </row>
    <row r="888" spans="15:18">
      <c r="O888" s="2141"/>
      <c r="P888" s="2141"/>
      <c r="Q888" s="2141"/>
      <c r="R888" s="2141"/>
    </row>
    <row r="889" spans="15:18">
      <c r="O889" s="2141"/>
      <c r="P889" s="2141"/>
      <c r="Q889" s="2141"/>
      <c r="R889" s="2141"/>
    </row>
    <row r="890" spans="15:18">
      <c r="O890" s="2141"/>
      <c r="P890" s="2141"/>
      <c r="Q890" s="2141"/>
      <c r="R890" s="2141"/>
    </row>
    <row r="891" spans="15:18">
      <c r="O891" s="2141"/>
      <c r="P891" s="2141"/>
      <c r="Q891" s="2141"/>
      <c r="R891" s="2141"/>
    </row>
    <row r="892" spans="15:18">
      <c r="O892" s="2141"/>
      <c r="P892" s="2141"/>
      <c r="Q892" s="2141"/>
      <c r="R892" s="2141"/>
    </row>
    <row r="893" spans="15:18">
      <c r="O893" s="2141"/>
      <c r="P893" s="2141"/>
      <c r="Q893" s="2141"/>
      <c r="R893" s="2141"/>
    </row>
    <row r="894" spans="15:18">
      <c r="O894" s="2141"/>
      <c r="P894" s="2141"/>
      <c r="Q894" s="2141"/>
      <c r="R894" s="2141"/>
    </row>
    <row r="895" spans="15:18">
      <c r="O895" s="2141"/>
      <c r="P895" s="2141"/>
      <c r="Q895" s="2141"/>
      <c r="R895" s="2141"/>
    </row>
    <row r="896" spans="15:18">
      <c r="O896" s="2141"/>
      <c r="P896" s="2141"/>
      <c r="Q896" s="2141"/>
      <c r="R896" s="2141"/>
    </row>
    <row r="897" spans="15:18">
      <c r="O897" s="2141"/>
      <c r="P897" s="2141"/>
      <c r="Q897" s="2141"/>
      <c r="R897" s="2141"/>
    </row>
    <row r="898" spans="15:18">
      <c r="O898" s="2141"/>
      <c r="P898" s="2141"/>
      <c r="Q898" s="2141"/>
      <c r="R898" s="2141"/>
    </row>
    <row r="899" spans="15:18">
      <c r="O899" s="2141"/>
      <c r="P899" s="2141"/>
      <c r="Q899" s="2141"/>
      <c r="R899" s="2141"/>
    </row>
    <row r="900" spans="15:18">
      <c r="O900" s="2141"/>
      <c r="P900" s="2141"/>
      <c r="Q900" s="2141"/>
      <c r="R900" s="2141"/>
    </row>
    <row r="901" spans="15:18">
      <c r="O901" s="2141"/>
      <c r="P901" s="2141"/>
      <c r="Q901" s="2141"/>
      <c r="R901" s="2141"/>
    </row>
    <row r="902" spans="15:18">
      <c r="O902" s="2141"/>
      <c r="P902" s="2141"/>
      <c r="Q902" s="2141"/>
      <c r="R902" s="2141"/>
    </row>
    <row r="903" spans="15:18">
      <c r="O903" s="2141"/>
      <c r="P903" s="2141"/>
      <c r="Q903" s="2141"/>
      <c r="R903" s="2141"/>
    </row>
    <row r="904" spans="15:18">
      <c r="O904" s="2141"/>
      <c r="P904" s="2141"/>
      <c r="Q904" s="2141"/>
      <c r="R904" s="2141"/>
    </row>
    <row r="905" spans="15:18">
      <c r="O905" s="2141"/>
      <c r="P905" s="2141"/>
      <c r="Q905" s="2141"/>
      <c r="R905" s="2141"/>
    </row>
    <row r="906" spans="15:18">
      <c r="O906" s="2141"/>
      <c r="P906" s="2141"/>
      <c r="Q906" s="2141"/>
      <c r="R906" s="2141"/>
    </row>
    <row r="907" spans="15:18">
      <c r="O907" s="2141"/>
      <c r="P907" s="2141"/>
      <c r="Q907" s="2141"/>
      <c r="R907" s="2141"/>
    </row>
    <row r="908" spans="15:18">
      <c r="O908" s="2141"/>
      <c r="P908" s="2141"/>
      <c r="Q908" s="2141"/>
      <c r="R908" s="2141"/>
    </row>
    <row r="909" spans="15:18">
      <c r="O909" s="2141"/>
      <c r="P909" s="2141"/>
      <c r="Q909" s="2141"/>
      <c r="R909" s="2141"/>
    </row>
    <row r="910" spans="15:18">
      <c r="O910" s="2141"/>
      <c r="P910" s="2141"/>
      <c r="Q910" s="2141"/>
      <c r="R910" s="2141"/>
    </row>
    <row r="911" spans="15:18">
      <c r="O911" s="2141"/>
      <c r="P911" s="2141"/>
      <c r="Q911" s="2141"/>
      <c r="R911" s="2141"/>
    </row>
    <row r="912" spans="15:18">
      <c r="O912" s="2141"/>
      <c r="P912" s="2141"/>
      <c r="Q912" s="2141"/>
      <c r="R912" s="2141"/>
    </row>
    <row r="913" spans="15:18">
      <c r="O913" s="2141"/>
      <c r="P913" s="2141"/>
      <c r="Q913" s="2141"/>
      <c r="R913" s="2141"/>
    </row>
    <row r="914" spans="15:18">
      <c r="O914" s="2141"/>
      <c r="P914" s="2141"/>
      <c r="Q914" s="2141"/>
      <c r="R914" s="2141"/>
    </row>
    <row r="915" spans="15:18">
      <c r="O915" s="2141"/>
      <c r="P915" s="2141"/>
      <c r="Q915" s="2141"/>
      <c r="R915" s="2141"/>
    </row>
    <row r="916" spans="15:18">
      <c r="O916" s="2141"/>
      <c r="P916" s="2141"/>
      <c r="Q916" s="2141"/>
      <c r="R916" s="2141"/>
    </row>
    <row r="917" spans="15:18">
      <c r="O917" s="2141"/>
      <c r="P917" s="2141"/>
      <c r="Q917" s="2141"/>
      <c r="R917" s="2141"/>
    </row>
    <row r="918" spans="15:18">
      <c r="O918" s="2141"/>
      <c r="P918" s="2141"/>
      <c r="Q918" s="2141"/>
      <c r="R918" s="2141"/>
    </row>
    <row r="919" spans="15:18">
      <c r="O919" s="2141"/>
      <c r="P919" s="2141"/>
      <c r="Q919" s="2141"/>
      <c r="R919" s="2141"/>
    </row>
    <row r="920" spans="15:18">
      <c r="O920" s="2141"/>
      <c r="P920" s="2141"/>
      <c r="Q920" s="2141"/>
      <c r="R920" s="2141"/>
    </row>
    <row r="921" spans="15:18">
      <c r="O921" s="2141"/>
      <c r="P921" s="2141"/>
      <c r="Q921" s="2141"/>
      <c r="R921" s="2141"/>
    </row>
    <row r="922" spans="15:18">
      <c r="O922" s="2141"/>
      <c r="P922" s="2141"/>
      <c r="Q922" s="2141"/>
      <c r="R922" s="2141"/>
    </row>
    <row r="923" spans="15:18">
      <c r="O923" s="2141"/>
      <c r="P923" s="2141"/>
      <c r="Q923" s="2141"/>
      <c r="R923" s="2141"/>
    </row>
    <row r="924" spans="15:18">
      <c r="O924" s="2141"/>
      <c r="P924" s="2141"/>
      <c r="Q924" s="2141"/>
      <c r="R924" s="2141"/>
    </row>
    <row r="925" spans="15:18">
      <c r="O925" s="2141"/>
      <c r="P925" s="2141"/>
      <c r="Q925" s="2141"/>
      <c r="R925" s="2141"/>
    </row>
    <row r="926" spans="15:18">
      <c r="O926" s="2141"/>
      <c r="P926" s="2141"/>
      <c r="Q926" s="2141"/>
      <c r="R926" s="2141"/>
    </row>
    <row r="927" spans="15:18">
      <c r="O927" s="2141"/>
      <c r="P927" s="2141"/>
      <c r="Q927" s="2141"/>
      <c r="R927" s="2141"/>
    </row>
    <row r="928" spans="15:18">
      <c r="O928" s="2141"/>
      <c r="P928" s="2141"/>
      <c r="Q928" s="2141"/>
      <c r="R928" s="2141"/>
    </row>
    <row r="929" spans="15:18">
      <c r="O929" s="2141"/>
      <c r="P929" s="2141"/>
      <c r="Q929" s="2141"/>
      <c r="R929" s="2141"/>
    </row>
    <row r="930" spans="15:18">
      <c r="O930" s="2141"/>
      <c r="P930" s="2141"/>
      <c r="Q930" s="2141"/>
      <c r="R930" s="2141"/>
    </row>
    <row r="931" spans="15:18">
      <c r="O931" s="2141"/>
      <c r="P931" s="2141"/>
      <c r="Q931" s="2141"/>
      <c r="R931" s="2141"/>
    </row>
    <row r="932" spans="15:18">
      <c r="O932" s="2141"/>
      <c r="P932" s="2141"/>
      <c r="Q932" s="2141"/>
      <c r="R932" s="2141"/>
    </row>
    <row r="933" spans="15:18">
      <c r="O933" s="2141"/>
      <c r="P933" s="2141"/>
      <c r="Q933" s="2141"/>
      <c r="R933" s="2141"/>
    </row>
    <row r="934" spans="15:18">
      <c r="O934" s="2141"/>
      <c r="P934" s="2141"/>
      <c r="Q934" s="2141"/>
      <c r="R934" s="2141"/>
    </row>
    <row r="935" spans="15:18">
      <c r="O935" s="2141"/>
      <c r="P935" s="2141"/>
      <c r="Q935" s="2141"/>
      <c r="R935" s="2141"/>
    </row>
    <row r="936" spans="15:18">
      <c r="O936" s="2141"/>
      <c r="P936" s="2141"/>
      <c r="Q936" s="2141"/>
      <c r="R936" s="2141"/>
    </row>
    <row r="937" spans="15:18">
      <c r="O937" s="2141"/>
      <c r="P937" s="2141"/>
      <c r="Q937" s="2141"/>
      <c r="R937" s="2141"/>
    </row>
    <row r="938" spans="15:18">
      <c r="O938" s="2141"/>
      <c r="P938" s="2141"/>
      <c r="Q938" s="2141"/>
      <c r="R938" s="2141"/>
    </row>
    <row r="939" spans="15:18">
      <c r="O939" s="2141"/>
      <c r="P939" s="2141"/>
      <c r="Q939" s="2141"/>
      <c r="R939" s="2141"/>
    </row>
    <row r="940" spans="15:18">
      <c r="O940" s="2141"/>
      <c r="P940" s="2141"/>
      <c r="Q940" s="2141"/>
      <c r="R940" s="2141"/>
    </row>
    <row r="941" spans="15:18">
      <c r="O941" s="2141"/>
      <c r="P941" s="2141"/>
      <c r="Q941" s="2141"/>
      <c r="R941" s="2141"/>
    </row>
    <row r="942" spans="15:18">
      <c r="O942" s="2141"/>
      <c r="P942" s="2141"/>
      <c r="Q942" s="2141"/>
      <c r="R942" s="2141"/>
    </row>
    <row r="943" spans="15:18">
      <c r="O943" s="2141"/>
      <c r="P943" s="2141"/>
      <c r="Q943" s="2141"/>
      <c r="R943" s="2141"/>
    </row>
    <row r="944" spans="15:18">
      <c r="O944" s="2141"/>
      <c r="P944" s="2141"/>
      <c r="Q944" s="2141"/>
      <c r="R944" s="2141"/>
    </row>
    <row r="945" spans="15:18">
      <c r="O945" s="2141"/>
      <c r="P945" s="2141"/>
      <c r="Q945" s="2141"/>
      <c r="R945" s="2141"/>
    </row>
    <row r="946" spans="15:18">
      <c r="O946" s="2141"/>
      <c r="P946" s="2141"/>
      <c r="Q946" s="2141"/>
      <c r="R946" s="2141"/>
    </row>
    <row r="947" spans="15:18">
      <c r="O947" s="2141"/>
      <c r="P947" s="2141"/>
      <c r="Q947" s="2141"/>
      <c r="R947" s="2141"/>
    </row>
    <row r="948" spans="15:18">
      <c r="O948" s="2141"/>
      <c r="P948" s="2141"/>
      <c r="Q948" s="2141"/>
      <c r="R948" s="2141"/>
    </row>
    <row r="949" spans="15:18">
      <c r="O949" s="2141"/>
      <c r="P949" s="2141"/>
      <c r="Q949" s="2141"/>
      <c r="R949" s="2141"/>
    </row>
    <row r="950" spans="15:18">
      <c r="O950" s="2141"/>
      <c r="P950" s="2141"/>
      <c r="Q950" s="2141"/>
      <c r="R950" s="2141"/>
    </row>
    <row r="951" spans="15:18">
      <c r="O951" s="2141"/>
      <c r="P951" s="2141"/>
      <c r="Q951" s="2141"/>
      <c r="R951" s="2141"/>
    </row>
    <row r="952" spans="15:18">
      <c r="O952" s="2141"/>
      <c r="P952" s="2141"/>
      <c r="Q952" s="2141"/>
      <c r="R952" s="2141"/>
    </row>
    <row r="953" spans="15:18">
      <c r="O953" s="2141"/>
      <c r="P953" s="2141"/>
      <c r="Q953" s="2141"/>
      <c r="R953" s="2141"/>
    </row>
    <row r="954" spans="15:18">
      <c r="O954" s="2141"/>
      <c r="P954" s="2141"/>
      <c r="Q954" s="2141"/>
      <c r="R954" s="2141"/>
    </row>
    <row r="955" spans="15:18">
      <c r="O955" s="2141"/>
      <c r="P955" s="2141"/>
      <c r="Q955" s="2141"/>
      <c r="R955" s="2141"/>
    </row>
    <row r="956" spans="15:18">
      <c r="O956" s="2141"/>
      <c r="P956" s="2141"/>
      <c r="Q956" s="2141"/>
      <c r="R956" s="2141"/>
    </row>
    <row r="957" spans="15:18">
      <c r="O957" s="2141"/>
      <c r="P957" s="2141"/>
      <c r="Q957" s="2141"/>
      <c r="R957" s="2141"/>
    </row>
    <row r="958" spans="15:18">
      <c r="O958" s="2141"/>
      <c r="P958" s="2141"/>
      <c r="Q958" s="2141"/>
      <c r="R958" s="2141"/>
    </row>
    <row r="959" spans="15:18">
      <c r="O959" s="2141"/>
      <c r="P959" s="2141"/>
      <c r="Q959" s="2141"/>
      <c r="R959" s="2141"/>
    </row>
    <row r="960" spans="15:18">
      <c r="O960" s="2141"/>
      <c r="P960" s="2141"/>
      <c r="Q960" s="2141"/>
      <c r="R960" s="2141"/>
    </row>
    <row r="961" spans="15:18">
      <c r="O961" s="2141"/>
      <c r="P961" s="2141"/>
      <c r="Q961" s="2141"/>
      <c r="R961" s="2141"/>
    </row>
    <row r="962" spans="15:18">
      <c r="O962" s="2141"/>
      <c r="P962" s="2141"/>
      <c r="Q962" s="2141"/>
      <c r="R962" s="2141"/>
    </row>
    <row r="963" spans="15:18">
      <c r="O963" s="2141"/>
      <c r="P963" s="2141"/>
      <c r="Q963" s="2141"/>
      <c r="R963" s="2141"/>
    </row>
    <row r="964" spans="15:18">
      <c r="O964" s="2141"/>
      <c r="P964" s="2141"/>
      <c r="Q964" s="2141"/>
      <c r="R964" s="2141"/>
    </row>
    <row r="965" spans="15:18">
      <c r="O965" s="2141"/>
      <c r="P965" s="2141"/>
      <c r="Q965" s="2141"/>
      <c r="R965" s="2141"/>
    </row>
    <row r="966" spans="15:18">
      <c r="O966" s="2141"/>
      <c r="P966" s="2141"/>
      <c r="Q966" s="2141"/>
      <c r="R966" s="2141"/>
    </row>
    <row r="967" spans="15:18">
      <c r="O967" s="2141"/>
      <c r="P967" s="2141"/>
      <c r="Q967" s="2141"/>
      <c r="R967" s="2141"/>
    </row>
    <row r="968" spans="15:18">
      <c r="O968" s="2141"/>
      <c r="P968" s="2141"/>
      <c r="Q968" s="2141"/>
      <c r="R968" s="2141"/>
    </row>
    <row r="969" spans="15:18">
      <c r="O969" s="2141"/>
      <c r="P969" s="2141"/>
      <c r="Q969" s="2141"/>
      <c r="R969" s="2141"/>
    </row>
    <row r="970" spans="15:18">
      <c r="O970" s="2141"/>
      <c r="P970" s="2141"/>
      <c r="Q970" s="2141"/>
      <c r="R970" s="2141"/>
    </row>
    <row r="971" spans="15:18">
      <c r="O971" s="2141"/>
      <c r="P971" s="2141"/>
      <c r="Q971" s="2141"/>
      <c r="R971" s="2141"/>
    </row>
    <row r="972" spans="15:18">
      <c r="O972" s="2141"/>
      <c r="P972" s="2141"/>
      <c r="Q972" s="2141"/>
      <c r="R972" s="2141"/>
    </row>
    <row r="973" spans="15:18">
      <c r="O973" s="2141"/>
      <c r="P973" s="2141"/>
      <c r="Q973" s="2141"/>
      <c r="R973" s="2141"/>
    </row>
    <row r="974" spans="15:18">
      <c r="O974" s="2141"/>
      <c r="P974" s="2141"/>
      <c r="Q974" s="2141"/>
      <c r="R974" s="2141"/>
    </row>
    <row r="975" spans="15:18">
      <c r="O975" s="2141"/>
      <c r="P975" s="2141"/>
      <c r="Q975" s="2141"/>
      <c r="R975" s="2141"/>
    </row>
    <row r="976" spans="15:18">
      <c r="O976" s="2141"/>
      <c r="P976" s="2141"/>
      <c r="Q976" s="2141"/>
      <c r="R976" s="2141"/>
    </row>
    <row r="977" spans="15:18">
      <c r="O977" s="2141"/>
      <c r="P977" s="2141"/>
      <c r="Q977" s="2141"/>
      <c r="R977" s="2141"/>
    </row>
    <row r="978" spans="15:18">
      <c r="O978" s="2141"/>
      <c r="P978" s="2141"/>
      <c r="Q978" s="2141"/>
      <c r="R978" s="2141"/>
    </row>
    <row r="979" spans="15:18">
      <c r="O979" s="2141"/>
      <c r="P979" s="2141"/>
      <c r="Q979" s="2141"/>
      <c r="R979" s="2141"/>
    </row>
    <row r="980" spans="15:18">
      <c r="O980" s="2141"/>
      <c r="P980" s="2141"/>
      <c r="Q980" s="2141"/>
      <c r="R980" s="2141"/>
    </row>
    <row r="981" spans="15:18">
      <c r="O981" s="2141"/>
      <c r="P981" s="2141"/>
      <c r="Q981" s="2141"/>
      <c r="R981" s="2141"/>
    </row>
    <row r="982" spans="15:18">
      <c r="O982" s="2141"/>
      <c r="P982" s="2141"/>
      <c r="Q982" s="2141"/>
      <c r="R982" s="2141"/>
    </row>
    <row r="983" spans="15:18">
      <c r="O983" s="2141"/>
      <c r="P983" s="2141"/>
      <c r="Q983" s="2141"/>
      <c r="R983" s="2141"/>
    </row>
    <row r="984" spans="15:18">
      <c r="O984" s="2141"/>
      <c r="P984" s="2141"/>
      <c r="Q984" s="2141"/>
      <c r="R984" s="2141"/>
    </row>
    <row r="985" spans="15:18">
      <c r="O985" s="2141"/>
      <c r="P985" s="2141"/>
      <c r="Q985" s="2141"/>
      <c r="R985" s="2141"/>
    </row>
    <row r="986" spans="15:18">
      <c r="O986" s="2141"/>
      <c r="P986" s="2141"/>
      <c r="Q986" s="2141"/>
      <c r="R986" s="2141"/>
    </row>
    <row r="987" spans="15:18">
      <c r="O987" s="2141"/>
      <c r="P987" s="2141"/>
      <c r="Q987" s="2141"/>
      <c r="R987" s="2141"/>
    </row>
    <row r="988" spans="15:18">
      <c r="O988" s="2141"/>
      <c r="P988" s="2141"/>
      <c r="Q988" s="2141"/>
      <c r="R988" s="2141"/>
    </row>
    <row r="989" spans="15:18">
      <c r="O989" s="2141"/>
      <c r="P989" s="2141"/>
      <c r="Q989" s="2141"/>
      <c r="R989" s="2141"/>
    </row>
    <row r="990" spans="15:18">
      <c r="O990" s="2141"/>
      <c r="P990" s="2141"/>
      <c r="Q990" s="2141"/>
      <c r="R990" s="2141"/>
    </row>
    <row r="991" spans="15:18">
      <c r="O991" s="2141"/>
      <c r="P991" s="2141"/>
      <c r="Q991" s="2141"/>
      <c r="R991" s="2141"/>
    </row>
    <row r="992" spans="15:18">
      <c r="O992" s="2141"/>
      <c r="P992" s="2141"/>
      <c r="Q992" s="2141"/>
      <c r="R992" s="2141"/>
    </row>
    <row r="993" spans="15:18">
      <c r="O993" s="2141"/>
      <c r="P993" s="2141"/>
      <c r="Q993" s="2141"/>
      <c r="R993" s="2141"/>
    </row>
    <row r="994" spans="15:18">
      <c r="O994" s="2141"/>
      <c r="P994" s="2141"/>
      <c r="Q994" s="2141"/>
      <c r="R994" s="2141"/>
    </row>
    <row r="995" spans="15:18">
      <c r="O995" s="2141"/>
      <c r="P995" s="2141"/>
      <c r="Q995" s="2141"/>
      <c r="R995" s="2141"/>
    </row>
    <row r="996" spans="15:18">
      <c r="O996" s="2141"/>
      <c r="P996" s="2141"/>
      <c r="Q996" s="2141"/>
      <c r="R996" s="2141"/>
    </row>
    <row r="997" spans="15:18">
      <c r="O997" s="2141"/>
      <c r="P997" s="2141"/>
      <c r="Q997" s="2141"/>
      <c r="R997" s="2141"/>
    </row>
    <row r="998" spans="15:18">
      <c r="O998" s="2141"/>
      <c r="P998" s="2141"/>
      <c r="Q998" s="2141"/>
      <c r="R998" s="2141"/>
    </row>
    <row r="999" spans="15:18">
      <c r="O999" s="2141"/>
      <c r="P999" s="2141"/>
      <c r="Q999" s="2141"/>
      <c r="R999" s="2141"/>
    </row>
    <row r="1000" spans="15:18">
      <c r="O1000" s="2141"/>
      <c r="P1000" s="2141"/>
      <c r="Q1000" s="2141"/>
      <c r="R1000" s="2141"/>
    </row>
    <row r="1001" spans="15:18">
      <c r="O1001" s="2141"/>
      <c r="P1001" s="2141"/>
      <c r="Q1001" s="2141"/>
      <c r="R1001" s="2141"/>
    </row>
    <row r="1002" spans="15:18">
      <c r="O1002" s="2141"/>
      <c r="P1002" s="2141"/>
      <c r="Q1002" s="2141"/>
      <c r="R1002" s="2141"/>
    </row>
    <row r="1003" spans="15:18">
      <c r="O1003" s="2141"/>
      <c r="P1003" s="2141"/>
      <c r="Q1003" s="2141"/>
      <c r="R1003" s="2141"/>
    </row>
    <row r="1004" spans="15:18">
      <c r="O1004" s="2141"/>
      <c r="P1004" s="2141"/>
      <c r="Q1004" s="2141"/>
      <c r="R1004" s="2141"/>
    </row>
    <row r="1005" spans="15:18">
      <c r="O1005" s="2141"/>
      <c r="P1005" s="2141"/>
      <c r="Q1005" s="2141"/>
      <c r="R1005" s="2141"/>
    </row>
  </sheetData>
  <mergeCells count="6">
    <mergeCell ref="L4:O4"/>
    <mergeCell ref="A1:G1"/>
    <mergeCell ref="L1:O1"/>
    <mergeCell ref="A2:G2"/>
    <mergeCell ref="L2:O2"/>
    <mergeCell ref="A3:G3"/>
  </mergeCell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A4BA1-BA51-459F-9048-12CD610272DA}">
  <dimension ref="A1:CB155"/>
  <sheetViews>
    <sheetView workbookViewId="0"/>
  </sheetViews>
  <sheetFormatPr defaultColWidth="8.85546875" defaultRowHeight="15"/>
  <cols>
    <col min="1" max="1" width="14.85546875" style="3452" customWidth="1"/>
    <col min="2" max="2" width="17.85546875" style="3452" customWidth="1"/>
    <col min="3" max="3" width="18.140625" style="3452" bestFit="1" customWidth="1"/>
    <col min="4" max="4" width="12.85546875" style="3452" customWidth="1"/>
    <col min="5" max="5" width="13.140625" style="3452" customWidth="1"/>
    <col min="6" max="6" width="13.28515625" style="3452" customWidth="1"/>
    <col min="7" max="7" width="14.85546875" style="3452" customWidth="1"/>
    <col min="8" max="8" width="13.28515625" style="3452" customWidth="1"/>
    <col min="9" max="9" width="14.7109375" style="3452" customWidth="1"/>
    <col min="10" max="10" width="13.42578125" style="3453" customWidth="1"/>
    <col min="11" max="11" width="13.7109375" style="3453" customWidth="1"/>
    <col min="12" max="12" width="12.28515625" style="3453" customWidth="1"/>
    <col min="13" max="13" width="11" style="3453" customWidth="1"/>
    <col min="14" max="14" width="12" style="3453" customWidth="1"/>
    <col min="15" max="15" width="11.7109375" style="3453" customWidth="1"/>
    <col min="16" max="16" width="1.7109375" style="2142" customWidth="1"/>
    <col min="17" max="17" width="1.7109375" style="2141" customWidth="1"/>
    <col min="18" max="18" width="4" style="2141" bestFit="1" customWidth="1"/>
    <col min="19" max="19" width="13.42578125" style="2831" customWidth="1"/>
    <col min="20" max="20" width="33.7109375" style="2831" customWidth="1"/>
    <col min="21" max="21" width="14" style="3452" customWidth="1"/>
    <col min="22" max="22" width="13.85546875" style="3452" customWidth="1"/>
    <col min="23" max="23" width="13" style="3452" customWidth="1"/>
    <col min="24" max="25" width="10.5703125" style="3452" customWidth="1"/>
    <col min="26" max="26" width="10.7109375" style="3452" customWidth="1"/>
    <col min="27" max="27" width="12.7109375" style="3452" customWidth="1"/>
    <col min="28" max="28" width="13.140625" style="3452" customWidth="1"/>
    <col min="29" max="29" width="14.28515625" style="3452" customWidth="1"/>
    <col min="30" max="30" width="13.42578125" style="3452" customWidth="1"/>
    <col min="31" max="31" width="12.85546875" style="3452" customWidth="1"/>
    <col min="32" max="32" width="12" style="3452" customWidth="1"/>
    <col min="33" max="33" width="10.85546875" style="3452" customWidth="1"/>
    <col min="34" max="34" width="10.5703125" style="3452" customWidth="1"/>
    <col min="35" max="35" width="11.42578125" style="3452" customWidth="1"/>
    <col min="36" max="36" width="15" style="2831" customWidth="1"/>
    <col min="37" max="37" width="24.140625" style="3452" hidden="1" customWidth="1"/>
    <col min="38" max="39" width="11.5703125" style="3452" bestFit="1" customWidth="1"/>
    <col min="40" max="41" width="11.85546875" style="3452" customWidth="1"/>
    <col min="42" max="42" width="12.140625" style="3452" customWidth="1"/>
    <col min="43" max="44" width="11.85546875" style="3452" customWidth="1"/>
    <col min="45" max="45" width="12.42578125" style="3452" customWidth="1"/>
    <col min="46" max="46" width="14.85546875" style="3452" bestFit="1" customWidth="1"/>
    <col min="47" max="47" width="11.85546875" style="3452" customWidth="1"/>
    <col min="48" max="48" width="13.42578125" style="3452" customWidth="1"/>
    <col min="49" max="49" width="11.85546875" style="3452" customWidth="1"/>
    <col min="50" max="50" width="136.140625" style="2831" customWidth="1"/>
    <col min="51" max="51" width="4.140625" style="3456" bestFit="1" customWidth="1"/>
    <col min="52" max="52" width="4.140625" style="3456" customWidth="1"/>
    <col min="53" max="53" width="1.7109375" style="2142" customWidth="1"/>
    <col min="54" max="54" width="8.85546875" style="2141"/>
    <col min="55" max="55" width="8.85546875" style="3668"/>
    <col min="56" max="56" width="13.7109375" style="3668" customWidth="1"/>
    <col min="57" max="57" width="14.28515625" style="3668" bestFit="1" customWidth="1"/>
    <col min="58" max="58" width="18.42578125" style="3668" customWidth="1"/>
    <col min="59" max="59" width="16.5703125" style="3668" customWidth="1"/>
    <col min="60" max="62" width="14.28515625" style="3668" bestFit="1" customWidth="1"/>
    <col min="63" max="63" width="13.28515625" style="3668" bestFit="1" customWidth="1"/>
    <col min="64" max="65" width="17.85546875" style="3668" bestFit="1" customWidth="1"/>
    <col min="66" max="66" width="13.28515625" style="3668" bestFit="1" customWidth="1"/>
    <col min="67" max="75" width="14.28515625" style="3668" bestFit="1" customWidth="1"/>
    <col min="76" max="80" width="13.28515625" style="3668" bestFit="1" customWidth="1"/>
    <col min="81" max="16384" width="8.85546875" style="2141"/>
  </cols>
  <sheetData>
    <row r="1" spans="1:80" ht="18.75">
      <c r="A1" s="3451" t="s">
        <v>3095</v>
      </c>
      <c r="O1" s="3454"/>
      <c r="S1" s="3947" t="s">
        <v>3095</v>
      </c>
      <c r="T1" s="3947"/>
      <c r="U1" s="3455"/>
      <c r="X1" s="3452" t="s">
        <v>3096</v>
      </c>
      <c r="BC1" s="3721"/>
      <c r="BD1" s="3699"/>
      <c r="BE1" s="3699"/>
      <c r="BF1" s="3699"/>
      <c r="BG1" s="3699"/>
      <c r="BH1" s="3699"/>
      <c r="BI1" s="3699"/>
      <c r="BJ1" s="3699"/>
      <c r="BK1" s="3699"/>
      <c r="BL1" s="3699"/>
      <c r="BM1" s="3699"/>
      <c r="BN1" s="3699"/>
      <c r="BO1" s="3699"/>
      <c r="BP1" s="3699"/>
      <c r="BQ1" s="3699"/>
      <c r="BR1" s="3699"/>
      <c r="BS1" s="3699"/>
      <c r="BT1" s="3699"/>
      <c r="BU1" s="3699"/>
      <c r="BV1" s="3699"/>
      <c r="BW1" s="3699"/>
      <c r="BX1" s="3699"/>
      <c r="BY1" s="3699"/>
      <c r="BZ1" s="3699"/>
      <c r="CA1" s="3699"/>
      <c r="CB1" s="3706"/>
    </row>
    <row r="2" spans="1:80" ht="19.5" thickBot="1">
      <c r="A2" s="3948" t="s">
        <v>3097</v>
      </c>
      <c r="S2" s="3457"/>
      <c r="T2" s="3457"/>
      <c r="AN2" s="3458"/>
      <c r="BC2" s="3673"/>
      <c r="CB2" s="3672"/>
    </row>
    <row r="3" spans="1:80" ht="15.75" thickBot="1">
      <c r="A3" s="3948"/>
      <c r="B3" s="3459" t="s">
        <v>3098</v>
      </c>
      <c r="R3" s="2142"/>
      <c r="S3" s="3460" t="s">
        <v>3097</v>
      </c>
      <c r="T3" s="3461">
        <v>0.02</v>
      </c>
      <c r="U3" s="3949" t="s">
        <v>3099</v>
      </c>
      <c r="V3" s="3950"/>
      <c r="W3" s="3951"/>
      <c r="X3" s="3952" t="s">
        <v>3097</v>
      </c>
      <c r="Y3" s="3953"/>
      <c r="Z3" s="3954"/>
      <c r="AA3" s="3955" t="s">
        <v>3100</v>
      </c>
      <c r="AB3" s="3956"/>
      <c r="AC3" s="3957"/>
      <c r="AD3" s="3966" t="s">
        <v>3101</v>
      </c>
      <c r="AE3" s="3967"/>
      <c r="AF3" s="3966" t="s">
        <v>3102</v>
      </c>
      <c r="AG3" s="3967"/>
      <c r="AH3" s="3966" t="s">
        <v>3103</v>
      </c>
      <c r="AI3" s="3967"/>
      <c r="AJ3" s="3462"/>
      <c r="AK3" s="3463"/>
      <c r="AL3" s="3463"/>
      <c r="AM3" s="3464"/>
      <c r="AN3" s="3958" t="s">
        <v>2424</v>
      </c>
      <c r="AO3" s="3959"/>
      <c r="AP3" s="3959"/>
      <c r="AQ3" s="3959"/>
      <c r="AR3" s="3959"/>
      <c r="AS3" s="3960"/>
      <c r="AT3" s="3958" t="s">
        <v>2424</v>
      </c>
      <c r="AU3" s="3959"/>
      <c r="AV3" s="3959"/>
      <c r="AW3" s="3960"/>
      <c r="AX3" s="3465"/>
      <c r="BC3" s="3673"/>
      <c r="CB3" s="3672"/>
    </row>
    <row r="4" spans="1:80" ht="15.75" thickBot="1">
      <c r="A4" s="3466">
        <v>0.02</v>
      </c>
      <c r="B4" s="3459">
        <f>7.61%/0.75248</f>
        <v>0.10113225600680416</v>
      </c>
      <c r="C4" s="3467"/>
      <c r="D4" s="3961" t="s">
        <v>3097</v>
      </c>
      <c r="E4" s="3961" t="s">
        <v>3097</v>
      </c>
      <c r="F4" s="3961" t="s">
        <v>3097</v>
      </c>
      <c r="G4" s="3963" t="s">
        <v>3100</v>
      </c>
      <c r="H4" s="3964"/>
      <c r="I4" s="3964"/>
      <c r="J4" s="3963" t="s">
        <v>3101</v>
      </c>
      <c r="K4" s="3965"/>
      <c r="L4" s="3963" t="s">
        <v>3102</v>
      </c>
      <c r="M4" s="3965"/>
      <c r="N4" s="3963" t="s">
        <v>3103</v>
      </c>
      <c r="O4" s="3965"/>
      <c r="R4" s="2142"/>
      <c r="S4" s="3468" t="s">
        <v>3098</v>
      </c>
      <c r="T4" s="3469">
        <f>7.61%/0.75248</f>
        <v>0.10113225600680416</v>
      </c>
      <c r="U4" s="3470"/>
      <c r="V4" s="3471"/>
      <c r="W4" s="3472"/>
      <c r="X4" s="3473"/>
      <c r="Y4" s="3474"/>
      <c r="Z4" s="3475"/>
      <c r="AA4" s="3476" t="s">
        <v>2424</v>
      </c>
      <c r="AB4" s="3477" t="s">
        <v>2424</v>
      </c>
      <c r="AC4" s="3478" t="s">
        <v>2424</v>
      </c>
      <c r="AD4" s="3479" t="s">
        <v>2424</v>
      </c>
      <c r="AE4" s="3480" t="s">
        <v>2424</v>
      </c>
      <c r="AF4" s="3479" t="s">
        <v>128</v>
      </c>
      <c r="AG4" s="3480" t="s">
        <v>128</v>
      </c>
      <c r="AH4" s="3479" t="s">
        <v>128</v>
      </c>
      <c r="AI4" s="3480" t="s">
        <v>128</v>
      </c>
      <c r="AJ4" s="3481"/>
      <c r="AK4" s="3482"/>
      <c r="AL4" s="3482"/>
      <c r="AM4" s="3483"/>
      <c r="AN4" s="3970" t="s">
        <v>686</v>
      </c>
      <c r="AO4" s="3971"/>
      <c r="AP4" s="3971"/>
      <c r="AQ4" s="3971"/>
      <c r="AR4" s="3971"/>
      <c r="AS4" s="3972"/>
      <c r="AT4" s="3970" t="s">
        <v>3104</v>
      </c>
      <c r="AU4" s="3971"/>
      <c r="AV4" s="3971"/>
      <c r="AW4" s="3972"/>
      <c r="AX4" s="3484"/>
      <c r="BC4" s="3673"/>
      <c r="CB4" s="3672"/>
    </row>
    <row r="5" spans="1:80" ht="39" thickBot="1">
      <c r="A5" s="3973" t="s">
        <v>3105</v>
      </c>
      <c r="B5" s="3973"/>
      <c r="C5" s="3467"/>
      <c r="D5" s="3962"/>
      <c r="E5" s="3962"/>
      <c r="F5" s="3962"/>
      <c r="G5" s="3485" t="s">
        <v>2424</v>
      </c>
      <c r="H5" s="3485" t="s">
        <v>2424</v>
      </c>
      <c r="I5" s="3485" t="s">
        <v>2424</v>
      </c>
      <c r="J5" s="3486" t="s">
        <v>2424</v>
      </c>
      <c r="K5" s="3487" t="s">
        <v>2424</v>
      </c>
      <c r="L5" s="3486" t="s">
        <v>3106</v>
      </c>
      <c r="M5" s="3487" t="s">
        <v>3106</v>
      </c>
      <c r="N5" s="3486" t="s">
        <v>3106</v>
      </c>
      <c r="O5" s="3488" t="s">
        <v>3106</v>
      </c>
      <c r="R5" s="3489" t="s">
        <v>3107</v>
      </c>
      <c r="S5" s="3490" t="s">
        <v>3108</v>
      </c>
      <c r="T5" s="3491" t="s">
        <v>3109</v>
      </c>
      <c r="U5" s="3492">
        <v>2024</v>
      </c>
      <c r="V5" s="3493">
        <v>2025</v>
      </c>
      <c r="W5" s="3494">
        <v>2026</v>
      </c>
      <c r="X5" s="3495" t="s">
        <v>3110</v>
      </c>
      <c r="Y5" s="3496" t="s">
        <v>3111</v>
      </c>
      <c r="Z5" s="3497" t="s">
        <v>3112</v>
      </c>
      <c r="AA5" s="3498" t="s">
        <v>3113</v>
      </c>
      <c r="AB5" s="3499" t="s">
        <v>3114</v>
      </c>
      <c r="AC5" s="3500" t="s">
        <v>3115</v>
      </c>
      <c r="AD5" s="3501" t="s">
        <v>3116</v>
      </c>
      <c r="AE5" s="3502" t="s">
        <v>3117</v>
      </c>
      <c r="AF5" s="3501" t="s">
        <v>3113</v>
      </c>
      <c r="AG5" s="3502" t="s">
        <v>3114</v>
      </c>
      <c r="AH5" s="3503" t="s">
        <v>3116</v>
      </c>
      <c r="AI5" s="3504" t="s">
        <v>3117</v>
      </c>
      <c r="AJ5" s="3505" t="s">
        <v>3118</v>
      </c>
      <c r="AK5" s="3506" t="s">
        <v>3119</v>
      </c>
      <c r="AL5" s="3507" t="s">
        <v>937</v>
      </c>
      <c r="AM5" s="3508" t="s">
        <v>1121</v>
      </c>
      <c r="AN5" s="3509" t="s">
        <v>3120</v>
      </c>
      <c r="AO5" s="3510" t="s">
        <v>3121</v>
      </c>
      <c r="AP5" s="3510" t="s">
        <v>3122</v>
      </c>
      <c r="AQ5" s="3510" t="s">
        <v>3123</v>
      </c>
      <c r="AR5" s="3510" t="s">
        <v>3124</v>
      </c>
      <c r="AS5" s="3511" t="s">
        <v>3125</v>
      </c>
      <c r="AT5" s="3512" t="s">
        <v>3120</v>
      </c>
      <c r="AU5" s="3510" t="s">
        <v>3121</v>
      </c>
      <c r="AV5" s="3510" t="s">
        <v>3122</v>
      </c>
      <c r="AW5" s="3511" t="s">
        <v>3123</v>
      </c>
      <c r="AX5" s="3513" t="s">
        <v>3126</v>
      </c>
      <c r="AY5" s="3456" t="s">
        <v>3107</v>
      </c>
      <c r="BC5" s="3673"/>
      <c r="CB5" s="3672"/>
    </row>
    <row r="6" spans="1:80" ht="51">
      <c r="A6" s="3514">
        <v>2024</v>
      </c>
      <c r="B6" s="3514">
        <v>2025</v>
      </c>
      <c r="C6" s="3514">
        <v>2026</v>
      </c>
      <c r="D6" s="3515" t="s">
        <v>3127</v>
      </c>
      <c r="E6" s="3515" t="s">
        <v>3128</v>
      </c>
      <c r="F6" s="3515" t="s">
        <v>3129</v>
      </c>
      <c r="G6" s="3516" t="s">
        <v>3113</v>
      </c>
      <c r="H6" s="3516" t="s">
        <v>3114</v>
      </c>
      <c r="I6" s="3516" t="s">
        <v>3115</v>
      </c>
      <c r="J6" s="3517" t="s">
        <v>3116</v>
      </c>
      <c r="K6" s="3518" t="s">
        <v>3117</v>
      </c>
      <c r="L6" s="3517" t="s">
        <v>3113</v>
      </c>
      <c r="M6" s="3518" t="s">
        <v>3114</v>
      </c>
      <c r="N6" s="3519" t="s">
        <v>3116</v>
      </c>
      <c r="O6" s="3520" t="s">
        <v>3117</v>
      </c>
      <c r="R6" s="3521">
        <v>1</v>
      </c>
      <c r="S6" s="3522" t="s">
        <v>3130</v>
      </c>
      <c r="T6" s="3523" t="s">
        <v>3131</v>
      </c>
      <c r="U6" s="3524">
        <v>588220</v>
      </c>
      <c r="V6" s="3524">
        <v>0</v>
      </c>
      <c r="W6" s="3524">
        <v>0</v>
      </c>
      <c r="X6" s="3525">
        <f t="shared" ref="X6:Z9" si="0">U6*$T$4*$T$3</f>
        <v>1189.7603125664468</v>
      </c>
      <c r="Y6" s="3525">
        <f t="shared" si="0"/>
        <v>0</v>
      </c>
      <c r="Z6" s="3525">
        <f t="shared" si="0"/>
        <v>0</v>
      </c>
      <c r="AA6" s="3526"/>
      <c r="AB6" s="3526"/>
      <c r="AC6" s="3526"/>
      <c r="AD6" s="3527"/>
      <c r="AE6" s="3527"/>
      <c r="AF6" s="3527"/>
      <c r="AG6" s="3527"/>
      <c r="AH6" s="3527"/>
      <c r="AI6" s="3527"/>
      <c r="AJ6" s="3528"/>
      <c r="AK6" s="3528"/>
      <c r="AL6" s="3529" t="s">
        <v>3132</v>
      </c>
      <c r="AM6" s="3528" t="s">
        <v>3133</v>
      </c>
      <c r="AN6" s="3530">
        <f t="shared" ref="AN6:AN43" si="1">IF(AA6&gt;0,AA6*(VLOOKUP($AM6,$AG$129:$AI$137,2,FALSE)),IF($AM6=$AG$137,$AH$137,X6*(VLOOKUP($AM6,$AG$129:$AI$137,2,FALSE))))</f>
        <v>766.20564129279182</v>
      </c>
      <c r="AO6" s="3530">
        <f t="shared" ref="AO6:AO43" si="2">IF(AA6&gt;0,AA6*(VLOOKUP($AM6,$AG$129:$AI$137,3,FALSE)),IF($AM6=$AG$137,$AH$137,X6*(VLOOKUP($AM6,$AG$129:$AI$137,3,FALSE))))</f>
        <v>0</v>
      </c>
      <c r="AP6" s="3530">
        <f t="shared" ref="AP6:AP43" si="3">IF(AB6&gt;0,AB6*(VLOOKUP($AM6,$AG$129:$AI$137,2,FALSE)),IF($AM6=$AG$137,$AH$137,Y6*(VLOOKUP($AM6,$AG$129:$AI$137,2,FALSE))))</f>
        <v>0</v>
      </c>
      <c r="AQ6" s="3530">
        <f t="shared" ref="AQ6:AQ43" si="4">IF(AB6&gt;0,AB6*(VLOOKUP($AM6,$AG$129:$AI$137,3,FALSE)),IF($AM6=$AG$137,$AH$137,Y6*(VLOOKUP($AM6,$AG$129:$AI$137,3,FALSE))))</f>
        <v>0</v>
      </c>
      <c r="AR6" s="3530">
        <f t="shared" ref="AR6:AR43" si="5">IF(AC6&gt;0,AC6*(VLOOKUP($AM6,$AG$129:$AI$137,2,FALSE)),IF($AM6=$AG$137,$AH$137,Z6*(VLOOKUP($AM6,$AG$129:$AI$137,2,FALSE))))</f>
        <v>0</v>
      </c>
      <c r="AS6" s="3530">
        <f t="shared" ref="AS6:AS43" si="6">IF(AC6&gt;0,AC6*(VLOOKUP($AM6,$AG$129:$AI$137,3,FALSE)),IF($AM6=$AG$137,$AH$137,Z6*(VLOOKUP($AM6,$AG$129:$AI$137,3,FALSE))))</f>
        <v>0</v>
      </c>
      <c r="AT6" s="3530">
        <f t="shared" ref="AT6:AT29" si="7">IF($AM6=$AG$129,(AD6)*$AH$129,IF($AM6=$AG$130,(AD6)*$AH$130,IF($AM6=$AG$131,(AD6)*$AH$131,IF($AM6=$AG$134,(AD6)*$AH$134,IF($AM6=$AG$135,(AD6)*$AH$135,IF($AM6=$AG$136,(AD6)*$AH$136,IF(AM6=$AM$10,0,0)))))))</f>
        <v>0</v>
      </c>
      <c r="AU6" s="3530">
        <f t="shared" ref="AU6:AU29" si="8">IF($AM6=$AG$129,(AD6)*$AI$129,IF($AM6=$AG$130,(AD6)*$AI$130,IF($AM6=$AG$131,(AD6)*$AI$131,IF($AM6=$AG$134,(AD6)*$AI$134,IF($AM6=$AG$135,(AD6)*$AI$135,IF($AM6=$AG$136,(AD6)*$AI$136,IF(AM6=$AM$10,0,0)))))))</f>
        <v>0</v>
      </c>
      <c r="AV6" s="3530">
        <f t="shared" ref="AV6:AV29" si="9">IF($AM6=$AG$129,(AE6)*$AH$129,IF($AM6=$AG$130,(AE6)*$AH$130,IF($AM6=$AG$131,(AE6)*$AH$131,IF($AM6=$AG$134,(AE6)*$AH$134,IF($AM6=$AG$135,(AE6)*$AH$135,IF($AM6=$AG$136,(AE6)*$AH$136,IF(AM6=$AM$10,0,0)))))))</f>
        <v>0</v>
      </c>
      <c r="AW6" s="3530">
        <f t="shared" ref="AW6:AW29" si="10">IF($AM6=$AG$129,(AE6)*$AI$129,IF($AM6=$AG$130,(AE6)*$AI$130,IF($AM6=$AG$131,(AE6)*$AI$131,IF($AM6=$AG$134,(AE6)*$AI$134,IF($AM6=$AG$135,(AE6)*$AI$135,IF($AM6=$AG$136,(AE6)*$AI$136,IF(AM6=$AM$10,0,0)))))))</f>
        <v>0</v>
      </c>
      <c r="AX6" s="3531" t="s">
        <v>3134</v>
      </c>
      <c r="AY6" s="3532">
        <v>1</v>
      </c>
      <c r="AZ6" s="3532"/>
      <c r="BC6" s="3673"/>
      <c r="CB6" s="3672"/>
    </row>
    <row r="7" spans="1:80" ht="30.75" thickBot="1">
      <c r="A7" s="3533">
        <v>409247187.57142854</v>
      </c>
      <c r="B7" s="3533">
        <v>457512047</v>
      </c>
      <c r="C7" s="3533">
        <v>551511322</v>
      </c>
      <c r="D7" s="3974" t="s">
        <v>79</v>
      </c>
      <c r="E7" s="3974"/>
      <c r="F7" s="3974"/>
      <c r="G7" s="3974"/>
      <c r="H7" s="3974"/>
      <c r="I7" s="3974"/>
      <c r="J7" s="3534"/>
      <c r="K7" s="3535"/>
      <c r="L7" s="3534"/>
      <c r="M7" s="3535"/>
      <c r="N7" s="3534"/>
      <c r="R7" s="3521">
        <f t="shared" ref="R7:R70" si="11">R6+1</f>
        <v>2</v>
      </c>
      <c r="S7" s="3522" t="s">
        <v>3130</v>
      </c>
      <c r="T7" s="3523" t="s">
        <v>3135</v>
      </c>
      <c r="U7" s="3524">
        <v>461474</v>
      </c>
      <c r="V7" s="3524">
        <v>0</v>
      </c>
      <c r="W7" s="3524">
        <v>0</v>
      </c>
      <c r="X7" s="3525">
        <f t="shared" si="0"/>
        <v>933.39813416967888</v>
      </c>
      <c r="Y7" s="3525">
        <f t="shared" si="0"/>
        <v>0</v>
      </c>
      <c r="Z7" s="3525">
        <f t="shared" si="0"/>
        <v>0</v>
      </c>
      <c r="AA7" s="3526"/>
      <c r="AB7" s="3526"/>
      <c r="AC7" s="3526"/>
      <c r="AD7" s="3527"/>
      <c r="AE7" s="3527"/>
      <c r="AF7" s="3527"/>
      <c r="AG7" s="3527"/>
      <c r="AH7" s="3527"/>
      <c r="AI7" s="3527"/>
      <c r="AJ7" s="3528"/>
      <c r="AK7" s="3528"/>
      <c r="AL7" s="3529" t="s">
        <v>3132</v>
      </c>
      <c r="AM7" s="3528" t="s">
        <v>3133</v>
      </c>
      <c r="AN7" s="3530">
        <f t="shared" si="1"/>
        <v>601.10839840527319</v>
      </c>
      <c r="AO7" s="3530">
        <f t="shared" si="2"/>
        <v>0</v>
      </c>
      <c r="AP7" s="3530">
        <f t="shared" si="3"/>
        <v>0</v>
      </c>
      <c r="AQ7" s="3530">
        <f t="shared" si="4"/>
        <v>0</v>
      </c>
      <c r="AR7" s="3530">
        <f t="shared" si="5"/>
        <v>0</v>
      </c>
      <c r="AS7" s="3530">
        <f t="shared" si="6"/>
        <v>0</v>
      </c>
      <c r="AT7" s="3530">
        <f t="shared" si="7"/>
        <v>0</v>
      </c>
      <c r="AU7" s="3530">
        <f t="shared" si="8"/>
        <v>0</v>
      </c>
      <c r="AV7" s="3530">
        <f t="shared" si="9"/>
        <v>0</v>
      </c>
      <c r="AW7" s="3530">
        <f t="shared" si="10"/>
        <v>0</v>
      </c>
      <c r="AX7" s="3531" t="s">
        <v>3136</v>
      </c>
      <c r="AY7" s="3532">
        <f t="shared" ref="AY7:AY70" si="12">AY6+1</f>
        <v>2</v>
      </c>
      <c r="AZ7" s="3532"/>
      <c r="BC7" s="3673"/>
      <c r="CB7" s="3672"/>
    </row>
    <row r="8" spans="1:80" ht="15.75" thickTop="1">
      <c r="D8" s="3968" t="s">
        <v>3137</v>
      </c>
      <c r="E8" s="3968" t="s">
        <v>3138</v>
      </c>
      <c r="F8" s="3968" t="s">
        <v>3139</v>
      </c>
      <c r="G8" s="3536" t="s">
        <v>3140</v>
      </c>
      <c r="H8" s="3536" t="s">
        <v>3141</v>
      </c>
      <c r="I8" s="3537" t="s">
        <v>3142</v>
      </c>
      <c r="J8" s="3534"/>
      <c r="K8" s="3535"/>
      <c r="L8" s="3534"/>
      <c r="M8" s="3535"/>
      <c r="N8" s="3534"/>
      <c r="R8" s="3521">
        <f t="shared" si="11"/>
        <v>3</v>
      </c>
      <c r="S8" s="3522" t="s">
        <v>3130</v>
      </c>
      <c r="T8" s="3523" t="s">
        <v>3143</v>
      </c>
      <c r="U8" s="3524">
        <v>0</v>
      </c>
      <c r="V8" s="3524">
        <v>482311</v>
      </c>
      <c r="W8" s="3524">
        <v>0</v>
      </c>
      <c r="X8" s="3525">
        <f t="shared" si="0"/>
        <v>0</v>
      </c>
      <c r="Y8" s="3525">
        <f t="shared" si="0"/>
        <v>975.54399053795441</v>
      </c>
      <c r="Z8" s="3525">
        <f t="shared" si="0"/>
        <v>0</v>
      </c>
      <c r="AA8" s="3526"/>
      <c r="AB8" s="3526"/>
      <c r="AC8" s="3526"/>
      <c r="AD8" s="3527"/>
      <c r="AE8" s="3527"/>
      <c r="AF8" s="3527"/>
      <c r="AG8" s="3527"/>
      <c r="AH8" s="3527"/>
      <c r="AI8" s="3527"/>
      <c r="AJ8" s="3528"/>
      <c r="AK8" s="3528"/>
      <c r="AL8" s="3529" t="s">
        <v>3132</v>
      </c>
      <c r="AM8" s="3528" t="s">
        <v>3133</v>
      </c>
      <c r="AN8" s="3530">
        <f t="shared" si="1"/>
        <v>0</v>
      </c>
      <c r="AO8" s="3530">
        <f t="shared" si="2"/>
        <v>0</v>
      </c>
      <c r="AP8" s="3530">
        <f t="shared" si="3"/>
        <v>628.25032990644263</v>
      </c>
      <c r="AQ8" s="3530">
        <f t="shared" si="4"/>
        <v>0</v>
      </c>
      <c r="AR8" s="3530">
        <f t="shared" si="5"/>
        <v>0</v>
      </c>
      <c r="AS8" s="3530">
        <f t="shared" si="6"/>
        <v>0</v>
      </c>
      <c r="AT8" s="3530">
        <f t="shared" si="7"/>
        <v>0</v>
      </c>
      <c r="AU8" s="3530">
        <f t="shared" si="8"/>
        <v>0</v>
      </c>
      <c r="AV8" s="3530">
        <f t="shared" si="9"/>
        <v>0</v>
      </c>
      <c r="AW8" s="3530">
        <f t="shared" si="10"/>
        <v>0</v>
      </c>
      <c r="AX8" s="3531" t="s">
        <v>3134</v>
      </c>
      <c r="AY8" s="3532">
        <f t="shared" si="12"/>
        <v>3</v>
      </c>
      <c r="AZ8" s="3532"/>
      <c r="BC8" s="3673"/>
      <c r="CB8" s="3672"/>
    </row>
    <row r="9" spans="1:80" ht="75">
      <c r="D9" s="3969"/>
      <c r="E9" s="3969"/>
      <c r="F9" s="3969"/>
      <c r="G9" s="3516"/>
      <c r="H9" s="3516"/>
      <c r="I9" s="3516"/>
      <c r="J9" s="3534"/>
      <c r="K9" s="3535"/>
      <c r="L9" s="3534"/>
      <c r="M9" s="3535"/>
      <c r="N9" s="3534"/>
      <c r="R9" s="3521">
        <f t="shared" si="11"/>
        <v>4</v>
      </c>
      <c r="S9" s="3522" t="s">
        <v>3144</v>
      </c>
      <c r="T9" s="3523" t="s">
        <v>3145</v>
      </c>
      <c r="U9" s="3524">
        <v>799996</v>
      </c>
      <c r="V9" s="3524">
        <v>799998</v>
      </c>
      <c r="W9" s="3524">
        <v>800002</v>
      </c>
      <c r="X9" s="3525">
        <f t="shared" si="0"/>
        <v>1618.108005528386</v>
      </c>
      <c r="Y9" s="3525">
        <f t="shared" si="0"/>
        <v>1618.1120508186264</v>
      </c>
      <c r="Z9" s="3525">
        <f t="shared" si="0"/>
        <v>1618.1201413991071</v>
      </c>
      <c r="AA9" s="3538">
        <v>0</v>
      </c>
      <c r="AB9" s="3538">
        <v>0</v>
      </c>
      <c r="AC9" s="3538">
        <v>0</v>
      </c>
      <c r="AD9" s="3539">
        <v>1000000</v>
      </c>
      <c r="AE9" s="3539">
        <v>1000000</v>
      </c>
      <c r="AF9" s="3539">
        <v>0</v>
      </c>
      <c r="AG9" s="3539">
        <v>0</v>
      </c>
      <c r="AH9" s="3539">
        <v>0</v>
      </c>
      <c r="AI9" s="3539">
        <v>0</v>
      </c>
      <c r="AJ9" s="3540"/>
      <c r="AK9" s="3529"/>
      <c r="AL9" s="3529" t="s">
        <v>839</v>
      </c>
      <c r="AM9" s="3529" t="s">
        <v>839</v>
      </c>
      <c r="AN9" s="3530">
        <f t="shared" si="1"/>
        <v>759.46022474580491</v>
      </c>
      <c r="AO9" s="3530">
        <f t="shared" si="2"/>
        <v>240.40492253837564</v>
      </c>
      <c r="AP9" s="3530">
        <f t="shared" si="3"/>
        <v>759.4621234058601</v>
      </c>
      <c r="AQ9" s="3530">
        <f t="shared" si="4"/>
        <v>240.40552355368709</v>
      </c>
      <c r="AR9" s="3530">
        <f t="shared" si="5"/>
        <v>759.46592072597048</v>
      </c>
      <c r="AS9" s="3530">
        <f t="shared" si="6"/>
        <v>240.40672558430995</v>
      </c>
      <c r="AT9" s="3530">
        <f t="shared" si="7"/>
        <v>469350.76159999997</v>
      </c>
      <c r="AU9" s="3530">
        <f t="shared" si="8"/>
        <v>148571.61679999999</v>
      </c>
      <c r="AV9" s="3530">
        <f t="shared" si="9"/>
        <v>469350.76159999997</v>
      </c>
      <c r="AW9" s="3530">
        <f t="shared" si="10"/>
        <v>148571.61679999999</v>
      </c>
      <c r="AX9" s="3531" t="s">
        <v>3146</v>
      </c>
      <c r="AY9" s="3532">
        <f t="shared" si="12"/>
        <v>4</v>
      </c>
      <c r="AZ9" s="3532"/>
      <c r="BC9" s="3673"/>
      <c r="CB9" s="3672"/>
    </row>
    <row r="10" spans="1:80" ht="25.5">
      <c r="A10" s="3541"/>
      <c r="B10" s="3452" t="s">
        <v>3147</v>
      </c>
      <c r="C10" s="3542" t="s">
        <v>3148</v>
      </c>
      <c r="D10" s="3543">
        <v>541247.17354576103</v>
      </c>
      <c r="E10" s="3543">
        <v>650248.29056453321</v>
      </c>
      <c r="F10" s="3543">
        <v>811419.68647405924</v>
      </c>
      <c r="G10" s="3543">
        <v>609174</v>
      </c>
      <c r="H10" s="3543">
        <v>696605</v>
      </c>
      <c r="I10" s="3543">
        <v>1067991</v>
      </c>
      <c r="J10" s="3544">
        <v>158279926.33333334</v>
      </c>
      <c r="K10" s="3545">
        <v>160781859.33333334</v>
      </c>
      <c r="L10" s="3544">
        <v>3602994</v>
      </c>
      <c r="M10" s="3545">
        <v>979594</v>
      </c>
      <c r="N10" s="3544">
        <v>8881101</v>
      </c>
      <c r="O10" s="3546">
        <v>9246942</v>
      </c>
      <c r="R10" s="3521">
        <f t="shared" si="11"/>
        <v>5</v>
      </c>
      <c r="S10" s="3522" t="s">
        <v>3130</v>
      </c>
      <c r="T10" s="3523" t="s">
        <v>3149</v>
      </c>
      <c r="U10" s="3524">
        <v>600000</v>
      </c>
      <c r="V10" s="3524">
        <v>399879</v>
      </c>
      <c r="W10" s="3524">
        <v>72902</v>
      </c>
      <c r="X10" s="3547" t="s">
        <v>3150</v>
      </c>
      <c r="Y10" s="3547" t="s">
        <v>3150</v>
      </c>
      <c r="Z10" s="3547" t="s">
        <v>3150</v>
      </c>
      <c r="AA10" s="3538">
        <v>0</v>
      </c>
      <c r="AB10" s="3538">
        <v>0</v>
      </c>
      <c r="AC10" s="3538">
        <v>0</v>
      </c>
      <c r="AD10" s="3539">
        <v>0</v>
      </c>
      <c r="AE10" s="3539">
        <v>0</v>
      </c>
      <c r="AF10" s="3539">
        <v>0</v>
      </c>
      <c r="AG10" s="3539">
        <v>0</v>
      </c>
      <c r="AH10" s="3539">
        <v>0</v>
      </c>
      <c r="AI10" s="3539">
        <v>0</v>
      </c>
      <c r="AJ10" s="3540" t="s">
        <v>3151</v>
      </c>
      <c r="AK10" s="3529"/>
      <c r="AL10" s="3529" t="s">
        <v>3132</v>
      </c>
      <c r="AM10" s="3529" t="s">
        <v>3152</v>
      </c>
      <c r="AN10" s="3530">
        <f t="shared" si="1"/>
        <v>0</v>
      </c>
      <c r="AO10" s="3530">
        <f t="shared" si="2"/>
        <v>0</v>
      </c>
      <c r="AP10" s="3530">
        <f t="shared" si="3"/>
        <v>0</v>
      </c>
      <c r="AQ10" s="3530">
        <f t="shared" si="4"/>
        <v>0</v>
      </c>
      <c r="AR10" s="3530">
        <f t="shared" si="5"/>
        <v>0</v>
      </c>
      <c r="AS10" s="3530">
        <f t="shared" si="6"/>
        <v>0</v>
      </c>
      <c r="AT10" s="3530">
        <f t="shared" si="7"/>
        <v>0</v>
      </c>
      <c r="AU10" s="3530">
        <f t="shared" si="8"/>
        <v>0</v>
      </c>
      <c r="AV10" s="3530">
        <f t="shared" si="9"/>
        <v>0</v>
      </c>
      <c r="AW10" s="3530">
        <f t="shared" si="10"/>
        <v>0</v>
      </c>
      <c r="AX10" s="3531" t="s">
        <v>3134</v>
      </c>
      <c r="AY10" s="3532">
        <f t="shared" si="12"/>
        <v>5</v>
      </c>
      <c r="AZ10" s="3532"/>
      <c r="BC10" s="3673"/>
      <c r="CB10" s="3672"/>
    </row>
    <row r="11" spans="1:80">
      <c r="G11" s="3541"/>
      <c r="H11" s="3541"/>
      <c r="I11" s="3541"/>
      <c r="R11" s="3521">
        <f t="shared" si="11"/>
        <v>6</v>
      </c>
      <c r="S11" s="3522" t="s">
        <v>3130</v>
      </c>
      <c r="T11" s="3523" t="s">
        <v>3153</v>
      </c>
      <c r="U11" s="3524">
        <v>0</v>
      </c>
      <c r="V11" s="3524">
        <v>11259147</v>
      </c>
      <c r="W11" s="3524">
        <v>0</v>
      </c>
      <c r="X11" s="3525">
        <f t="shared" ref="X11:Z12" si="13">U11*$T$4*$T$3</f>
        <v>0</v>
      </c>
      <c r="Y11" s="3525">
        <f t="shared" si="13"/>
        <v>22773.258736444819</v>
      </c>
      <c r="Z11" s="3525">
        <f t="shared" si="13"/>
        <v>0</v>
      </c>
      <c r="AA11" s="3538">
        <v>0</v>
      </c>
      <c r="AB11" s="3538">
        <v>0</v>
      </c>
      <c r="AC11" s="3538">
        <v>0</v>
      </c>
      <c r="AD11" s="3539">
        <v>0</v>
      </c>
      <c r="AE11" s="3539">
        <v>0</v>
      </c>
      <c r="AF11" s="3539">
        <v>0</v>
      </c>
      <c r="AG11" s="3539">
        <v>0</v>
      </c>
      <c r="AH11" s="3539">
        <v>0</v>
      </c>
      <c r="AI11" s="3539">
        <v>0</v>
      </c>
      <c r="AJ11" s="3540"/>
      <c r="AK11" s="3529" t="s">
        <v>2863</v>
      </c>
      <c r="AL11" s="3529" t="s">
        <v>3132</v>
      </c>
      <c r="AM11" s="3529" t="s">
        <v>3133</v>
      </c>
      <c r="AN11" s="3530">
        <f t="shared" si="1"/>
        <v>0</v>
      </c>
      <c r="AO11" s="3530">
        <f t="shared" si="2"/>
        <v>0</v>
      </c>
      <c r="AP11" s="3530">
        <f t="shared" si="3"/>
        <v>14665.978626270464</v>
      </c>
      <c r="AQ11" s="3530">
        <f t="shared" si="4"/>
        <v>0</v>
      </c>
      <c r="AR11" s="3530">
        <f t="shared" si="5"/>
        <v>0</v>
      </c>
      <c r="AS11" s="3530">
        <f t="shared" si="6"/>
        <v>0</v>
      </c>
      <c r="AT11" s="3530">
        <f t="shared" si="7"/>
        <v>0</v>
      </c>
      <c r="AU11" s="3530">
        <f t="shared" si="8"/>
        <v>0</v>
      </c>
      <c r="AV11" s="3530">
        <f t="shared" si="9"/>
        <v>0</v>
      </c>
      <c r="AW11" s="3530">
        <f t="shared" si="10"/>
        <v>0</v>
      </c>
      <c r="AX11" s="3531" t="s">
        <v>3134</v>
      </c>
      <c r="AY11" s="3532">
        <f t="shared" si="12"/>
        <v>6</v>
      </c>
      <c r="AZ11" s="3532"/>
      <c r="BC11" s="3673"/>
      <c r="CB11" s="3672"/>
    </row>
    <row r="12" spans="1:80" ht="120.75" thickBot="1">
      <c r="A12" s="3975" t="s">
        <v>3154</v>
      </c>
      <c r="B12" s="3976"/>
      <c r="C12" s="3976"/>
      <c r="D12" s="3976"/>
      <c r="E12" s="3976"/>
      <c r="F12" s="3976"/>
      <c r="G12" s="3976"/>
      <c r="H12" s="3976"/>
      <c r="I12" s="3976"/>
      <c r="J12" s="3977"/>
      <c r="O12" s="3548"/>
      <c r="R12" s="3521">
        <f t="shared" si="11"/>
        <v>7</v>
      </c>
      <c r="S12" s="3522" t="s">
        <v>3155</v>
      </c>
      <c r="T12" s="3523" t="s">
        <v>3156</v>
      </c>
      <c r="U12" s="3524">
        <v>0</v>
      </c>
      <c r="V12" s="3549">
        <v>0</v>
      </c>
      <c r="W12" s="3524">
        <v>3499757</v>
      </c>
      <c r="X12" s="3525">
        <f t="shared" si="13"/>
        <v>0</v>
      </c>
      <c r="Y12" s="3525">
        <f t="shared" si="13"/>
        <v>0</v>
      </c>
      <c r="Z12" s="3525">
        <f t="shared" si="13"/>
        <v>7078.7664177120978</v>
      </c>
      <c r="AA12" s="3538">
        <v>0</v>
      </c>
      <c r="AB12" s="3538">
        <v>0</v>
      </c>
      <c r="AC12" s="3538">
        <v>0</v>
      </c>
      <c r="AD12" s="3539">
        <v>0</v>
      </c>
      <c r="AE12" s="3539">
        <v>0</v>
      </c>
      <c r="AF12" s="3539">
        <v>0</v>
      </c>
      <c r="AG12" s="3539">
        <v>0</v>
      </c>
      <c r="AH12" s="3539">
        <v>0</v>
      </c>
      <c r="AI12" s="3539">
        <v>0</v>
      </c>
      <c r="AJ12" s="3540"/>
      <c r="AK12" s="3529"/>
      <c r="AL12" s="3529" t="s">
        <v>839</v>
      </c>
      <c r="AM12" s="3529" t="s">
        <v>3152</v>
      </c>
      <c r="AN12" s="3530">
        <f t="shared" si="1"/>
        <v>0</v>
      </c>
      <c r="AO12" s="3530">
        <f t="shared" si="2"/>
        <v>0</v>
      </c>
      <c r="AP12" s="3530">
        <f t="shared" si="3"/>
        <v>0</v>
      </c>
      <c r="AQ12" s="3530">
        <f t="shared" si="4"/>
        <v>0</v>
      </c>
      <c r="AR12" s="3530">
        <f t="shared" si="5"/>
        <v>0</v>
      </c>
      <c r="AS12" s="3530">
        <f t="shared" si="6"/>
        <v>0</v>
      </c>
      <c r="AT12" s="3530">
        <f t="shared" si="7"/>
        <v>0</v>
      </c>
      <c r="AU12" s="3530">
        <f t="shared" si="8"/>
        <v>0</v>
      </c>
      <c r="AV12" s="3530">
        <f t="shared" si="9"/>
        <v>0</v>
      </c>
      <c r="AW12" s="3530">
        <f t="shared" si="10"/>
        <v>0</v>
      </c>
      <c r="AX12" s="3531" t="s">
        <v>3157</v>
      </c>
      <c r="AY12" s="3532">
        <f t="shared" si="12"/>
        <v>7</v>
      </c>
      <c r="AZ12" s="3532"/>
      <c r="BC12" s="3673"/>
      <c r="CB12" s="3672"/>
    </row>
    <row r="13" spans="1:80" ht="30">
      <c r="A13" s="3978" t="s">
        <v>686</v>
      </c>
      <c r="B13" s="3979"/>
      <c r="C13" s="3979"/>
      <c r="D13" s="3979"/>
      <c r="E13" s="3979"/>
      <c r="F13" s="3980"/>
      <c r="G13" s="3981" t="s">
        <v>3104</v>
      </c>
      <c r="H13" s="3982"/>
      <c r="I13" s="3982"/>
      <c r="J13" s="3983"/>
      <c r="O13" s="3548"/>
      <c r="R13" s="3521">
        <f t="shared" si="11"/>
        <v>8</v>
      </c>
      <c r="S13" s="3522" t="s">
        <v>3130</v>
      </c>
      <c r="T13" s="3523" t="s">
        <v>3158</v>
      </c>
      <c r="U13" s="3524">
        <v>3027380</v>
      </c>
      <c r="V13" s="3524">
        <v>2663700</v>
      </c>
      <c r="W13" s="3524">
        <v>3291708</v>
      </c>
      <c r="X13" s="3547" t="s">
        <v>3150</v>
      </c>
      <c r="Y13" s="3547" t="s">
        <v>3150</v>
      </c>
      <c r="Z13" s="3547" t="s">
        <v>3150</v>
      </c>
      <c r="AA13" s="3538">
        <v>0</v>
      </c>
      <c r="AB13" s="3538">
        <v>0</v>
      </c>
      <c r="AC13" s="3538">
        <v>0</v>
      </c>
      <c r="AD13" s="3539">
        <v>0</v>
      </c>
      <c r="AE13" s="3539">
        <v>0</v>
      </c>
      <c r="AF13" s="3539">
        <v>0</v>
      </c>
      <c r="AG13" s="3539">
        <v>0</v>
      </c>
      <c r="AH13" s="3539">
        <v>0</v>
      </c>
      <c r="AI13" s="3539">
        <v>0</v>
      </c>
      <c r="AJ13" s="3540" t="s">
        <v>3151</v>
      </c>
      <c r="AK13" s="3529"/>
      <c r="AL13" s="3529" t="s">
        <v>3132</v>
      </c>
      <c r="AM13" s="3529" t="s">
        <v>3152</v>
      </c>
      <c r="AN13" s="3530">
        <f t="shared" si="1"/>
        <v>0</v>
      </c>
      <c r="AO13" s="3530">
        <f t="shared" si="2"/>
        <v>0</v>
      </c>
      <c r="AP13" s="3530">
        <f t="shared" si="3"/>
        <v>0</v>
      </c>
      <c r="AQ13" s="3530">
        <f t="shared" si="4"/>
        <v>0</v>
      </c>
      <c r="AR13" s="3530">
        <f t="shared" si="5"/>
        <v>0</v>
      </c>
      <c r="AS13" s="3530">
        <f t="shared" si="6"/>
        <v>0</v>
      </c>
      <c r="AT13" s="3530">
        <f t="shared" si="7"/>
        <v>0</v>
      </c>
      <c r="AU13" s="3530">
        <f t="shared" si="8"/>
        <v>0</v>
      </c>
      <c r="AV13" s="3530">
        <f t="shared" si="9"/>
        <v>0</v>
      </c>
      <c r="AW13" s="3530">
        <f t="shared" si="10"/>
        <v>0</v>
      </c>
      <c r="AX13" s="3550" t="s">
        <v>3159</v>
      </c>
      <c r="AY13" s="3532">
        <f t="shared" si="12"/>
        <v>8</v>
      </c>
      <c r="AZ13" s="3532"/>
      <c r="BC13" s="3673"/>
      <c r="CB13" s="3672"/>
    </row>
    <row r="14" spans="1:80" ht="30.75" thickBot="1">
      <c r="A14" s="3551" t="s">
        <v>3120</v>
      </c>
      <c r="B14" s="3552" t="s">
        <v>3121</v>
      </c>
      <c r="C14" s="3553" t="s">
        <v>3122</v>
      </c>
      <c r="D14" s="3552" t="s">
        <v>3123</v>
      </c>
      <c r="E14" s="3553" t="s">
        <v>3124</v>
      </c>
      <c r="F14" s="3554" t="s">
        <v>3125</v>
      </c>
      <c r="G14" s="3555" t="s">
        <v>3122</v>
      </c>
      <c r="H14" s="3556" t="s">
        <v>3123</v>
      </c>
      <c r="I14" s="3553" t="s">
        <v>3124</v>
      </c>
      <c r="J14" s="3557" t="s">
        <v>3125</v>
      </c>
      <c r="K14" s="3558"/>
      <c r="O14" s="3548"/>
      <c r="R14" s="3521">
        <f t="shared" si="11"/>
        <v>9</v>
      </c>
      <c r="S14" s="3522" t="s">
        <v>3155</v>
      </c>
      <c r="T14" s="3523" t="s">
        <v>3160</v>
      </c>
      <c r="U14" s="3559">
        <v>650119</v>
      </c>
      <c r="V14" s="3559">
        <v>569999</v>
      </c>
      <c r="W14" s="3559">
        <v>99997</v>
      </c>
      <c r="X14" s="3547" t="s">
        <v>3150</v>
      </c>
      <c r="Y14" s="3547" t="s">
        <v>3150</v>
      </c>
      <c r="Z14" s="3547" t="s">
        <v>3150</v>
      </c>
      <c r="AA14" s="3538">
        <v>0</v>
      </c>
      <c r="AB14" s="3538">
        <v>0</v>
      </c>
      <c r="AC14" s="3538">
        <v>0</v>
      </c>
      <c r="AD14" s="3539">
        <v>0</v>
      </c>
      <c r="AE14" s="3539">
        <v>0</v>
      </c>
      <c r="AF14" s="3539">
        <v>0</v>
      </c>
      <c r="AG14" s="3539">
        <v>0</v>
      </c>
      <c r="AH14" s="3539">
        <v>0</v>
      </c>
      <c r="AI14" s="3539">
        <v>0</v>
      </c>
      <c r="AJ14" s="3560" t="s">
        <v>3161</v>
      </c>
      <c r="AK14" s="3561"/>
      <c r="AL14" s="3561" t="s">
        <v>3132</v>
      </c>
      <c r="AM14" s="3561" t="s">
        <v>3152</v>
      </c>
      <c r="AN14" s="3530">
        <f t="shared" si="1"/>
        <v>0</v>
      </c>
      <c r="AO14" s="3530">
        <f t="shared" si="2"/>
        <v>0</v>
      </c>
      <c r="AP14" s="3530">
        <f t="shared" si="3"/>
        <v>0</v>
      </c>
      <c r="AQ14" s="3530">
        <f t="shared" si="4"/>
        <v>0</v>
      </c>
      <c r="AR14" s="3530">
        <f t="shared" si="5"/>
        <v>0</v>
      </c>
      <c r="AS14" s="3530">
        <f t="shared" si="6"/>
        <v>0</v>
      </c>
      <c r="AT14" s="3562">
        <f t="shared" si="7"/>
        <v>0</v>
      </c>
      <c r="AU14" s="3562">
        <f t="shared" si="8"/>
        <v>0</v>
      </c>
      <c r="AV14" s="3562">
        <f t="shared" si="9"/>
        <v>0</v>
      </c>
      <c r="AW14" s="3562">
        <f t="shared" si="10"/>
        <v>0</v>
      </c>
      <c r="AX14" s="3531" t="s">
        <v>3162</v>
      </c>
      <c r="AY14" s="3532">
        <f t="shared" si="12"/>
        <v>9</v>
      </c>
      <c r="AZ14" s="3532"/>
      <c r="BC14" s="3673"/>
      <c r="CB14" s="3672"/>
    </row>
    <row r="15" spans="1:80" ht="25.5">
      <c r="A15" s="3563"/>
      <c r="C15" s="3564"/>
      <c r="E15" s="3564"/>
      <c r="F15" s="3565"/>
      <c r="G15" s="3563"/>
      <c r="I15" s="3564"/>
      <c r="J15" s="3566"/>
      <c r="N15" s="3567"/>
      <c r="O15" s="3548"/>
      <c r="R15" s="3521">
        <f t="shared" si="11"/>
        <v>10</v>
      </c>
      <c r="S15" s="3522" t="s">
        <v>3144</v>
      </c>
      <c r="T15" s="3523" t="s">
        <v>3163</v>
      </c>
      <c r="U15" s="3524">
        <v>1516187</v>
      </c>
      <c r="V15" s="3524">
        <v>941295</v>
      </c>
      <c r="W15" s="3524">
        <v>2647447</v>
      </c>
      <c r="X15" s="3525">
        <f t="shared" ref="X15:Z25" si="14">U15*$T$4*$T$3</f>
        <v>3066.7082367637677</v>
      </c>
      <c r="Y15" s="3525">
        <f t="shared" si="14"/>
        <v>1903.9057383584945</v>
      </c>
      <c r="Z15" s="3525">
        <f t="shared" si="14"/>
        <v>5354.8457553689141</v>
      </c>
      <c r="AA15" s="3538">
        <v>0</v>
      </c>
      <c r="AB15" s="3538">
        <v>0</v>
      </c>
      <c r="AC15" s="3538">
        <v>0</v>
      </c>
      <c r="AD15" s="3539">
        <v>0</v>
      </c>
      <c r="AE15" s="3539">
        <v>0</v>
      </c>
      <c r="AF15" s="3539">
        <v>0</v>
      </c>
      <c r="AG15" s="3539">
        <v>0</v>
      </c>
      <c r="AH15" s="3539">
        <v>0</v>
      </c>
      <c r="AI15" s="3539">
        <v>0</v>
      </c>
      <c r="AJ15" s="3540" t="s">
        <v>3164</v>
      </c>
      <c r="AK15" s="3529"/>
      <c r="AL15" s="3529" t="s">
        <v>839</v>
      </c>
      <c r="AM15" s="3529" t="s">
        <v>839</v>
      </c>
      <c r="AN15" s="3530">
        <f t="shared" si="1"/>
        <v>1439.3618465300674</v>
      </c>
      <c r="AO15" s="3530">
        <f t="shared" si="2"/>
        <v>455.62580098987019</v>
      </c>
      <c r="AP15" s="3530">
        <f t="shared" si="3"/>
        <v>893.5996083131696</v>
      </c>
      <c r="AQ15" s="3530">
        <f t="shared" si="4"/>
        <v>282.86635378271933</v>
      </c>
      <c r="AR15" s="3530">
        <f t="shared" si="5"/>
        <v>2513.3009335329266</v>
      </c>
      <c r="AS15" s="3530">
        <f t="shared" si="6"/>
        <v>795.57809158977682</v>
      </c>
      <c r="AT15" s="3530">
        <f t="shared" si="7"/>
        <v>0</v>
      </c>
      <c r="AU15" s="3530">
        <f t="shared" si="8"/>
        <v>0</v>
      </c>
      <c r="AV15" s="3530">
        <f t="shared" si="9"/>
        <v>0</v>
      </c>
      <c r="AW15" s="3530">
        <f t="shared" si="10"/>
        <v>0</v>
      </c>
      <c r="AX15" s="3531" t="s">
        <v>3134</v>
      </c>
      <c r="AY15" s="3532">
        <f t="shared" si="12"/>
        <v>10</v>
      </c>
      <c r="AZ15" s="3532"/>
      <c r="BC15" s="3701">
        <v>1</v>
      </c>
      <c r="BD15" s="3700" t="s">
        <v>3185</v>
      </c>
      <c r="BE15" s="3720"/>
      <c r="BF15" s="3699"/>
      <c r="BG15" s="3699"/>
      <c r="BH15" s="3699"/>
      <c r="BI15" s="3699"/>
      <c r="BJ15" s="3699"/>
      <c r="BK15" s="3699"/>
      <c r="BL15" s="3699"/>
      <c r="BM15" s="3699"/>
      <c r="BN15" s="3699"/>
      <c r="BO15" s="3699"/>
      <c r="BP15" s="3699"/>
      <c r="BQ15" s="3699"/>
      <c r="BR15" s="3699"/>
      <c r="BS15" s="3699"/>
      <c r="BT15" s="3699"/>
      <c r="BU15" s="3699"/>
      <c r="BV15" s="3699"/>
      <c r="BW15" s="3699"/>
      <c r="BX15" s="3699"/>
      <c r="BY15" s="3699"/>
      <c r="BZ15" s="3699"/>
      <c r="CA15" s="3699"/>
      <c r="CB15" s="3706"/>
    </row>
    <row r="16" spans="1:80" ht="60">
      <c r="A16" s="3563"/>
      <c r="C16" s="3564"/>
      <c r="E16" s="3564"/>
      <c r="F16" s="3565"/>
      <c r="G16" s="3563"/>
      <c r="I16" s="3564"/>
      <c r="J16" s="3566"/>
      <c r="R16" s="3521">
        <f t="shared" si="11"/>
        <v>11</v>
      </c>
      <c r="S16" s="3522" t="s">
        <v>3165</v>
      </c>
      <c r="T16" s="3523" t="s">
        <v>3166</v>
      </c>
      <c r="U16" s="3524">
        <v>5013000</v>
      </c>
      <c r="V16" s="3524">
        <v>4775000</v>
      </c>
      <c r="W16" s="3524">
        <v>4375000</v>
      </c>
      <c r="X16" s="3525">
        <f t="shared" si="14"/>
        <v>10139.519987242185</v>
      </c>
      <c r="Y16" s="3525">
        <f t="shared" si="14"/>
        <v>9658.1304486497975</v>
      </c>
      <c r="Z16" s="3525">
        <f t="shared" si="14"/>
        <v>8849.0724005953653</v>
      </c>
      <c r="AA16" s="3538">
        <v>0</v>
      </c>
      <c r="AB16" s="3538">
        <v>0</v>
      </c>
      <c r="AC16" s="3538">
        <v>0</v>
      </c>
      <c r="AD16" s="3539">
        <v>1007949</v>
      </c>
      <c r="AE16" s="3539">
        <v>1007949</v>
      </c>
      <c r="AF16" s="3539">
        <v>0</v>
      </c>
      <c r="AG16" s="3539">
        <v>0</v>
      </c>
      <c r="AH16" s="3539">
        <v>0</v>
      </c>
      <c r="AI16" s="3539">
        <v>0</v>
      </c>
      <c r="AJ16" s="3540"/>
      <c r="AK16" s="3529" t="s">
        <v>3167</v>
      </c>
      <c r="AL16" s="3529" t="s">
        <v>839</v>
      </c>
      <c r="AM16" s="3529" t="s">
        <v>839</v>
      </c>
      <c r="AN16" s="3530">
        <f t="shared" si="1"/>
        <v>4758.9914282705413</v>
      </c>
      <c r="AO16" s="3530">
        <f t="shared" si="2"/>
        <v>1506.4448780804869</v>
      </c>
      <c r="AP16" s="3530">
        <f t="shared" si="3"/>
        <v>4533.0508817059317</v>
      </c>
      <c r="AQ16" s="3530">
        <f t="shared" si="4"/>
        <v>1434.9240560212097</v>
      </c>
      <c r="AR16" s="3530">
        <f t="shared" si="5"/>
        <v>4153.3188706729743</v>
      </c>
      <c r="AS16" s="3530">
        <f t="shared" si="6"/>
        <v>1314.7209937367106</v>
      </c>
      <c r="AT16" s="3530">
        <f t="shared" si="7"/>
        <v>473081.63080395834</v>
      </c>
      <c r="AU16" s="3530">
        <f t="shared" si="8"/>
        <v>149752.61258194319</v>
      </c>
      <c r="AV16" s="3530">
        <f t="shared" si="9"/>
        <v>473081.63080395834</v>
      </c>
      <c r="AW16" s="3530">
        <f t="shared" si="10"/>
        <v>149752.61258194319</v>
      </c>
      <c r="AX16" s="3531" t="s">
        <v>3168</v>
      </c>
      <c r="AY16" s="3532">
        <f t="shared" si="12"/>
        <v>11</v>
      </c>
      <c r="AZ16" s="3532"/>
      <c r="BC16" s="3719"/>
      <c r="BD16" s="3718" t="s">
        <v>3192</v>
      </c>
      <c r="BE16" s="3718" t="s">
        <v>3193</v>
      </c>
      <c r="BG16" s="3679"/>
      <c r="CB16" s="3690"/>
    </row>
    <row r="17" spans="1:80" ht="60.75" thickBot="1">
      <c r="A17" s="3568">
        <v>559337.92574495065</v>
      </c>
      <c r="B17" s="3569">
        <v>186710.32165398271</v>
      </c>
      <c r="C17" s="3570">
        <v>714945.78031786077</v>
      </c>
      <c r="D17" s="3569">
        <v>183992.89129313678</v>
      </c>
      <c r="E17" s="3570">
        <v>945719.19548597082</v>
      </c>
      <c r="F17" s="3571">
        <v>217764.76932557541</v>
      </c>
      <c r="G17" s="3572">
        <v>88574486.149120972</v>
      </c>
      <c r="H17" s="3573">
        <v>14949847.837270435</v>
      </c>
      <c r="I17" s="3574">
        <v>88550559.012291655</v>
      </c>
      <c r="J17" s="3575">
        <v>14604625.363600751</v>
      </c>
      <c r="R17" s="3521">
        <f t="shared" si="11"/>
        <v>12</v>
      </c>
      <c r="S17" s="3522" t="s">
        <v>3165</v>
      </c>
      <c r="T17" s="3523" t="s">
        <v>3169</v>
      </c>
      <c r="U17" s="3524">
        <v>4596642</v>
      </c>
      <c r="V17" s="3524">
        <v>4175000</v>
      </c>
      <c r="W17" s="3524">
        <v>4375000</v>
      </c>
      <c r="X17" s="3525">
        <f t="shared" si="14"/>
        <v>9297.3755103125659</v>
      </c>
      <c r="Y17" s="3525">
        <f t="shared" si="14"/>
        <v>8444.5433765681482</v>
      </c>
      <c r="Z17" s="3525">
        <f t="shared" si="14"/>
        <v>8849.0724005953653</v>
      </c>
      <c r="AA17" s="3538">
        <v>0</v>
      </c>
      <c r="AB17" s="3538">
        <v>0</v>
      </c>
      <c r="AC17" s="3538">
        <v>0</v>
      </c>
      <c r="AD17" s="3539">
        <v>7700000</v>
      </c>
      <c r="AE17" s="3539">
        <v>7800000</v>
      </c>
      <c r="AF17" s="3539">
        <v>0</v>
      </c>
      <c r="AG17" s="3539">
        <v>0</v>
      </c>
      <c r="AH17" s="3539">
        <v>0</v>
      </c>
      <c r="AI17" s="3539">
        <v>0</v>
      </c>
      <c r="AJ17" s="3540"/>
      <c r="AK17" s="3529" t="s">
        <v>3167</v>
      </c>
      <c r="AL17" s="3529" t="s">
        <v>839</v>
      </c>
      <c r="AM17" s="3529" t="s">
        <v>839</v>
      </c>
      <c r="AN17" s="3530">
        <f t="shared" si="1"/>
        <v>4363.7302766463908</v>
      </c>
      <c r="AO17" s="3530">
        <f t="shared" si="2"/>
        <v>1381.3261115638629</v>
      </c>
      <c r="AP17" s="3530">
        <f t="shared" si="3"/>
        <v>3963.4528651564956</v>
      </c>
      <c r="AQ17" s="3530">
        <f t="shared" si="4"/>
        <v>1254.6194625944611</v>
      </c>
      <c r="AR17" s="3530">
        <f t="shared" si="5"/>
        <v>4153.3188706729743</v>
      </c>
      <c r="AS17" s="3530">
        <f t="shared" si="6"/>
        <v>1314.7209937367106</v>
      </c>
      <c r="AT17" s="3530">
        <f t="shared" si="7"/>
        <v>3614000.8643199997</v>
      </c>
      <c r="AU17" s="3530">
        <f t="shared" si="8"/>
        <v>1144001.44936</v>
      </c>
      <c r="AV17" s="3530">
        <f t="shared" si="9"/>
        <v>3660935.9404799994</v>
      </c>
      <c r="AW17" s="3530">
        <f t="shared" si="10"/>
        <v>1158858.6110400001</v>
      </c>
      <c r="AX17" s="3531" t="s">
        <v>3170</v>
      </c>
      <c r="AY17" s="3532">
        <f t="shared" si="12"/>
        <v>12</v>
      </c>
      <c r="AZ17" s="3532"/>
      <c r="BC17" s="3673"/>
      <c r="BD17" s="3668">
        <v>101</v>
      </c>
      <c r="BE17" s="3712">
        <v>172723</v>
      </c>
      <c r="CB17" s="3690"/>
    </row>
    <row r="18" spans="1:80" ht="25.5">
      <c r="A18" s="3576" t="s">
        <v>3171</v>
      </c>
      <c r="B18" s="3577" t="s">
        <v>3172</v>
      </c>
      <c r="C18" s="3576" t="s">
        <v>3173</v>
      </c>
      <c r="D18" s="3577" t="s">
        <v>3174</v>
      </c>
      <c r="E18" s="3576" t="s">
        <v>3175</v>
      </c>
      <c r="F18" s="3577" t="s">
        <v>3176</v>
      </c>
      <c r="G18" s="3578" t="s">
        <v>3177</v>
      </c>
      <c r="H18" s="3578" t="s">
        <v>3178</v>
      </c>
      <c r="I18" s="3578" t="s">
        <v>3179</v>
      </c>
      <c r="J18" s="3578" t="s">
        <v>3180</v>
      </c>
      <c r="R18" s="3521">
        <f t="shared" si="11"/>
        <v>13</v>
      </c>
      <c r="S18" s="3522" t="s">
        <v>3165</v>
      </c>
      <c r="T18" s="3523" t="s">
        <v>3181</v>
      </c>
      <c r="U18" s="3524">
        <v>4492738</v>
      </c>
      <c r="V18" s="3524">
        <v>3550000</v>
      </c>
      <c r="W18" s="3524">
        <v>3750000</v>
      </c>
      <c r="X18" s="3525">
        <f t="shared" si="14"/>
        <v>9087.2145917499456</v>
      </c>
      <c r="Y18" s="3525">
        <f t="shared" si="14"/>
        <v>7180.3901764830953</v>
      </c>
      <c r="Z18" s="3525">
        <f t="shared" si="14"/>
        <v>7584.9192005103114</v>
      </c>
      <c r="AA18" s="3538">
        <v>0</v>
      </c>
      <c r="AB18" s="3538">
        <v>0</v>
      </c>
      <c r="AC18" s="3538">
        <v>0</v>
      </c>
      <c r="AD18" s="3539">
        <v>0</v>
      </c>
      <c r="AE18" s="3539">
        <v>0</v>
      </c>
      <c r="AF18" s="3539">
        <v>0</v>
      </c>
      <c r="AG18" s="3539">
        <v>0</v>
      </c>
      <c r="AH18" s="3539">
        <v>0</v>
      </c>
      <c r="AI18" s="3539">
        <v>0</v>
      </c>
      <c r="AJ18" s="3540" t="s">
        <v>3161</v>
      </c>
      <c r="AK18" s="3529"/>
      <c r="AL18" s="3529" t="s">
        <v>839</v>
      </c>
      <c r="AM18" s="3529" t="s">
        <v>839</v>
      </c>
      <c r="AN18" s="3530">
        <f t="shared" si="1"/>
        <v>4265.0910894604694</v>
      </c>
      <c r="AO18" s="3530">
        <f t="shared" si="2"/>
        <v>1350.1021641048414</v>
      </c>
      <c r="AP18" s="3530">
        <f t="shared" si="3"/>
        <v>3370.1215979174985</v>
      </c>
      <c r="AQ18" s="3530">
        <f t="shared" si="4"/>
        <v>1066.8021777749309</v>
      </c>
      <c r="AR18" s="3530">
        <f t="shared" si="5"/>
        <v>3559.9876034339773</v>
      </c>
      <c r="AS18" s="3530">
        <f t="shared" si="6"/>
        <v>1126.9037089171804</v>
      </c>
      <c r="AT18" s="3530">
        <f t="shared" si="7"/>
        <v>0</v>
      </c>
      <c r="AU18" s="3530">
        <f t="shared" si="8"/>
        <v>0</v>
      </c>
      <c r="AV18" s="3530">
        <f t="shared" si="9"/>
        <v>0</v>
      </c>
      <c r="AW18" s="3530">
        <f t="shared" si="10"/>
        <v>0</v>
      </c>
      <c r="AX18" s="3531" t="s">
        <v>3182</v>
      </c>
      <c r="AY18" s="3532">
        <f t="shared" si="12"/>
        <v>13</v>
      </c>
      <c r="AZ18" s="3532"/>
      <c r="BC18" s="3673"/>
      <c r="BD18" s="3668">
        <v>102</v>
      </c>
      <c r="BE18" s="3712">
        <v>597</v>
      </c>
      <c r="CB18" s="3690"/>
    </row>
    <row r="19" spans="1:80" ht="120.75" thickBot="1">
      <c r="A19" s="3579"/>
      <c r="B19" s="3579"/>
      <c r="C19" s="3579"/>
      <c r="D19" s="3579"/>
      <c r="E19" s="3579"/>
      <c r="F19" s="3579"/>
      <c r="G19" s="3580"/>
      <c r="I19" s="3580"/>
      <c r="J19" s="3581"/>
      <c r="R19" s="3521">
        <f t="shared" si="11"/>
        <v>14</v>
      </c>
      <c r="S19" s="3522" t="s">
        <v>3144</v>
      </c>
      <c r="T19" s="3523" t="s">
        <v>3183</v>
      </c>
      <c r="U19" s="3524">
        <v>4159903</v>
      </c>
      <c r="V19" s="3524">
        <v>2299701</v>
      </c>
      <c r="W19" s="3524">
        <v>3853902</v>
      </c>
      <c r="X19" s="3525">
        <f t="shared" si="14"/>
        <v>8414.0075031894521</v>
      </c>
      <c r="Y19" s="3525">
        <f t="shared" si="14"/>
        <v>4651.4790054220712</v>
      </c>
      <c r="Z19" s="3525">
        <f t="shared" si="14"/>
        <v>7795.0760737826913</v>
      </c>
      <c r="AA19" s="3538">
        <v>152000</v>
      </c>
      <c r="AB19" s="3538">
        <v>152000</v>
      </c>
      <c r="AC19" s="3538">
        <v>350000</v>
      </c>
      <c r="AD19" s="3539">
        <v>50000</v>
      </c>
      <c r="AE19" s="3539">
        <v>50000</v>
      </c>
      <c r="AF19" s="3539">
        <v>2674000</v>
      </c>
      <c r="AG19" s="3539">
        <v>0</v>
      </c>
      <c r="AH19" s="3539">
        <v>0</v>
      </c>
      <c r="AI19" s="3539">
        <v>0</v>
      </c>
      <c r="AJ19" s="3540"/>
      <c r="AK19" s="3529"/>
      <c r="AL19" s="3529" t="s">
        <v>839</v>
      </c>
      <c r="AM19" s="3529" t="s">
        <v>839</v>
      </c>
      <c r="AN19" s="3530">
        <f t="shared" si="1"/>
        <v>71341.315763199993</v>
      </c>
      <c r="AO19" s="3530">
        <f t="shared" si="2"/>
        <v>22582.8857536</v>
      </c>
      <c r="AP19" s="3530">
        <f t="shared" si="3"/>
        <v>71341.315763199993</v>
      </c>
      <c r="AQ19" s="3530">
        <f t="shared" si="4"/>
        <v>22582.8857536</v>
      </c>
      <c r="AR19" s="3530">
        <f t="shared" si="5"/>
        <v>164272.76655999999</v>
      </c>
      <c r="AS19" s="3530">
        <f t="shared" si="6"/>
        <v>52000.065880000002</v>
      </c>
      <c r="AT19" s="3530">
        <f t="shared" si="7"/>
        <v>23467.538079999998</v>
      </c>
      <c r="AU19" s="3530">
        <f t="shared" si="8"/>
        <v>7428.5808399999996</v>
      </c>
      <c r="AV19" s="3530">
        <f t="shared" si="9"/>
        <v>23467.538079999998</v>
      </c>
      <c r="AW19" s="3530">
        <f t="shared" si="10"/>
        <v>7428.5808399999996</v>
      </c>
      <c r="AX19" s="3531" t="s">
        <v>3184</v>
      </c>
      <c r="AY19" s="3532">
        <f t="shared" si="12"/>
        <v>14</v>
      </c>
      <c r="AZ19" s="3532"/>
      <c r="BC19" s="3673"/>
      <c r="BD19" s="3668">
        <v>111</v>
      </c>
      <c r="BE19" s="3712">
        <v>3551</v>
      </c>
      <c r="CB19" s="3690"/>
    </row>
    <row r="20" spans="1:80" ht="105">
      <c r="B20" s="3582" t="s">
        <v>3186</v>
      </c>
      <c r="C20" s="3583" t="s">
        <v>3187</v>
      </c>
      <c r="E20" s="3582" t="s">
        <v>3188</v>
      </c>
      <c r="F20" s="3583" t="s">
        <v>3189</v>
      </c>
      <c r="R20" s="3521">
        <f t="shared" si="11"/>
        <v>15</v>
      </c>
      <c r="S20" s="3522" t="s">
        <v>3144</v>
      </c>
      <c r="T20" s="3523" t="s">
        <v>3190</v>
      </c>
      <c r="U20" s="3524">
        <v>2064528</v>
      </c>
      <c r="V20" s="3524">
        <v>2606425</v>
      </c>
      <c r="W20" s="3524">
        <v>4284116</v>
      </c>
      <c r="X20" s="3525">
        <f t="shared" si="14"/>
        <v>4175.8074845843075</v>
      </c>
      <c r="Y20" s="3525">
        <f t="shared" si="14"/>
        <v>5271.872807250691</v>
      </c>
      <c r="Z20" s="3525">
        <f t="shared" si="14"/>
        <v>8665.2463214969157</v>
      </c>
      <c r="AA20" s="3538">
        <v>0</v>
      </c>
      <c r="AB20" s="3538">
        <v>0</v>
      </c>
      <c r="AC20" s="3538">
        <v>0</v>
      </c>
      <c r="AD20" s="3539">
        <f>10000000*0.4/3</f>
        <v>1333333.3333333333</v>
      </c>
      <c r="AE20" s="3539">
        <f>10000000*0.4/3</f>
        <v>1333333.3333333333</v>
      </c>
      <c r="AF20" s="3539">
        <v>0</v>
      </c>
      <c r="AG20" s="3539">
        <v>0</v>
      </c>
      <c r="AH20" s="3539">
        <v>0</v>
      </c>
      <c r="AI20" s="3539">
        <v>0</v>
      </c>
      <c r="AJ20" s="3540" t="s">
        <v>3164</v>
      </c>
      <c r="AK20" s="3529"/>
      <c r="AL20" s="3529" t="s">
        <v>839</v>
      </c>
      <c r="AM20" s="3529" t="s">
        <v>839</v>
      </c>
      <c r="AN20" s="3530">
        <f t="shared" si="1"/>
        <v>1959.9184231846248</v>
      </c>
      <c r="AO20" s="3530">
        <f t="shared" si="2"/>
        <v>620.4064694302316</v>
      </c>
      <c r="AP20" s="3530">
        <f t="shared" si="3"/>
        <v>2474.3575171414413</v>
      </c>
      <c r="AQ20" s="3530">
        <f t="shared" si="4"/>
        <v>783.25066653718989</v>
      </c>
      <c r="AR20" s="3530">
        <f t="shared" si="5"/>
        <v>4067.0399604461754</v>
      </c>
      <c r="AS20" s="3530">
        <f t="shared" si="6"/>
        <v>1287.4096559550494</v>
      </c>
      <c r="AT20" s="3530">
        <f t="shared" si="7"/>
        <v>625801.01546666655</v>
      </c>
      <c r="AU20" s="3530">
        <f t="shared" si="8"/>
        <v>198095.48906666666</v>
      </c>
      <c r="AV20" s="3530">
        <f t="shared" si="9"/>
        <v>625801.01546666655</v>
      </c>
      <c r="AW20" s="3530">
        <f t="shared" si="10"/>
        <v>198095.48906666666</v>
      </c>
      <c r="AX20" s="3531" t="s">
        <v>3191</v>
      </c>
      <c r="AY20" s="3532">
        <f t="shared" si="12"/>
        <v>15</v>
      </c>
      <c r="AZ20" s="3532"/>
      <c r="BC20" s="3673"/>
      <c r="BD20" s="3668">
        <v>112</v>
      </c>
      <c r="BE20" s="3712">
        <v>4</v>
      </c>
      <c r="CB20" s="3690"/>
    </row>
    <row r="21" spans="1:80" ht="105.75" thickBot="1">
      <c r="B21" s="3584">
        <f>A17+(C17/2)</f>
        <v>916810.8159038811</v>
      </c>
      <c r="C21" s="3585">
        <f>B17+(D17/2)</f>
        <v>278706.76730055112</v>
      </c>
      <c r="E21" s="3584">
        <f>(C17/2)+(E17/2)</f>
        <v>830332.4879019158</v>
      </c>
      <c r="F21" s="3585">
        <f>(D17/2)+(F17/2)</f>
        <v>200878.8303093561</v>
      </c>
      <c r="R21" s="3521">
        <f t="shared" si="11"/>
        <v>16</v>
      </c>
      <c r="S21" s="3522" t="s">
        <v>3155</v>
      </c>
      <c r="T21" s="3523" t="s">
        <v>3194</v>
      </c>
      <c r="U21" s="3524">
        <v>987476</v>
      </c>
      <c r="V21" s="3524">
        <v>979842</v>
      </c>
      <c r="W21" s="3524">
        <v>911763</v>
      </c>
      <c r="X21" s="3525">
        <f t="shared" si="14"/>
        <v>1997.313512651499</v>
      </c>
      <c r="Y21" s="3525">
        <f t="shared" si="14"/>
        <v>1981.87263980438</v>
      </c>
      <c r="Z21" s="3525">
        <f t="shared" si="14"/>
        <v>1844.1729826706357</v>
      </c>
      <c r="AA21" s="3538">
        <v>0</v>
      </c>
      <c r="AB21" s="3538">
        <v>165900</v>
      </c>
      <c r="AC21" s="3538">
        <v>267700</v>
      </c>
      <c r="AD21" s="3539">
        <v>0</v>
      </c>
      <c r="AE21" s="3539">
        <v>0</v>
      </c>
      <c r="AF21" s="3539">
        <v>0</v>
      </c>
      <c r="AG21" s="3539">
        <v>0</v>
      </c>
      <c r="AH21" s="3539">
        <v>483800</v>
      </c>
      <c r="AI21" s="3539">
        <v>209800</v>
      </c>
      <c r="AJ21" s="3540"/>
      <c r="AK21" s="3529" t="s">
        <v>3167</v>
      </c>
      <c r="AL21" s="3529" t="s">
        <v>3132</v>
      </c>
      <c r="AM21" s="3529" t="s">
        <v>3195</v>
      </c>
      <c r="AN21" s="3530">
        <f t="shared" si="1"/>
        <v>1337.0615847742929</v>
      </c>
      <c r="AO21" s="3530">
        <f t="shared" si="2"/>
        <v>0</v>
      </c>
      <c r="AP21" s="3530">
        <f t="shared" si="3"/>
        <v>111058.43699999999</v>
      </c>
      <c r="AQ21" s="3530">
        <f t="shared" si="4"/>
        <v>0</v>
      </c>
      <c r="AR21" s="3530">
        <f t="shared" si="5"/>
        <v>179206.41099999999</v>
      </c>
      <c r="AS21" s="3530">
        <f t="shared" si="6"/>
        <v>0</v>
      </c>
      <c r="AT21" s="3530">
        <f t="shared" si="7"/>
        <v>0</v>
      </c>
      <c r="AU21" s="3530">
        <f t="shared" si="8"/>
        <v>0</v>
      </c>
      <c r="AV21" s="3530">
        <f t="shared" si="9"/>
        <v>0</v>
      </c>
      <c r="AW21" s="3530">
        <f t="shared" si="10"/>
        <v>0</v>
      </c>
      <c r="AX21" s="3531" t="s">
        <v>3196</v>
      </c>
      <c r="AY21" s="3532">
        <f t="shared" si="12"/>
        <v>16</v>
      </c>
      <c r="AZ21" s="3532"/>
      <c r="BC21" s="3673"/>
      <c r="BD21" s="3668">
        <v>116</v>
      </c>
      <c r="BE21" s="3712">
        <v>0</v>
      </c>
      <c r="CB21" s="3690"/>
    </row>
    <row r="22" spans="1:80" ht="25.5">
      <c r="C22" s="3586" t="s">
        <v>3197</v>
      </c>
      <c r="E22" s="3587" t="s">
        <v>3198</v>
      </c>
      <c r="F22" s="3586" t="s">
        <v>3199</v>
      </c>
      <c r="R22" s="3521">
        <f t="shared" si="11"/>
        <v>17</v>
      </c>
      <c r="S22" s="3522" t="s">
        <v>3155</v>
      </c>
      <c r="T22" s="3523" t="s">
        <v>3200</v>
      </c>
      <c r="U22" s="3524">
        <v>12999990</v>
      </c>
      <c r="V22" s="3524">
        <v>12999991</v>
      </c>
      <c r="W22" s="3524">
        <v>12204154</v>
      </c>
      <c r="X22" s="3525">
        <f t="shared" si="14"/>
        <v>26294.366335317878</v>
      </c>
      <c r="Y22" s="3525">
        <f t="shared" si="14"/>
        <v>26294.368357962998</v>
      </c>
      <c r="Z22" s="3525">
        <f t="shared" si="14"/>
        <v>24684.672533489262</v>
      </c>
      <c r="AA22" s="3538">
        <v>0</v>
      </c>
      <c r="AB22" s="3538">
        <v>0</v>
      </c>
      <c r="AC22" s="3538">
        <v>0</v>
      </c>
      <c r="AD22" s="3539">
        <v>0</v>
      </c>
      <c r="AE22" s="3539">
        <v>0</v>
      </c>
      <c r="AF22" s="3539">
        <v>0</v>
      </c>
      <c r="AG22" s="3539">
        <v>0</v>
      </c>
      <c r="AH22" s="3539">
        <v>0</v>
      </c>
      <c r="AI22" s="3539">
        <v>0</v>
      </c>
      <c r="AJ22" s="3540" t="s">
        <v>3201</v>
      </c>
      <c r="AK22" s="3529"/>
      <c r="AL22" s="3529" t="s">
        <v>3132</v>
      </c>
      <c r="AM22" s="3529" t="s">
        <v>3195</v>
      </c>
      <c r="AN22" s="3530">
        <f t="shared" si="1"/>
        <v>17602.237655851848</v>
      </c>
      <c r="AO22" s="3530">
        <f t="shared" si="2"/>
        <v>0</v>
      </c>
      <c r="AP22" s="3530">
        <f t="shared" si="3"/>
        <v>17602.239009871169</v>
      </c>
      <c r="AQ22" s="3530">
        <f t="shared" si="4"/>
        <v>0</v>
      </c>
      <c r="AR22" s="3530">
        <f t="shared" si="5"/>
        <v>16524.660334093714</v>
      </c>
      <c r="AS22" s="3530">
        <f t="shared" si="6"/>
        <v>0</v>
      </c>
      <c r="AT22" s="3530">
        <f t="shared" si="7"/>
        <v>0</v>
      </c>
      <c r="AU22" s="3530">
        <f t="shared" si="8"/>
        <v>0</v>
      </c>
      <c r="AV22" s="3530">
        <f t="shared" si="9"/>
        <v>0</v>
      </c>
      <c r="AW22" s="3530">
        <f t="shared" si="10"/>
        <v>0</v>
      </c>
      <c r="AX22" s="3531" t="s">
        <v>3202</v>
      </c>
      <c r="AY22" s="3532">
        <f t="shared" si="12"/>
        <v>17</v>
      </c>
      <c r="AZ22" s="3532"/>
      <c r="BC22" s="3673"/>
      <c r="BD22" s="3668">
        <v>132</v>
      </c>
      <c r="BE22" s="3712">
        <v>4</v>
      </c>
      <c r="CB22" s="3690"/>
    </row>
    <row r="23" spans="1:80" ht="120">
      <c r="C23" s="3588">
        <f>B21+C21</f>
        <v>1195517.5832044322</v>
      </c>
      <c r="E23" s="3588">
        <f>E21+F21</f>
        <v>1031211.3182112719</v>
      </c>
      <c r="F23" s="3588">
        <f>C23+E23</f>
        <v>2226728.9014157038</v>
      </c>
      <c r="R23" s="3521">
        <f t="shared" si="11"/>
        <v>18</v>
      </c>
      <c r="S23" s="3522" t="s">
        <v>3155</v>
      </c>
      <c r="T23" s="3523" t="s">
        <v>3203</v>
      </c>
      <c r="U23" s="3559">
        <v>10162656</v>
      </c>
      <c r="V23" s="3559">
        <v>7499982</v>
      </c>
      <c r="W23" s="3559">
        <v>9999987</v>
      </c>
      <c r="X23" s="3525">
        <f t="shared" si="14"/>
        <v>20555.446566021688</v>
      </c>
      <c r="Y23" s="3525">
        <f t="shared" si="14"/>
        <v>15169.801993408462</v>
      </c>
      <c r="Z23" s="3525">
        <f t="shared" si="14"/>
        <v>20226.424906974269</v>
      </c>
      <c r="AA23" s="3538">
        <v>0</v>
      </c>
      <c r="AB23" s="3538">
        <v>0</v>
      </c>
      <c r="AC23" s="3538">
        <v>0</v>
      </c>
      <c r="AD23" s="3539">
        <v>0</v>
      </c>
      <c r="AE23" s="3539">
        <v>0</v>
      </c>
      <c r="AF23" s="3539">
        <v>504913</v>
      </c>
      <c r="AG23" s="3539">
        <v>504913</v>
      </c>
      <c r="AH23" s="3539">
        <v>28683</v>
      </c>
      <c r="AI23" s="3539">
        <v>28683</v>
      </c>
      <c r="AJ23" s="3560"/>
      <c r="AK23" s="3561" t="s">
        <v>3167</v>
      </c>
      <c r="AL23" s="3561" t="s">
        <v>3132</v>
      </c>
      <c r="AM23" s="3561" t="s">
        <v>3195</v>
      </c>
      <c r="AN23" s="3530">
        <f t="shared" si="1"/>
        <v>13760.432594691898</v>
      </c>
      <c r="AO23" s="3530">
        <f t="shared" si="2"/>
        <v>0</v>
      </c>
      <c r="AP23" s="3530">
        <f t="shared" si="3"/>
        <v>10155.120548447427</v>
      </c>
      <c r="AQ23" s="3530">
        <f t="shared" si="4"/>
        <v>0</v>
      </c>
      <c r="AR23" s="3530">
        <f t="shared" si="5"/>
        <v>13540.175625475784</v>
      </c>
      <c r="AS23" s="3530">
        <f t="shared" si="6"/>
        <v>0</v>
      </c>
      <c r="AT23" s="3562">
        <f t="shared" si="7"/>
        <v>0</v>
      </c>
      <c r="AU23" s="3562">
        <f t="shared" si="8"/>
        <v>0</v>
      </c>
      <c r="AV23" s="3562">
        <f t="shared" si="9"/>
        <v>0</v>
      </c>
      <c r="AW23" s="3562">
        <f t="shared" si="10"/>
        <v>0</v>
      </c>
      <c r="AX23" s="3531" t="s">
        <v>3204</v>
      </c>
      <c r="AY23" s="3532">
        <f t="shared" si="12"/>
        <v>18</v>
      </c>
      <c r="AZ23" s="3532"/>
      <c r="BC23" s="3673"/>
      <c r="BD23" s="3668">
        <v>146</v>
      </c>
      <c r="BE23" s="3712">
        <v>35</v>
      </c>
      <c r="CB23" s="3690"/>
    </row>
    <row r="24" spans="1:80" ht="120.75" thickBot="1">
      <c r="C24" s="3588"/>
      <c r="E24" s="3588"/>
      <c r="F24" s="3588"/>
      <c r="R24" s="3521">
        <f t="shared" si="11"/>
        <v>19</v>
      </c>
      <c r="S24" s="3522" t="s">
        <v>3155</v>
      </c>
      <c r="T24" s="3523" t="s">
        <v>3205</v>
      </c>
      <c r="U24" s="3524">
        <v>2000000</v>
      </c>
      <c r="V24" s="3524">
        <v>2000000</v>
      </c>
      <c r="W24" s="3524">
        <v>2000000</v>
      </c>
      <c r="X24" s="3525">
        <f t="shared" si="14"/>
        <v>4045.2902402721666</v>
      </c>
      <c r="Y24" s="3525">
        <f t="shared" si="14"/>
        <v>4045.2902402721666</v>
      </c>
      <c r="Z24" s="3525">
        <f t="shared" si="14"/>
        <v>4045.2902402721666</v>
      </c>
      <c r="AA24" s="3538">
        <v>75000</v>
      </c>
      <c r="AB24" s="3538">
        <v>75000</v>
      </c>
      <c r="AC24" s="3538">
        <v>75000</v>
      </c>
      <c r="AD24" s="3539">
        <v>33000</v>
      </c>
      <c r="AE24" s="3539">
        <v>33000</v>
      </c>
      <c r="AF24" s="3539">
        <v>250000</v>
      </c>
      <c r="AG24" s="3539">
        <v>250000</v>
      </c>
      <c r="AH24" s="3539">
        <v>0</v>
      </c>
      <c r="AI24" s="3539">
        <v>0</v>
      </c>
      <c r="AJ24" s="3540" t="s">
        <v>3201</v>
      </c>
      <c r="AK24" s="3529" t="s">
        <v>3167</v>
      </c>
      <c r="AL24" s="3529" t="s">
        <v>880</v>
      </c>
      <c r="AM24" s="3529" t="s">
        <v>3206</v>
      </c>
      <c r="AN24" s="3530">
        <f t="shared" si="1"/>
        <v>75000</v>
      </c>
      <c r="AO24" s="3530">
        <f t="shared" si="2"/>
        <v>0</v>
      </c>
      <c r="AP24" s="3530">
        <f t="shared" si="3"/>
        <v>75000</v>
      </c>
      <c r="AQ24" s="3530">
        <f t="shared" si="4"/>
        <v>0</v>
      </c>
      <c r="AR24" s="3530">
        <f t="shared" si="5"/>
        <v>75000</v>
      </c>
      <c r="AS24" s="3530">
        <f t="shared" si="6"/>
        <v>0</v>
      </c>
      <c r="AT24" s="3530">
        <f t="shared" si="7"/>
        <v>33000</v>
      </c>
      <c r="AU24" s="3530">
        <f t="shared" si="8"/>
        <v>0</v>
      </c>
      <c r="AV24" s="3530">
        <f t="shared" si="9"/>
        <v>33000</v>
      </c>
      <c r="AW24" s="3530">
        <f t="shared" si="10"/>
        <v>0</v>
      </c>
      <c r="AX24" s="3531" t="s">
        <v>3207</v>
      </c>
      <c r="AY24" s="3532">
        <f t="shared" si="12"/>
        <v>19</v>
      </c>
      <c r="AZ24" s="3532"/>
      <c r="BC24" s="3673"/>
      <c r="BD24" s="3668">
        <v>147</v>
      </c>
      <c r="BE24" s="3712">
        <v>3</v>
      </c>
      <c r="CB24" s="3690"/>
    </row>
    <row r="25" spans="1:80" ht="60.75" thickBot="1">
      <c r="A25" s="3984" t="s">
        <v>3208</v>
      </c>
      <c r="B25" s="3984"/>
      <c r="C25" s="3985"/>
      <c r="D25" s="3986" t="s">
        <v>537</v>
      </c>
      <c r="E25" s="3987"/>
      <c r="F25" s="3986" t="s">
        <v>537</v>
      </c>
      <c r="G25" s="3987"/>
      <c r="R25" s="3521">
        <f t="shared" si="11"/>
        <v>20</v>
      </c>
      <c r="S25" s="3522" t="s">
        <v>3155</v>
      </c>
      <c r="T25" s="3523" t="s">
        <v>3209</v>
      </c>
      <c r="U25" s="3524">
        <v>1200021</v>
      </c>
      <c r="V25" s="3524">
        <v>1200022</v>
      </c>
      <c r="W25" s="3524">
        <v>1200753</v>
      </c>
      <c r="X25" s="3525">
        <f t="shared" si="14"/>
        <v>2427.2166197108227</v>
      </c>
      <c r="Y25" s="3525">
        <f t="shared" si="14"/>
        <v>2427.2186423559428</v>
      </c>
      <c r="Z25" s="3525">
        <f t="shared" si="14"/>
        <v>2428.6971959387624</v>
      </c>
      <c r="AA25" s="3538">
        <v>40000</v>
      </c>
      <c r="AB25" s="3538">
        <v>40000</v>
      </c>
      <c r="AC25" s="3538">
        <v>40000</v>
      </c>
      <c r="AD25" s="3539">
        <v>60000</v>
      </c>
      <c r="AE25" s="3539">
        <v>60000</v>
      </c>
      <c r="AF25" s="3539">
        <v>40000</v>
      </c>
      <c r="AG25" s="3539">
        <v>40000</v>
      </c>
      <c r="AH25" s="3539">
        <v>20000</v>
      </c>
      <c r="AI25" s="3539">
        <v>20000</v>
      </c>
      <c r="AJ25" s="3540" t="s">
        <v>3210</v>
      </c>
      <c r="AK25" s="3529" t="s">
        <v>3167</v>
      </c>
      <c r="AL25" s="3529" t="s">
        <v>880</v>
      </c>
      <c r="AM25" s="3529" t="s">
        <v>3206</v>
      </c>
      <c r="AN25" s="3530">
        <f t="shared" si="1"/>
        <v>40000</v>
      </c>
      <c r="AO25" s="3530">
        <f t="shared" si="2"/>
        <v>0</v>
      </c>
      <c r="AP25" s="3530">
        <f t="shared" si="3"/>
        <v>40000</v>
      </c>
      <c r="AQ25" s="3530">
        <f t="shared" si="4"/>
        <v>0</v>
      </c>
      <c r="AR25" s="3530">
        <f t="shared" si="5"/>
        <v>40000</v>
      </c>
      <c r="AS25" s="3530">
        <f t="shared" si="6"/>
        <v>0</v>
      </c>
      <c r="AT25" s="3530">
        <f t="shared" si="7"/>
        <v>60000</v>
      </c>
      <c r="AU25" s="3530">
        <f t="shared" si="8"/>
        <v>0</v>
      </c>
      <c r="AV25" s="3530">
        <f t="shared" si="9"/>
        <v>60000</v>
      </c>
      <c r="AW25" s="3530">
        <f t="shared" si="10"/>
        <v>0</v>
      </c>
      <c r="AX25" s="3531" t="s">
        <v>3211</v>
      </c>
      <c r="AY25" s="3532">
        <f t="shared" si="12"/>
        <v>20</v>
      </c>
      <c r="AZ25" s="3532"/>
      <c r="BC25" s="3673"/>
      <c r="BD25" s="3717" t="s">
        <v>3234</v>
      </c>
      <c r="BE25" s="3716">
        <f>SUM(BE17:BE24)</f>
        <v>176917</v>
      </c>
      <c r="CB25" s="3690"/>
    </row>
    <row r="26" spans="1:80" ht="26.25" thickTop="1">
      <c r="A26" s="3984" t="s">
        <v>3212</v>
      </c>
      <c r="B26" s="3984"/>
      <c r="C26" s="3985"/>
      <c r="D26" s="3988" t="s">
        <v>3213</v>
      </c>
      <c r="E26" s="3989"/>
      <c r="F26" s="3988" t="s">
        <v>434</v>
      </c>
      <c r="G26" s="3989"/>
      <c r="R26" s="3521">
        <f t="shared" si="11"/>
        <v>21</v>
      </c>
      <c r="S26" s="3522" t="s">
        <v>3155</v>
      </c>
      <c r="T26" s="3523" t="s">
        <v>3214</v>
      </c>
      <c r="U26" s="3524">
        <v>7000011</v>
      </c>
      <c r="V26" s="3524">
        <v>7000013</v>
      </c>
      <c r="W26" s="3524">
        <v>7000005</v>
      </c>
      <c r="X26" s="3547" t="s">
        <v>3150</v>
      </c>
      <c r="Y26" s="3547" t="s">
        <v>3150</v>
      </c>
      <c r="Z26" s="3547" t="s">
        <v>3150</v>
      </c>
      <c r="AA26" s="3538">
        <v>0</v>
      </c>
      <c r="AB26" s="3538">
        <v>0</v>
      </c>
      <c r="AC26" s="3538">
        <v>0</v>
      </c>
      <c r="AD26" s="3539">
        <v>0</v>
      </c>
      <c r="AE26" s="3539">
        <v>0</v>
      </c>
      <c r="AF26" s="3539">
        <v>0</v>
      </c>
      <c r="AG26" s="3539">
        <v>0</v>
      </c>
      <c r="AH26" s="3539">
        <v>0</v>
      </c>
      <c r="AI26" s="3539">
        <v>0</v>
      </c>
      <c r="AJ26" s="3540" t="s">
        <v>3151</v>
      </c>
      <c r="AK26" s="3529"/>
      <c r="AL26" s="3529" t="s">
        <v>3132</v>
      </c>
      <c r="AM26" s="3529" t="s">
        <v>3152</v>
      </c>
      <c r="AN26" s="3530">
        <f t="shared" si="1"/>
        <v>0</v>
      </c>
      <c r="AO26" s="3530">
        <f t="shared" si="2"/>
        <v>0</v>
      </c>
      <c r="AP26" s="3530">
        <f t="shared" si="3"/>
        <v>0</v>
      </c>
      <c r="AQ26" s="3530">
        <f t="shared" si="4"/>
        <v>0</v>
      </c>
      <c r="AR26" s="3530">
        <f t="shared" si="5"/>
        <v>0</v>
      </c>
      <c r="AS26" s="3530">
        <f t="shared" si="6"/>
        <v>0</v>
      </c>
      <c r="AT26" s="3530">
        <f t="shared" si="7"/>
        <v>0</v>
      </c>
      <c r="AU26" s="3530">
        <f t="shared" si="8"/>
        <v>0</v>
      </c>
      <c r="AV26" s="3530">
        <f t="shared" si="9"/>
        <v>0</v>
      </c>
      <c r="AW26" s="3530">
        <f t="shared" si="10"/>
        <v>0</v>
      </c>
      <c r="AX26" s="3531" t="s">
        <v>3215</v>
      </c>
      <c r="AY26" s="3532">
        <f t="shared" si="12"/>
        <v>21</v>
      </c>
      <c r="AZ26" s="3532"/>
      <c r="BC26" s="3673"/>
      <c r="BD26" s="3668" t="s">
        <v>3437</v>
      </c>
      <c r="CB26" s="3690"/>
    </row>
    <row r="27" spans="1:80" ht="30">
      <c r="B27" s="3589"/>
      <c r="C27" s="3589"/>
      <c r="D27" s="3590" t="s">
        <v>3104</v>
      </c>
      <c r="E27" s="3591" t="s">
        <v>3104</v>
      </c>
      <c r="F27" s="3590" t="s">
        <v>3104</v>
      </c>
      <c r="G27" s="3591" t="s">
        <v>3104</v>
      </c>
      <c r="R27" s="3521">
        <f t="shared" si="11"/>
        <v>22</v>
      </c>
      <c r="S27" s="3522" t="s">
        <v>3155</v>
      </c>
      <c r="T27" s="3523" t="s">
        <v>3216</v>
      </c>
      <c r="U27" s="3559">
        <v>4975634</v>
      </c>
      <c r="V27" s="3559">
        <v>5000005</v>
      </c>
      <c r="W27" s="3559">
        <v>5000008</v>
      </c>
      <c r="X27" s="3547" t="s">
        <v>3150</v>
      </c>
      <c r="Y27" s="3547" t="s">
        <v>3150</v>
      </c>
      <c r="Z27" s="3547" t="s">
        <v>3150</v>
      </c>
      <c r="AA27" s="3538">
        <v>0</v>
      </c>
      <c r="AB27" s="3538">
        <v>0</v>
      </c>
      <c r="AC27" s="3538">
        <v>0</v>
      </c>
      <c r="AD27" s="3539">
        <v>0</v>
      </c>
      <c r="AE27" s="3539">
        <v>0</v>
      </c>
      <c r="AF27" s="3539">
        <v>0</v>
      </c>
      <c r="AG27" s="3539">
        <v>0</v>
      </c>
      <c r="AH27" s="3539">
        <v>0</v>
      </c>
      <c r="AI27" s="3539">
        <v>0</v>
      </c>
      <c r="AJ27" s="3560" t="s">
        <v>3201</v>
      </c>
      <c r="AK27" s="3561"/>
      <c r="AL27" s="3561" t="s">
        <v>3132</v>
      </c>
      <c r="AM27" s="3561" t="s">
        <v>3152</v>
      </c>
      <c r="AN27" s="3530">
        <f t="shared" si="1"/>
        <v>0</v>
      </c>
      <c r="AO27" s="3530">
        <f t="shared" si="2"/>
        <v>0</v>
      </c>
      <c r="AP27" s="3530">
        <f t="shared" si="3"/>
        <v>0</v>
      </c>
      <c r="AQ27" s="3530">
        <f t="shared" si="4"/>
        <v>0</v>
      </c>
      <c r="AR27" s="3530">
        <f t="shared" si="5"/>
        <v>0</v>
      </c>
      <c r="AS27" s="3530">
        <f t="shared" si="6"/>
        <v>0</v>
      </c>
      <c r="AT27" s="3562">
        <f t="shared" si="7"/>
        <v>0</v>
      </c>
      <c r="AU27" s="3562">
        <f t="shared" si="8"/>
        <v>0</v>
      </c>
      <c r="AV27" s="3562">
        <f t="shared" si="9"/>
        <v>0</v>
      </c>
      <c r="AW27" s="3562">
        <f t="shared" si="10"/>
        <v>0</v>
      </c>
      <c r="AX27" s="3531" t="s">
        <v>3217</v>
      </c>
      <c r="AY27" s="3532">
        <f t="shared" si="12"/>
        <v>22</v>
      </c>
      <c r="AZ27" s="3532"/>
      <c r="BC27" s="3673"/>
      <c r="BP27" s="3715"/>
      <c r="CB27" s="3690"/>
    </row>
    <row r="28" spans="1:80" ht="15.75">
      <c r="A28" s="3592"/>
      <c r="B28" s="3588"/>
      <c r="C28" s="3588"/>
      <c r="D28" s="3593">
        <f>G17</f>
        <v>88574486.149120972</v>
      </c>
      <c r="E28" s="3594">
        <f>I17</f>
        <v>88550559.012291655</v>
      </c>
      <c r="F28" s="3593">
        <f>H17</f>
        <v>14949847.837270435</v>
      </c>
      <c r="G28" s="3594">
        <f>J17</f>
        <v>14604625.363600751</v>
      </c>
      <c r="R28" s="3521">
        <f t="shared" si="11"/>
        <v>23</v>
      </c>
      <c r="S28" s="3522" t="s">
        <v>3165</v>
      </c>
      <c r="T28" s="3523" t="s">
        <v>3218</v>
      </c>
      <c r="U28" s="3524">
        <v>2859000</v>
      </c>
      <c r="V28" s="3524">
        <v>2965000</v>
      </c>
      <c r="W28" s="3524">
        <v>3000000</v>
      </c>
      <c r="X28" s="3525">
        <f t="shared" ref="X28:Z42" si="15">U28*$T$4*$T$3</f>
        <v>5782.7423984690613</v>
      </c>
      <c r="Y28" s="3525">
        <f t="shared" si="15"/>
        <v>5997.1427812034872</v>
      </c>
      <c r="Z28" s="3525">
        <f t="shared" si="15"/>
        <v>6067.9353604082498</v>
      </c>
      <c r="AA28" s="3538">
        <v>0</v>
      </c>
      <c r="AB28" s="3538">
        <v>0</v>
      </c>
      <c r="AC28" s="3538">
        <v>0</v>
      </c>
      <c r="AD28" s="3539">
        <v>0</v>
      </c>
      <c r="AE28" s="3539">
        <v>0</v>
      </c>
      <c r="AF28" s="3539">
        <v>0</v>
      </c>
      <c r="AG28" s="3539">
        <v>0</v>
      </c>
      <c r="AH28" s="3539">
        <v>0</v>
      </c>
      <c r="AI28" s="3539">
        <v>0</v>
      </c>
      <c r="AJ28" s="3540"/>
      <c r="AK28" s="3529" t="s">
        <v>3167</v>
      </c>
      <c r="AL28" s="3529" t="s">
        <v>880</v>
      </c>
      <c r="AM28" s="3529" t="s">
        <v>3206</v>
      </c>
      <c r="AN28" s="3530">
        <f t="shared" si="1"/>
        <v>5782.7423984690613</v>
      </c>
      <c r="AO28" s="3530">
        <f t="shared" si="2"/>
        <v>0</v>
      </c>
      <c r="AP28" s="3530">
        <f t="shared" si="3"/>
        <v>5997.1427812034872</v>
      </c>
      <c r="AQ28" s="3530">
        <f t="shared" si="4"/>
        <v>0</v>
      </c>
      <c r="AR28" s="3530">
        <f t="shared" si="5"/>
        <v>6067.9353604082498</v>
      </c>
      <c r="AS28" s="3530">
        <f t="shared" si="6"/>
        <v>0</v>
      </c>
      <c r="AT28" s="3530">
        <f t="shared" si="7"/>
        <v>0</v>
      </c>
      <c r="AU28" s="3530">
        <f t="shared" si="8"/>
        <v>0</v>
      </c>
      <c r="AV28" s="3530">
        <f t="shared" si="9"/>
        <v>0</v>
      </c>
      <c r="AW28" s="3530">
        <f t="shared" si="10"/>
        <v>0</v>
      </c>
      <c r="AX28" s="3531" t="s">
        <v>3182</v>
      </c>
      <c r="AY28" s="3532">
        <f t="shared" si="12"/>
        <v>23</v>
      </c>
      <c r="AZ28" s="3532"/>
      <c r="BC28" s="3673"/>
      <c r="BD28" s="3693" t="s">
        <v>3436</v>
      </c>
      <c r="BE28" s="3715"/>
      <c r="BF28" s="3715"/>
      <c r="BG28" s="3715"/>
      <c r="BH28" s="3715"/>
      <c r="BI28" s="3715"/>
      <c r="BJ28" s="3715"/>
      <c r="BK28" s="3715"/>
      <c r="BL28" s="3715"/>
      <c r="BM28" s="3715"/>
      <c r="BN28" s="3715"/>
      <c r="BO28" s="3715"/>
      <c r="BP28" s="3715"/>
      <c r="BQ28" s="3715"/>
      <c r="BR28" s="3715"/>
      <c r="BS28" s="3715"/>
      <c r="BT28" s="3715"/>
      <c r="BU28" s="3715"/>
      <c r="BV28" s="3715"/>
      <c r="BW28" s="3715"/>
      <c r="BX28" s="3715"/>
      <c r="BY28" s="3715"/>
      <c r="BZ28" s="3715"/>
      <c r="CA28" s="3715"/>
      <c r="CB28" s="3690"/>
    </row>
    <row r="29" spans="1:80" ht="120">
      <c r="A29" s="3592"/>
      <c r="B29" s="3516"/>
      <c r="C29" s="3516"/>
      <c r="D29" s="3595" t="s">
        <v>517</v>
      </c>
      <c r="E29" s="3596" t="s">
        <v>519</v>
      </c>
      <c r="F29" s="3595" t="s">
        <v>517</v>
      </c>
      <c r="G29" s="3596" t="s">
        <v>519</v>
      </c>
      <c r="R29" s="3521">
        <f t="shared" si="11"/>
        <v>24</v>
      </c>
      <c r="S29" s="3522" t="s">
        <v>3144</v>
      </c>
      <c r="T29" s="3523" t="s">
        <v>3219</v>
      </c>
      <c r="U29" s="3524">
        <v>4180369</v>
      </c>
      <c r="V29" s="3524">
        <v>6154490</v>
      </c>
      <c r="W29" s="3524">
        <v>3034582</v>
      </c>
      <c r="X29" s="3525">
        <f t="shared" si="15"/>
        <v>8455.4029582181574</v>
      </c>
      <c r="Y29" s="3525">
        <f t="shared" si="15"/>
        <v>12448.349165426323</v>
      </c>
      <c r="Z29" s="3525">
        <f t="shared" si="15"/>
        <v>6137.8824739527963</v>
      </c>
      <c r="AA29" s="3538">
        <v>0</v>
      </c>
      <c r="AB29" s="3538">
        <v>0</v>
      </c>
      <c r="AC29" s="3538">
        <v>0</v>
      </c>
      <c r="AD29" s="3539">
        <v>1000000</v>
      </c>
      <c r="AE29" s="3539">
        <v>1000000</v>
      </c>
      <c r="AF29" s="3539">
        <v>0</v>
      </c>
      <c r="AG29" s="3539">
        <v>0</v>
      </c>
      <c r="AH29" s="3539">
        <v>0</v>
      </c>
      <c r="AI29" s="3539">
        <v>0</v>
      </c>
      <c r="AJ29" s="3540"/>
      <c r="AK29" s="3529"/>
      <c r="AL29" s="3529" t="s">
        <v>839</v>
      </c>
      <c r="AM29" s="3529" t="s">
        <v>839</v>
      </c>
      <c r="AN29" s="3530">
        <f t="shared" si="1"/>
        <v>3968.5498180745849</v>
      </c>
      <c r="AO29" s="3530">
        <f t="shared" si="2"/>
        <v>1256.2328881979745</v>
      </c>
      <c r="AP29" s="3530">
        <f t="shared" si="3"/>
        <v>5842.6421614555684</v>
      </c>
      <c r="AQ29" s="3530">
        <f t="shared" si="4"/>
        <v>1849.4713619983195</v>
      </c>
      <c r="AR29" s="3530">
        <f t="shared" si="5"/>
        <v>2880.8198137610366</v>
      </c>
      <c r="AS29" s="3530">
        <f t="shared" si="6"/>
        <v>911.91512288355079</v>
      </c>
      <c r="AT29" s="3530">
        <f t="shared" si="7"/>
        <v>469350.76159999997</v>
      </c>
      <c r="AU29" s="3530">
        <f t="shared" si="8"/>
        <v>148571.61679999999</v>
      </c>
      <c r="AV29" s="3530">
        <f t="shared" si="9"/>
        <v>469350.76159999997</v>
      </c>
      <c r="AW29" s="3530">
        <f t="shared" si="10"/>
        <v>148571.61679999999</v>
      </c>
      <c r="AX29" s="3531" t="s">
        <v>3220</v>
      </c>
      <c r="AY29" s="3532">
        <f t="shared" si="12"/>
        <v>24</v>
      </c>
      <c r="AZ29" s="3532"/>
      <c r="BC29" s="3673"/>
      <c r="BE29" s="3691">
        <v>45688</v>
      </c>
      <c r="BF29" s="3691">
        <f t="shared" ref="BF29:CB29" si="16">EOMONTH(BE29,1)</f>
        <v>45716</v>
      </c>
      <c r="BG29" s="3691">
        <f t="shared" si="16"/>
        <v>45747</v>
      </c>
      <c r="BH29" s="3691">
        <f t="shared" si="16"/>
        <v>45777</v>
      </c>
      <c r="BI29" s="3691">
        <f t="shared" si="16"/>
        <v>45808</v>
      </c>
      <c r="BJ29" s="3691">
        <f t="shared" si="16"/>
        <v>45838</v>
      </c>
      <c r="BK29" s="3691">
        <f t="shared" si="16"/>
        <v>45869</v>
      </c>
      <c r="BL29" s="3691">
        <f t="shared" si="16"/>
        <v>45900</v>
      </c>
      <c r="BM29" s="3691">
        <f t="shared" si="16"/>
        <v>45930</v>
      </c>
      <c r="BN29" s="3691">
        <f t="shared" si="16"/>
        <v>45961</v>
      </c>
      <c r="BO29" s="3691">
        <f t="shared" si="16"/>
        <v>45991</v>
      </c>
      <c r="BP29" s="3691">
        <f t="shared" si="16"/>
        <v>46022</v>
      </c>
      <c r="BQ29" s="3691">
        <f t="shared" si="16"/>
        <v>46053</v>
      </c>
      <c r="BR29" s="3691">
        <f t="shared" si="16"/>
        <v>46081</v>
      </c>
      <c r="BS29" s="3691">
        <f t="shared" si="16"/>
        <v>46112</v>
      </c>
      <c r="BT29" s="3691">
        <f t="shared" si="16"/>
        <v>46142</v>
      </c>
      <c r="BU29" s="3691">
        <f t="shared" si="16"/>
        <v>46173</v>
      </c>
      <c r="BV29" s="3691">
        <f t="shared" si="16"/>
        <v>46203</v>
      </c>
      <c r="BW29" s="3691">
        <f t="shared" si="16"/>
        <v>46234</v>
      </c>
      <c r="BX29" s="3691">
        <f t="shared" si="16"/>
        <v>46265</v>
      </c>
      <c r="BY29" s="3691">
        <f t="shared" si="16"/>
        <v>46295</v>
      </c>
      <c r="BZ29" s="3691">
        <f t="shared" si="16"/>
        <v>46326</v>
      </c>
      <c r="CA29" s="3691">
        <f t="shared" si="16"/>
        <v>46356</v>
      </c>
      <c r="CB29" s="3690">
        <f t="shared" si="16"/>
        <v>46387</v>
      </c>
    </row>
    <row r="30" spans="1:80" ht="75.75" thickBot="1">
      <c r="B30" s="3516"/>
      <c r="C30" s="3516"/>
      <c r="D30" s="3597" t="s">
        <v>3221</v>
      </c>
      <c r="E30" s="3598" t="s">
        <v>3222</v>
      </c>
      <c r="F30" s="3597" t="s">
        <v>3221</v>
      </c>
      <c r="G30" s="3598" t="s">
        <v>3222</v>
      </c>
      <c r="R30" s="3521">
        <f t="shared" si="11"/>
        <v>25</v>
      </c>
      <c r="S30" s="3522" t="s">
        <v>3144</v>
      </c>
      <c r="T30" s="3523" t="s">
        <v>3223</v>
      </c>
      <c r="U30" s="3524">
        <v>500001</v>
      </c>
      <c r="V30" s="3524">
        <v>598920</v>
      </c>
      <c r="W30" s="3524">
        <v>500000</v>
      </c>
      <c r="X30" s="3525">
        <f t="shared" si="15"/>
        <v>1011.3245827131617</v>
      </c>
      <c r="Y30" s="3525">
        <f t="shared" si="15"/>
        <v>1211.402615351903</v>
      </c>
      <c r="Z30" s="3525">
        <f t="shared" si="15"/>
        <v>1011.3225600680416</v>
      </c>
      <c r="AA30" s="3538">
        <v>0</v>
      </c>
      <c r="AB30" s="3538">
        <v>0</v>
      </c>
      <c r="AC30" s="3538">
        <v>0</v>
      </c>
      <c r="AD30" s="3539">
        <v>26000000</v>
      </c>
      <c r="AE30" s="3539">
        <v>26000000</v>
      </c>
      <c r="AF30" s="3539">
        <v>0</v>
      </c>
      <c r="AG30" s="3539">
        <v>0</v>
      </c>
      <c r="AH30" s="3539">
        <v>0</v>
      </c>
      <c r="AI30" s="3539">
        <v>0</v>
      </c>
      <c r="AJ30" s="3540"/>
      <c r="AK30" s="3529"/>
      <c r="AL30" s="3529" t="s">
        <v>3132</v>
      </c>
      <c r="AM30" s="3529" t="s">
        <v>3133</v>
      </c>
      <c r="AN30" s="3530">
        <f t="shared" si="1"/>
        <v>651.29303126727621</v>
      </c>
      <c r="AO30" s="3530">
        <f t="shared" si="2"/>
        <v>0</v>
      </c>
      <c r="AP30" s="3530">
        <f t="shared" si="3"/>
        <v>780.14328428662554</v>
      </c>
      <c r="AQ30" s="3530">
        <f t="shared" si="4"/>
        <v>0</v>
      </c>
      <c r="AR30" s="3530">
        <f t="shared" si="5"/>
        <v>651.29172868381886</v>
      </c>
      <c r="AS30" s="3530">
        <f t="shared" si="6"/>
        <v>0</v>
      </c>
      <c r="AT30" s="3530">
        <v>17040400</v>
      </c>
      <c r="AU30" s="3530">
        <v>0</v>
      </c>
      <c r="AV30" s="3530">
        <v>17040400</v>
      </c>
      <c r="AW30" s="3530">
        <v>0</v>
      </c>
      <c r="AX30" s="3531" t="s">
        <v>3224</v>
      </c>
      <c r="AY30" s="3532">
        <f t="shared" si="12"/>
        <v>25</v>
      </c>
      <c r="AZ30" s="3532"/>
      <c r="BC30" s="3673"/>
      <c r="BD30" s="3603" t="s">
        <v>3433</v>
      </c>
      <c r="BE30" s="3600">
        <v>173930.68769033503</v>
      </c>
      <c r="BF30" s="3600">
        <v>173936.71094614899</v>
      </c>
      <c r="BG30" s="3600">
        <v>173942.73420196294</v>
      </c>
      <c r="BH30" s="3600">
        <v>173948.7574577769</v>
      </c>
      <c r="BI30" s="3600">
        <v>173954.78071359085</v>
      </c>
      <c r="BJ30" s="3600">
        <v>173960.80396940478</v>
      </c>
      <c r="BK30" s="3600">
        <v>173966.82722521873</v>
      </c>
      <c r="BL30" s="3600">
        <v>173972.85048103268</v>
      </c>
      <c r="BM30" s="3600">
        <v>173978.87373684664</v>
      </c>
      <c r="BN30" s="3600">
        <v>173984.89699266059</v>
      </c>
      <c r="BO30" s="3600">
        <v>173990.92024847455</v>
      </c>
      <c r="BP30" s="3600">
        <v>173996.9435042885</v>
      </c>
      <c r="BQ30" s="3600">
        <v>174002.96676010246</v>
      </c>
      <c r="BR30" s="3600">
        <v>174008.99001591641</v>
      </c>
      <c r="BS30" s="3600">
        <v>174015.01327173036</v>
      </c>
      <c r="BT30" s="3600">
        <v>174021.03652754432</v>
      </c>
      <c r="BU30" s="3600">
        <v>174027.05978335827</v>
      </c>
      <c r="BV30" s="3600">
        <v>174033.08303917223</v>
      </c>
      <c r="BW30" s="3600">
        <v>174039.10629498618</v>
      </c>
      <c r="BX30" s="3600">
        <v>174045.12955080013</v>
      </c>
      <c r="BY30" s="3600">
        <v>174051.15280661409</v>
      </c>
      <c r="BZ30" s="3600">
        <v>174057.17606242804</v>
      </c>
      <c r="CA30" s="3600">
        <v>174063.199318242</v>
      </c>
      <c r="CB30" s="3601">
        <v>174069.22257405595</v>
      </c>
    </row>
    <row r="31" spans="1:80" ht="120">
      <c r="R31" s="3521">
        <f t="shared" si="11"/>
        <v>26</v>
      </c>
      <c r="S31" s="3522" t="s">
        <v>3144</v>
      </c>
      <c r="T31" s="3523" t="s">
        <v>3225</v>
      </c>
      <c r="U31" s="3524">
        <v>4656442</v>
      </c>
      <c r="V31" s="3524">
        <v>10032632</v>
      </c>
      <c r="W31" s="3524">
        <v>7948051</v>
      </c>
      <c r="X31" s="3525">
        <f t="shared" si="15"/>
        <v>9418.329688496704</v>
      </c>
      <c r="Y31" s="3525">
        <f t="shared" si="15"/>
        <v>20292.454156921114</v>
      </c>
      <c r="Z31" s="3525">
        <f t="shared" si="15"/>
        <v>16076.086569742716</v>
      </c>
      <c r="AA31" s="3538">
        <v>100000</v>
      </c>
      <c r="AB31" s="3538">
        <v>0</v>
      </c>
      <c r="AC31" s="3538">
        <v>0</v>
      </c>
      <c r="AD31" s="3539">
        <f>200000+212500+425000+143000+23000+1000000+239000+425000</f>
        <v>2667500</v>
      </c>
      <c r="AE31" s="3539">
        <f>200000+212500+425000+143000+23000+1000000+239000+425000</f>
        <v>2667500</v>
      </c>
      <c r="AF31" s="3539">
        <v>0</v>
      </c>
      <c r="AG31" s="3539">
        <v>0</v>
      </c>
      <c r="AH31" s="3539">
        <v>0</v>
      </c>
      <c r="AI31" s="3539">
        <v>0</v>
      </c>
      <c r="AJ31" s="3540"/>
      <c r="AK31" s="3529" t="s">
        <v>3167</v>
      </c>
      <c r="AL31" s="3529" t="s">
        <v>839</v>
      </c>
      <c r="AM31" s="3529" t="s">
        <v>839</v>
      </c>
      <c r="AN31" s="3530">
        <f t="shared" si="1"/>
        <v>46935.076159999997</v>
      </c>
      <c r="AO31" s="3530">
        <f t="shared" si="2"/>
        <v>14857.161679999999</v>
      </c>
      <c r="AP31" s="3530">
        <f t="shared" si="3"/>
        <v>9524.2788132840105</v>
      </c>
      <c r="AQ31" s="3530">
        <f t="shared" si="4"/>
        <v>3014.8827229336507</v>
      </c>
      <c r="AR31" s="3530">
        <f t="shared" si="5"/>
        <v>7545.3234750562742</v>
      </c>
      <c r="AS31" s="3530">
        <f t="shared" si="6"/>
        <v>2388.4501734834412</v>
      </c>
      <c r="AT31" s="3530">
        <f t="shared" ref="AT31:AT69" si="17">IF($AM31=$AG$129,(AD31)*$AH$129,IF($AM31=$AG$130,(AD31)*$AH$130,IF($AM31=$AG$131,(AD31)*$AH$131,IF($AM31=$AG$134,(AD31)*$AH$134,IF($AM31=$AG$135,(AD31)*$AH$135,IF($AM31=$AG$136,(AD31)*$AH$136,IF(AM31=$AM$10,0,0)))))))</f>
        <v>1251993.1565679999</v>
      </c>
      <c r="AU31" s="3530">
        <f t="shared" ref="AU31:AU69" si="18">IF($AM31=$AG$129,(AD31)*$AI$129,IF($AM31=$AG$130,(AD31)*$AI$130,IF($AM31=$AG$131,(AD31)*$AI$131,IF($AM31=$AG$134,(AD31)*$AI$134,IF($AM31=$AG$135,(AD31)*$AI$135,IF($AM31=$AG$136,(AD31)*$AI$136,IF(AM31=$AM$10,0,0)))))))</f>
        <v>396314.78781399998</v>
      </c>
      <c r="AV31" s="3530">
        <f t="shared" ref="AV31:AV69" si="19">IF($AM31=$AG$129,(AE31)*$AH$129,IF($AM31=$AG$130,(AE31)*$AH$130,IF($AM31=$AG$131,(AE31)*$AH$131,IF($AM31=$AG$134,(AE31)*$AH$134,IF($AM31=$AG$135,(AE31)*$AH$135,IF($AM31=$AG$136,(AE31)*$AH$136,IF(AM31=$AM$10,0,0)))))))</f>
        <v>1251993.1565679999</v>
      </c>
      <c r="AW31" s="3530">
        <f t="shared" ref="AW31:AW69" si="20">IF($AM31=$AG$129,(AE31)*$AI$129,IF($AM31=$AG$130,(AE31)*$AI$130,IF($AM31=$AG$131,(AE31)*$AI$131,IF($AM31=$AG$134,(AE31)*$AI$134,IF($AM31=$AG$135,(AE31)*$AI$135,IF($AM31=$AG$136,(AE31)*$AI$136,IF(AM31=$AM$10,0,0)))))))</f>
        <v>396314.78781399998</v>
      </c>
      <c r="AX31" s="3531" t="s">
        <v>3226</v>
      </c>
      <c r="AY31" s="3532">
        <f t="shared" si="12"/>
        <v>26</v>
      </c>
      <c r="AZ31" s="3532"/>
      <c r="BC31" s="3673"/>
      <c r="BD31" s="3603" t="s">
        <v>3428</v>
      </c>
      <c r="BE31" s="3600">
        <v>3551</v>
      </c>
      <c r="BF31" s="3600">
        <v>3551</v>
      </c>
      <c r="BG31" s="3600">
        <v>3551</v>
      </c>
      <c r="BH31" s="3600">
        <v>3551</v>
      </c>
      <c r="BI31" s="3600">
        <v>3551</v>
      </c>
      <c r="BJ31" s="3600">
        <v>3551</v>
      </c>
      <c r="BK31" s="3600">
        <v>3551</v>
      </c>
      <c r="BL31" s="3600">
        <v>3551</v>
      </c>
      <c r="BM31" s="3600">
        <v>3551</v>
      </c>
      <c r="BN31" s="3600">
        <v>3551</v>
      </c>
      <c r="BO31" s="3600">
        <v>3551</v>
      </c>
      <c r="BP31" s="3600">
        <v>3551</v>
      </c>
      <c r="BQ31" s="3600">
        <v>3551</v>
      </c>
      <c r="BR31" s="3600">
        <v>3551</v>
      </c>
      <c r="BS31" s="3600">
        <v>3551</v>
      </c>
      <c r="BT31" s="3600">
        <v>3551</v>
      </c>
      <c r="BU31" s="3600">
        <v>3551</v>
      </c>
      <c r="BV31" s="3600">
        <v>3551</v>
      </c>
      <c r="BW31" s="3600">
        <v>3551</v>
      </c>
      <c r="BX31" s="3600">
        <v>3551</v>
      </c>
      <c r="BY31" s="3600">
        <v>3551</v>
      </c>
      <c r="BZ31" s="3600">
        <v>3551</v>
      </c>
      <c r="CA31" s="3600">
        <v>3551</v>
      </c>
      <c r="CB31" s="3601">
        <v>3551</v>
      </c>
    </row>
    <row r="32" spans="1:80" ht="60">
      <c r="B32" s="2141"/>
      <c r="C32" s="2141"/>
      <c r="D32" s="2141"/>
      <c r="E32" s="2141"/>
      <c r="F32" s="2141"/>
      <c r="G32" s="2141"/>
      <c r="R32" s="3521">
        <f t="shared" si="11"/>
        <v>27</v>
      </c>
      <c r="S32" s="3522" t="s">
        <v>3144</v>
      </c>
      <c r="T32" s="3523" t="s">
        <v>3227</v>
      </c>
      <c r="U32" s="3524">
        <v>2798585</v>
      </c>
      <c r="V32" s="3524">
        <v>2429392</v>
      </c>
      <c r="W32" s="3524">
        <v>3357757</v>
      </c>
      <c r="X32" s="3525">
        <f t="shared" si="15"/>
        <v>5660.5442935360397</v>
      </c>
      <c r="Y32" s="3525">
        <f t="shared" si="15"/>
        <v>4913.7978736976393</v>
      </c>
      <c r="Z32" s="3525">
        <f t="shared" si="15"/>
        <v>6791.550810652775</v>
      </c>
      <c r="AA32" s="3538">
        <v>0</v>
      </c>
      <c r="AB32" s="3538">
        <v>0</v>
      </c>
      <c r="AC32" s="3538">
        <v>0</v>
      </c>
      <c r="AD32" s="3539">
        <v>20000000</v>
      </c>
      <c r="AE32" s="3539">
        <v>20000000</v>
      </c>
      <c r="AF32" s="3539">
        <v>0</v>
      </c>
      <c r="AG32" s="3539">
        <v>0</v>
      </c>
      <c r="AH32" s="3539">
        <v>0</v>
      </c>
      <c r="AI32" s="3539">
        <v>0</v>
      </c>
      <c r="AJ32" s="3540"/>
      <c r="AK32" s="3529"/>
      <c r="AL32" s="3529" t="s">
        <v>3132</v>
      </c>
      <c r="AM32" s="3529" t="s">
        <v>3133</v>
      </c>
      <c r="AN32" s="3530">
        <f t="shared" si="1"/>
        <v>3645.3905250372095</v>
      </c>
      <c r="AO32" s="3530">
        <f t="shared" si="2"/>
        <v>0</v>
      </c>
      <c r="AP32" s="3530">
        <f t="shared" si="3"/>
        <v>3164.4858306612796</v>
      </c>
      <c r="AQ32" s="3530">
        <f t="shared" si="4"/>
        <v>0</v>
      </c>
      <c r="AR32" s="3530">
        <f t="shared" si="5"/>
        <v>4373.7587220603873</v>
      </c>
      <c r="AS32" s="3530">
        <f t="shared" si="6"/>
        <v>0</v>
      </c>
      <c r="AT32" s="3530">
        <f t="shared" si="17"/>
        <v>12880000</v>
      </c>
      <c r="AU32" s="3530">
        <f t="shared" si="18"/>
        <v>0</v>
      </c>
      <c r="AV32" s="3530">
        <f t="shared" si="19"/>
        <v>12880000</v>
      </c>
      <c r="AW32" s="3530">
        <f t="shared" si="20"/>
        <v>0</v>
      </c>
      <c r="AX32" s="3599" t="s">
        <v>3228</v>
      </c>
      <c r="AY32" s="3532">
        <f t="shared" si="12"/>
        <v>27</v>
      </c>
      <c r="AZ32" s="3532"/>
      <c r="BC32" s="3673"/>
      <c r="BD32" s="3603" t="s">
        <v>3432</v>
      </c>
      <c r="BE32" s="3600">
        <v>4</v>
      </c>
      <c r="BF32" s="3600">
        <v>4</v>
      </c>
      <c r="BG32" s="3600">
        <v>4</v>
      </c>
      <c r="BH32" s="3600">
        <v>4</v>
      </c>
      <c r="BI32" s="3600">
        <v>4</v>
      </c>
      <c r="BJ32" s="3600">
        <v>4</v>
      </c>
      <c r="BK32" s="3600">
        <v>4</v>
      </c>
      <c r="BL32" s="3600">
        <v>4</v>
      </c>
      <c r="BM32" s="3600">
        <v>4</v>
      </c>
      <c r="BN32" s="3600">
        <v>4</v>
      </c>
      <c r="BO32" s="3600">
        <v>4</v>
      </c>
      <c r="BP32" s="3600">
        <v>4</v>
      </c>
      <c r="BQ32" s="3600">
        <v>4</v>
      </c>
      <c r="BR32" s="3600">
        <v>4</v>
      </c>
      <c r="BS32" s="3600">
        <v>4</v>
      </c>
      <c r="BT32" s="3600">
        <v>4</v>
      </c>
      <c r="BU32" s="3600">
        <v>4</v>
      </c>
      <c r="BV32" s="3600">
        <v>4</v>
      </c>
      <c r="BW32" s="3600">
        <v>4</v>
      </c>
      <c r="BX32" s="3600">
        <v>4</v>
      </c>
      <c r="BY32" s="3600">
        <v>4</v>
      </c>
      <c r="BZ32" s="3600">
        <v>4</v>
      </c>
      <c r="CA32" s="3600">
        <v>4</v>
      </c>
      <c r="CB32" s="3601">
        <v>4</v>
      </c>
    </row>
    <row r="33" spans="2:80" ht="75">
      <c r="B33" s="2141"/>
      <c r="C33" s="2141"/>
      <c r="D33" s="2141"/>
      <c r="E33" s="2141"/>
      <c r="F33" s="2141"/>
      <c r="G33" s="2141"/>
      <c r="R33" s="3521">
        <f t="shared" si="11"/>
        <v>28</v>
      </c>
      <c r="S33" s="3522" t="s">
        <v>3144</v>
      </c>
      <c r="T33" s="3523" t="s">
        <v>3229</v>
      </c>
      <c r="U33" s="3524">
        <v>100081</v>
      </c>
      <c r="V33" s="3524">
        <v>100000</v>
      </c>
      <c r="W33" s="3524">
        <v>100075</v>
      </c>
      <c r="X33" s="3525">
        <f t="shared" si="15"/>
        <v>202.42834626833934</v>
      </c>
      <c r="Y33" s="3525">
        <f t="shared" si="15"/>
        <v>202.26451201360834</v>
      </c>
      <c r="Z33" s="3525">
        <f t="shared" si="15"/>
        <v>202.41621039761853</v>
      </c>
      <c r="AA33" s="3538">
        <v>0</v>
      </c>
      <c r="AB33" s="3538">
        <v>0</v>
      </c>
      <c r="AC33" s="3538">
        <v>0</v>
      </c>
      <c r="AD33" s="3539">
        <v>936000</v>
      </c>
      <c r="AE33" s="3539">
        <v>936000</v>
      </c>
      <c r="AF33" s="3539">
        <v>0</v>
      </c>
      <c r="AG33" s="3539">
        <v>0</v>
      </c>
      <c r="AH33" s="3539">
        <v>104000</v>
      </c>
      <c r="AI33" s="3539">
        <v>104000</v>
      </c>
      <c r="AJ33" s="3540" t="s">
        <v>3230</v>
      </c>
      <c r="AK33" s="3529"/>
      <c r="AL33" s="3529" t="s">
        <v>839</v>
      </c>
      <c r="AM33" s="3529" t="s">
        <v>839</v>
      </c>
      <c r="AN33" s="3530">
        <f t="shared" si="1"/>
        <v>95.009898490473574</v>
      </c>
      <c r="AO33" s="3530">
        <f t="shared" si="2"/>
        <v>30.075106691237423</v>
      </c>
      <c r="AP33" s="3530">
        <f t="shared" si="3"/>
        <v>94.933002758239411</v>
      </c>
      <c r="AQ33" s="3530">
        <f t="shared" si="4"/>
        <v>30.050765571124813</v>
      </c>
      <c r="AR33" s="3530">
        <f t="shared" si="5"/>
        <v>95.00420251030809</v>
      </c>
      <c r="AS33" s="3530">
        <f t="shared" si="6"/>
        <v>30.073303645303156</v>
      </c>
      <c r="AT33" s="3530">
        <f t="shared" si="17"/>
        <v>439312.31285759993</v>
      </c>
      <c r="AU33" s="3530">
        <f t="shared" si="18"/>
        <v>139063.0333248</v>
      </c>
      <c r="AV33" s="3530">
        <f t="shared" si="19"/>
        <v>439312.31285759993</v>
      </c>
      <c r="AW33" s="3530">
        <f t="shared" si="20"/>
        <v>139063.0333248</v>
      </c>
      <c r="AX33" s="3531" t="s">
        <v>3231</v>
      </c>
      <c r="AY33" s="3532">
        <f t="shared" si="12"/>
        <v>28</v>
      </c>
      <c r="AZ33" s="3532"/>
      <c r="BC33" s="3673"/>
      <c r="BD33" s="3603" t="s">
        <v>3434</v>
      </c>
      <c r="BE33" s="3600">
        <v>0</v>
      </c>
      <c r="BF33" s="3600">
        <v>0</v>
      </c>
      <c r="BG33" s="3600">
        <v>0</v>
      </c>
      <c r="BH33" s="3600">
        <v>0</v>
      </c>
      <c r="BI33" s="3600">
        <v>0</v>
      </c>
      <c r="BJ33" s="3600">
        <v>0</v>
      </c>
      <c r="BK33" s="3600">
        <v>0</v>
      </c>
      <c r="BL33" s="3600">
        <v>0</v>
      </c>
      <c r="BM33" s="3600">
        <v>0</v>
      </c>
      <c r="BN33" s="3600">
        <v>0</v>
      </c>
      <c r="BO33" s="3600">
        <v>0</v>
      </c>
      <c r="BP33" s="3600">
        <v>0</v>
      </c>
      <c r="BQ33" s="3600">
        <v>0</v>
      </c>
      <c r="BR33" s="3600">
        <v>0</v>
      </c>
      <c r="BS33" s="3600">
        <v>0</v>
      </c>
      <c r="BT33" s="3600">
        <v>0</v>
      </c>
      <c r="BU33" s="3600">
        <v>0</v>
      </c>
      <c r="BV33" s="3600">
        <v>0</v>
      </c>
      <c r="BW33" s="3600">
        <v>0</v>
      </c>
      <c r="BX33" s="3600">
        <v>0</v>
      </c>
      <c r="BY33" s="3600">
        <v>0</v>
      </c>
      <c r="BZ33" s="3600">
        <v>0</v>
      </c>
      <c r="CA33" s="3600">
        <v>0</v>
      </c>
      <c r="CB33" s="3601">
        <v>0</v>
      </c>
    </row>
    <row r="34" spans="2:80" ht="45">
      <c r="B34" s="2141"/>
      <c r="C34" s="2141"/>
      <c r="D34" s="2141"/>
      <c r="E34" s="2141"/>
      <c r="F34" s="2141"/>
      <c r="G34" s="2141"/>
      <c r="R34" s="3521">
        <f t="shared" si="11"/>
        <v>29</v>
      </c>
      <c r="S34" s="3522" t="s">
        <v>3144</v>
      </c>
      <c r="T34" s="3523" t="s">
        <v>3232</v>
      </c>
      <c r="U34" s="3524">
        <v>1786541</v>
      </c>
      <c r="V34" s="3524">
        <v>1369738</v>
      </c>
      <c r="W34" s="3524">
        <v>2212730</v>
      </c>
      <c r="X34" s="3525">
        <f t="shared" si="15"/>
        <v>3613.5384355730384</v>
      </c>
      <c r="Y34" s="3525">
        <f t="shared" si="15"/>
        <v>2770.493881564958</v>
      </c>
      <c r="Z34" s="3525">
        <f t="shared" si="15"/>
        <v>4475.5675366787154</v>
      </c>
      <c r="AA34" s="3538">
        <v>0</v>
      </c>
      <c r="AB34" s="3538">
        <v>0</v>
      </c>
      <c r="AC34" s="3538">
        <v>0</v>
      </c>
      <c r="AD34" s="3539">
        <v>1000000</v>
      </c>
      <c r="AE34" s="3539">
        <v>1000000</v>
      </c>
      <c r="AF34" s="3539">
        <v>0</v>
      </c>
      <c r="AG34" s="3539">
        <v>0</v>
      </c>
      <c r="AH34" s="3539">
        <v>0</v>
      </c>
      <c r="AI34" s="3539">
        <v>0</v>
      </c>
      <c r="AJ34" s="3540"/>
      <c r="AK34" s="3529"/>
      <c r="AL34" s="3529" t="s">
        <v>839</v>
      </c>
      <c r="AM34" s="3529" t="s">
        <v>839</v>
      </c>
      <c r="AN34" s="3530">
        <f t="shared" si="1"/>
        <v>1696.0170168070779</v>
      </c>
      <c r="AO34" s="3530">
        <f t="shared" si="2"/>
        <v>536.86924774202896</v>
      </c>
      <c r="AP34" s="3530">
        <f t="shared" si="3"/>
        <v>1300.3334133206531</v>
      </c>
      <c r="AQ34" s="3530">
        <f t="shared" si="4"/>
        <v>411.61675531861351</v>
      </c>
      <c r="AR34" s="3530">
        <f t="shared" si="5"/>
        <v>2100.6110319323907</v>
      </c>
      <c r="AS34" s="3530">
        <f t="shared" si="6"/>
        <v>664.94230502195001</v>
      </c>
      <c r="AT34" s="3530">
        <f t="shared" si="17"/>
        <v>469350.76159999997</v>
      </c>
      <c r="AU34" s="3530">
        <f t="shared" si="18"/>
        <v>148571.61679999999</v>
      </c>
      <c r="AV34" s="3530">
        <f t="shared" si="19"/>
        <v>469350.76159999997</v>
      </c>
      <c r="AW34" s="3530">
        <f t="shared" si="20"/>
        <v>148571.61679999999</v>
      </c>
      <c r="AX34" s="3531" t="s">
        <v>3233</v>
      </c>
      <c r="AY34" s="3532">
        <f t="shared" si="12"/>
        <v>29</v>
      </c>
      <c r="AZ34" s="3532"/>
      <c r="BC34" s="3673"/>
      <c r="BD34" s="3603" t="s">
        <v>3431</v>
      </c>
      <c r="BE34" s="3600">
        <v>4</v>
      </c>
      <c r="BF34" s="3600">
        <v>4</v>
      </c>
      <c r="BG34" s="3600">
        <v>4</v>
      </c>
      <c r="BH34" s="3600">
        <v>4</v>
      </c>
      <c r="BI34" s="3600">
        <v>4</v>
      </c>
      <c r="BJ34" s="3600">
        <v>4</v>
      </c>
      <c r="BK34" s="3600">
        <v>4</v>
      </c>
      <c r="BL34" s="3600">
        <v>4</v>
      </c>
      <c r="BM34" s="3600">
        <v>4</v>
      </c>
      <c r="BN34" s="3600">
        <v>4</v>
      </c>
      <c r="BO34" s="3600">
        <v>4</v>
      </c>
      <c r="BP34" s="3600">
        <v>4</v>
      </c>
      <c r="BQ34" s="3600">
        <v>4</v>
      </c>
      <c r="BR34" s="3600">
        <v>4</v>
      </c>
      <c r="BS34" s="3600">
        <v>4</v>
      </c>
      <c r="BT34" s="3600">
        <v>4</v>
      </c>
      <c r="BU34" s="3600">
        <v>4</v>
      </c>
      <c r="BV34" s="3600">
        <v>4</v>
      </c>
      <c r="BW34" s="3600">
        <v>4</v>
      </c>
      <c r="BX34" s="3600">
        <v>4</v>
      </c>
      <c r="BY34" s="3600">
        <v>4</v>
      </c>
      <c r="BZ34" s="3600">
        <v>4</v>
      </c>
      <c r="CA34" s="3600">
        <v>4</v>
      </c>
      <c r="CB34" s="3601">
        <v>4</v>
      </c>
    </row>
    <row r="35" spans="2:80" ht="25.5">
      <c r="B35" s="2141"/>
      <c r="C35" s="2141"/>
      <c r="D35" s="2141"/>
      <c r="E35" s="2141"/>
      <c r="F35" s="2141"/>
      <c r="G35" s="2141"/>
      <c r="R35" s="3521">
        <f t="shared" si="11"/>
        <v>30</v>
      </c>
      <c r="S35" s="3522" t="s">
        <v>3144</v>
      </c>
      <c r="T35" s="3523" t="s">
        <v>3235</v>
      </c>
      <c r="U35" s="3524">
        <v>2221684</v>
      </c>
      <c r="V35" s="3524">
        <v>2000003</v>
      </c>
      <c r="W35" s="3524">
        <v>1051084</v>
      </c>
      <c r="X35" s="3525">
        <f t="shared" si="15"/>
        <v>4493.6783010844138</v>
      </c>
      <c r="Y35" s="3525">
        <f t="shared" si="15"/>
        <v>4045.2963082075266</v>
      </c>
      <c r="Z35" s="3525">
        <f t="shared" si="15"/>
        <v>2125.9699234531149</v>
      </c>
      <c r="AA35" s="3538">
        <v>0</v>
      </c>
      <c r="AB35" s="3538">
        <v>0</v>
      </c>
      <c r="AC35" s="3538">
        <v>0</v>
      </c>
      <c r="AD35" s="3539">
        <v>0</v>
      </c>
      <c r="AE35" s="3539">
        <v>0</v>
      </c>
      <c r="AF35" s="3539">
        <v>0</v>
      </c>
      <c r="AG35" s="3539">
        <v>0</v>
      </c>
      <c r="AH35" s="3539">
        <v>0</v>
      </c>
      <c r="AI35" s="3539">
        <v>0</v>
      </c>
      <c r="AJ35" s="3540" t="s">
        <v>3164</v>
      </c>
      <c r="AK35" s="3529"/>
      <c r="AL35" s="3529" t="s">
        <v>839</v>
      </c>
      <c r="AM35" s="3529" t="s">
        <v>839</v>
      </c>
      <c r="AN35" s="3530">
        <f t="shared" si="1"/>
        <v>2109.1113329993636</v>
      </c>
      <c r="AO35" s="3530">
        <f t="shared" si="2"/>
        <v>667.63305057118851</v>
      </c>
      <c r="AP35" s="3530">
        <f t="shared" si="3"/>
        <v>1898.6629031548707</v>
      </c>
      <c r="AQ35" s="3530">
        <f t="shared" si="4"/>
        <v>601.01621294546339</v>
      </c>
      <c r="AR35" s="3530">
        <f t="shared" si="5"/>
        <v>997.82560271141301</v>
      </c>
      <c r="AS35" s="3530">
        <f t="shared" si="6"/>
        <v>315.85878879560153</v>
      </c>
      <c r="AT35" s="3530">
        <f t="shared" si="17"/>
        <v>0</v>
      </c>
      <c r="AU35" s="3530">
        <f t="shared" si="18"/>
        <v>0</v>
      </c>
      <c r="AV35" s="3530">
        <f t="shared" si="19"/>
        <v>0</v>
      </c>
      <c r="AW35" s="3530">
        <f t="shared" si="20"/>
        <v>0</v>
      </c>
      <c r="AX35" s="3531" t="s">
        <v>3134</v>
      </c>
      <c r="AY35" s="3532">
        <f t="shared" si="12"/>
        <v>30</v>
      </c>
      <c r="AZ35" s="3532"/>
      <c r="BC35" s="3673"/>
      <c r="BD35" s="3603" t="s">
        <v>3430</v>
      </c>
      <c r="BE35" s="3600">
        <v>35</v>
      </c>
      <c r="BF35" s="3600">
        <v>35</v>
      </c>
      <c r="BG35" s="3600">
        <v>35</v>
      </c>
      <c r="BH35" s="3600">
        <v>35</v>
      </c>
      <c r="BI35" s="3600">
        <v>35</v>
      </c>
      <c r="BJ35" s="3600">
        <v>35</v>
      </c>
      <c r="BK35" s="3600">
        <v>35</v>
      </c>
      <c r="BL35" s="3600">
        <v>35</v>
      </c>
      <c r="BM35" s="3600">
        <v>35</v>
      </c>
      <c r="BN35" s="3600">
        <v>35</v>
      </c>
      <c r="BO35" s="3600">
        <v>35</v>
      </c>
      <c r="BP35" s="3600">
        <v>35</v>
      </c>
      <c r="BQ35" s="3600">
        <v>35</v>
      </c>
      <c r="BR35" s="3600">
        <v>35</v>
      </c>
      <c r="BS35" s="3600">
        <v>35</v>
      </c>
      <c r="BT35" s="3600">
        <v>35</v>
      </c>
      <c r="BU35" s="3600">
        <v>35</v>
      </c>
      <c r="BV35" s="3600">
        <v>35</v>
      </c>
      <c r="BW35" s="3600">
        <v>35</v>
      </c>
      <c r="BX35" s="3600">
        <v>35</v>
      </c>
      <c r="BY35" s="3600">
        <v>35</v>
      </c>
      <c r="BZ35" s="3600">
        <v>35</v>
      </c>
      <c r="CA35" s="3600">
        <v>35</v>
      </c>
      <c r="CB35" s="3601">
        <v>35</v>
      </c>
    </row>
    <row r="36" spans="2:80" ht="90">
      <c r="B36" s="2141"/>
      <c r="C36" s="2141"/>
      <c r="D36" s="2141"/>
      <c r="E36" s="2141"/>
      <c r="F36" s="2141"/>
      <c r="G36" s="2141"/>
      <c r="R36" s="3521">
        <f t="shared" si="11"/>
        <v>31</v>
      </c>
      <c r="S36" s="3522" t="s">
        <v>3144</v>
      </c>
      <c r="T36" s="3523" t="s">
        <v>3236</v>
      </c>
      <c r="U36" s="3524">
        <v>1771645</v>
      </c>
      <c r="V36" s="3524">
        <v>2387292</v>
      </c>
      <c r="W36" s="3524">
        <v>2000689</v>
      </c>
      <c r="X36" s="3525">
        <f t="shared" si="15"/>
        <v>3583.4091138634913</v>
      </c>
      <c r="Y36" s="3525">
        <f t="shared" si="15"/>
        <v>4828.6445141399108</v>
      </c>
      <c r="Z36" s="3525">
        <f t="shared" si="15"/>
        <v>4046.6838427599405</v>
      </c>
      <c r="AA36" s="3538">
        <v>0</v>
      </c>
      <c r="AB36" s="3538">
        <v>0</v>
      </c>
      <c r="AC36" s="3538">
        <v>0</v>
      </c>
      <c r="AD36" s="3539">
        <v>936000</v>
      </c>
      <c r="AE36" s="3539">
        <v>936000</v>
      </c>
      <c r="AF36" s="3539">
        <v>0</v>
      </c>
      <c r="AG36" s="3539">
        <v>0</v>
      </c>
      <c r="AH36" s="3539">
        <v>104000</v>
      </c>
      <c r="AI36" s="3539">
        <v>104000</v>
      </c>
      <c r="AJ36" s="3540" t="s">
        <v>3237</v>
      </c>
      <c r="AK36" s="3529"/>
      <c r="AL36" s="3529" t="s">
        <v>839</v>
      </c>
      <c r="AM36" s="3529" t="s">
        <v>839</v>
      </c>
      <c r="AN36" s="3530">
        <f t="shared" si="1"/>
        <v>1681.8757967162105</v>
      </c>
      <c r="AO36" s="3530">
        <f t="shared" si="2"/>
        <v>532.39288570255417</v>
      </c>
      <c r="AP36" s="3530">
        <f t="shared" si="3"/>
        <v>2266.3279802072288</v>
      </c>
      <c r="AQ36" s="3530">
        <f t="shared" si="4"/>
        <v>717.39952241821697</v>
      </c>
      <c r="AR36" s="3530">
        <f t="shared" si="5"/>
        <v>1899.3141435537925</v>
      </c>
      <c r="AS36" s="3530">
        <f t="shared" si="6"/>
        <v>601.22236119728132</v>
      </c>
      <c r="AT36" s="3530">
        <f t="shared" si="17"/>
        <v>439312.31285759993</v>
      </c>
      <c r="AU36" s="3530">
        <f t="shared" si="18"/>
        <v>139063.0333248</v>
      </c>
      <c r="AV36" s="3530">
        <f t="shared" si="19"/>
        <v>439312.31285759993</v>
      </c>
      <c r="AW36" s="3530">
        <f t="shared" si="20"/>
        <v>139063.0333248</v>
      </c>
      <c r="AX36" s="3531" t="s">
        <v>3238</v>
      </c>
      <c r="AY36" s="3532">
        <f t="shared" si="12"/>
        <v>31</v>
      </c>
      <c r="AZ36" s="3532"/>
      <c r="BC36" s="3673"/>
      <c r="CB36" s="3672"/>
    </row>
    <row r="37" spans="2:80" ht="25.5">
      <c r="B37" s="2141"/>
      <c r="C37" s="2141"/>
      <c r="D37" s="2141"/>
      <c r="E37" s="2141"/>
      <c r="F37" s="2141"/>
      <c r="G37" s="2141"/>
      <c r="R37" s="3521">
        <f t="shared" si="11"/>
        <v>32</v>
      </c>
      <c r="S37" s="3522" t="s">
        <v>3144</v>
      </c>
      <c r="T37" s="3523" t="s">
        <v>3239</v>
      </c>
      <c r="U37" s="3524">
        <v>978615</v>
      </c>
      <c r="V37" s="3524">
        <v>909147</v>
      </c>
      <c r="W37" s="3524">
        <v>977102</v>
      </c>
      <c r="X37" s="3525">
        <f t="shared" si="15"/>
        <v>1979.3908542419731</v>
      </c>
      <c r="Y37" s="3525">
        <f t="shared" si="15"/>
        <v>1838.8817430363597</v>
      </c>
      <c r="Z37" s="3525">
        <f t="shared" si="15"/>
        <v>1976.3305921752074</v>
      </c>
      <c r="AA37" s="3538">
        <v>0</v>
      </c>
      <c r="AB37" s="3538">
        <v>0</v>
      </c>
      <c r="AC37" s="3538">
        <v>0</v>
      </c>
      <c r="AD37" s="3539">
        <v>0</v>
      </c>
      <c r="AE37" s="3539">
        <v>0</v>
      </c>
      <c r="AF37" s="3539">
        <v>0</v>
      </c>
      <c r="AG37" s="3539">
        <v>0</v>
      </c>
      <c r="AH37" s="3539">
        <v>0</v>
      </c>
      <c r="AI37" s="3539">
        <v>0</v>
      </c>
      <c r="AJ37" s="3540"/>
      <c r="AK37" s="3529"/>
      <c r="AL37" s="3529" t="s">
        <v>839</v>
      </c>
      <c r="AM37" s="3529" t="s">
        <v>839</v>
      </c>
      <c r="AN37" s="3530">
        <f t="shared" si="1"/>
        <v>929.02860494254458</v>
      </c>
      <c r="AO37" s="3530">
        <f t="shared" si="2"/>
        <v>294.08129949386307</v>
      </c>
      <c r="AP37" s="3530">
        <f t="shared" si="3"/>
        <v>863.08054658645085</v>
      </c>
      <c r="AQ37" s="3530">
        <f t="shared" si="4"/>
        <v>273.20563366691408</v>
      </c>
      <c r="AR37" s="3530">
        <f t="shared" si="5"/>
        <v>927.59226861081243</v>
      </c>
      <c r="AS37" s="3530">
        <f t="shared" si="6"/>
        <v>293.62663141077201</v>
      </c>
      <c r="AT37" s="3530">
        <f t="shared" si="17"/>
        <v>0</v>
      </c>
      <c r="AU37" s="3530">
        <f t="shared" si="18"/>
        <v>0</v>
      </c>
      <c r="AV37" s="3530">
        <f t="shared" si="19"/>
        <v>0</v>
      </c>
      <c r="AW37" s="3530">
        <f t="shared" si="20"/>
        <v>0</v>
      </c>
      <c r="AX37" s="3531" t="s">
        <v>3134</v>
      </c>
      <c r="AY37" s="3532">
        <f t="shared" si="12"/>
        <v>32</v>
      </c>
      <c r="AZ37" s="3532"/>
      <c r="BC37" s="3673"/>
      <c r="BD37" s="3693" t="s">
        <v>3259</v>
      </c>
      <c r="BE37" s="3715"/>
      <c r="BF37" s="3715"/>
      <c r="BG37" s="3715"/>
      <c r="CB37" s="3672"/>
    </row>
    <row r="38" spans="2:80" ht="90">
      <c r="R38" s="3521">
        <f t="shared" si="11"/>
        <v>33</v>
      </c>
      <c r="S38" s="3522" t="s">
        <v>3144</v>
      </c>
      <c r="T38" s="3523" t="s">
        <v>3240</v>
      </c>
      <c r="U38" s="3524">
        <v>2970407</v>
      </c>
      <c r="V38" s="3524">
        <v>2609026</v>
      </c>
      <c r="W38" s="3524">
        <v>2804725</v>
      </c>
      <c r="X38" s="3525">
        <f t="shared" si="15"/>
        <v>6008.0792233680622</v>
      </c>
      <c r="Y38" s="3525">
        <f t="shared" si="15"/>
        <v>5277.1337072081642</v>
      </c>
      <c r="Z38" s="3525">
        <f t="shared" si="15"/>
        <v>5672.9633345736765</v>
      </c>
      <c r="AA38" s="3538">
        <v>0</v>
      </c>
      <c r="AB38" s="3538">
        <v>0</v>
      </c>
      <c r="AC38" s="3538">
        <v>0</v>
      </c>
      <c r="AD38" s="3539">
        <v>382000</v>
      </c>
      <c r="AE38" s="3539">
        <v>632000</v>
      </c>
      <c r="AF38" s="3539">
        <v>0</v>
      </c>
      <c r="AG38" s="3539">
        <v>0</v>
      </c>
      <c r="AH38" s="3539">
        <v>0</v>
      </c>
      <c r="AI38" s="3539">
        <v>0</v>
      </c>
      <c r="AJ38" s="3540"/>
      <c r="AK38" s="3529" t="s">
        <v>3167</v>
      </c>
      <c r="AL38" s="3529" t="s">
        <v>839</v>
      </c>
      <c r="AM38" s="3529" t="s">
        <v>839</v>
      </c>
      <c r="AN38" s="3530">
        <f t="shared" si="1"/>
        <v>2819.8965592409363</v>
      </c>
      <c r="AO38" s="3530">
        <f t="shared" si="2"/>
        <v>892.63004407828134</v>
      </c>
      <c r="AP38" s="3530">
        <f t="shared" si="3"/>
        <v>2476.826724543183</v>
      </c>
      <c r="AQ38" s="3530">
        <f t="shared" si="4"/>
        <v>784.03228694969482</v>
      </c>
      <c r="AR38" s="3530">
        <f t="shared" si="5"/>
        <v>2662.6096616110303</v>
      </c>
      <c r="AS38" s="3530">
        <f t="shared" si="6"/>
        <v>842.84133466473043</v>
      </c>
      <c r="AT38" s="3530">
        <f t="shared" si="17"/>
        <v>179291.99093119998</v>
      </c>
      <c r="AU38" s="3530">
        <f t="shared" si="18"/>
        <v>56754.357617599999</v>
      </c>
      <c r="AV38" s="3530">
        <f t="shared" si="19"/>
        <v>296629.68133119994</v>
      </c>
      <c r="AW38" s="3530">
        <f t="shared" si="20"/>
        <v>93897.261817599996</v>
      </c>
      <c r="AX38" s="3531" t="s">
        <v>3241</v>
      </c>
      <c r="AY38" s="3532">
        <f t="shared" si="12"/>
        <v>33</v>
      </c>
      <c r="AZ38" s="3532"/>
      <c r="BC38" s="3673"/>
      <c r="BE38" s="3691">
        <v>45688</v>
      </c>
      <c r="BF38" s="3691">
        <f t="shared" ref="BF38:CB38" si="21">EOMONTH(BE38,1)</f>
        <v>45716</v>
      </c>
      <c r="BG38" s="3691">
        <f t="shared" si="21"/>
        <v>45747</v>
      </c>
      <c r="BH38" s="3691">
        <f t="shared" si="21"/>
        <v>45777</v>
      </c>
      <c r="BI38" s="3691">
        <f t="shared" si="21"/>
        <v>45808</v>
      </c>
      <c r="BJ38" s="3691">
        <f t="shared" si="21"/>
        <v>45838</v>
      </c>
      <c r="BK38" s="3691">
        <f t="shared" si="21"/>
        <v>45869</v>
      </c>
      <c r="BL38" s="3691">
        <f t="shared" si="21"/>
        <v>45900</v>
      </c>
      <c r="BM38" s="3691">
        <f t="shared" si="21"/>
        <v>45930</v>
      </c>
      <c r="BN38" s="3691">
        <f t="shared" si="21"/>
        <v>45961</v>
      </c>
      <c r="BO38" s="3691">
        <f t="shared" si="21"/>
        <v>45991</v>
      </c>
      <c r="BP38" s="3691">
        <f t="shared" si="21"/>
        <v>46022</v>
      </c>
      <c r="BQ38" s="3691">
        <f t="shared" si="21"/>
        <v>46053</v>
      </c>
      <c r="BR38" s="3691">
        <f t="shared" si="21"/>
        <v>46081</v>
      </c>
      <c r="BS38" s="3691">
        <f t="shared" si="21"/>
        <v>46112</v>
      </c>
      <c r="BT38" s="3691">
        <f t="shared" si="21"/>
        <v>46142</v>
      </c>
      <c r="BU38" s="3691">
        <f t="shared" si="21"/>
        <v>46173</v>
      </c>
      <c r="BV38" s="3691">
        <f t="shared" si="21"/>
        <v>46203</v>
      </c>
      <c r="BW38" s="3691">
        <f t="shared" si="21"/>
        <v>46234</v>
      </c>
      <c r="BX38" s="3691">
        <f t="shared" si="21"/>
        <v>46265</v>
      </c>
      <c r="BY38" s="3691">
        <f t="shared" si="21"/>
        <v>46295</v>
      </c>
      <c r="BZ38" s="3691">
        <f t="shared" si="21"/>
        <v>46326</v>
      </c>
      <c r="CA38" s="3691">
        <f t="shared" si="21"/>
        <v>46356</v>
      </c>
      <c r="CB38" s="3690">
        <f t="shared" si="21"/>
        <v>46387</v>
      </c>
    </row>
    <row r="39" spans="2:80" ht="45">
      <c r="R39" s="3521">
        <f t="shared" si="11"/>
        <v>34</v>
      </c>
      <c r="S39" s="3522" t="s">
        <v>3144</v>
      </c>
      <c r="T39" s="3523" t="s">
        <v>3242</v>
      </c>
      <c r="U39" s="3524">
        <v>380134</v>
      </c>
      <c r="V39" s="3524">
        <v>399999</v>
      </c>
      <c r="W39" s="3524">
        <v>399999</v>
      </c>
      <c r="X39" s="3525">
        <f t="shared" si="15"/>
        <v>768.87618009780988</v>
      </c>
      <c r="Y39" s="3525">
        <f t="shared" si="15"/>
        <v>809.05602540931318</v>
      </c>
      <c r="Z39" s="3525">
        <f t="shared" si="15"/>
        <v>809.05602540931318</v>
      </c>
      <c r="AA39" s="3538">
        <v>0</v>
      </c>
      <c r="AB39" s="3538">
        <v>0</v>
      </c>
      <c r="AC39" s="3538">
        <v>0</v>
      </c>
      <c r="AD39" s="3539">
        <v>6000</v>
      </c>
      <c r="AE39" s="3539">
        <v>6000</v>
      </c>
      <c r="AF39" s="3539">
        <v>0</v>
      </c>
      <c r="AG39" s="3539">
        <v>0</v>
      </c>
      <c r="AH39" s="3539">
        <v>594000</v>
      </c>
      <c r="AI39" s="3539">
        <v>594000</v>
      </c>
      <c r="AJ39" s="3540" t="s">
        <v>3243</v>
      </c>
      <c r="AK39" s="3529"/>
      <c r="AL39" s="3529" t="s">
        <v>839</v>
      </c>
      <c r="AM39" s="3529" t="s">
        <v>839</v>
      </c>
      <c r="AN39" s="3530">
        <f t="shared" si="1"/>
        <v>360.87262070500577</v>
      </c>
      <c r="AO39" s="3530">
        <f t="shared" si="2"/>
        <v>114.23317719613959</v>
      </c>
      <c r="AP39" s="3530">
        <f t="shared" si="3"/>
        <v>379.73106170293005</v>
      </c>
      <c r="AQ39" s="3530">
        <f t="shared" si="4"/>
        <v>120.20276177684354</v>
      </c>
      <c r="AR39" s="3530">
        <f t="shared" si="5"/>
        <v>379.73106170293005</v>
      </c>
      <c r="AS39" s="3530">
        <f t="shared" si="6"/>
        <v>120.20276177684354</v>
      </c>
      <c r="AT39" s="3530">
        <f t="shared" si="17"/>
        <v>2816.1045695999996</v>
      </c>
      <c r="AU39" s="3530">
        <f t="shared" si="18"/>
        <v>891.42970079999998</v>
      </c>
      <c r="AV39" s="3530">
        <f t="shared" si="19"/>
        <v>2816.1045695999996</v>
      </c>
      <c r="AW39" s="3530">
        <f t="shared" si="20"/>
        <v>891.42970079999998</v>
      </c>
      <c r="AX39" s="3531" t="s">
        <v>3244</v>
      </c>
      <c r="AY39" s="3532">
        <f t="shared" si="12"/>
        <v>34</v>
      </c>
      <c r="AZ39" s="3532"/>
      <c r="BC39" s="3673"/>
      <c r="BD39" s="3603" t="s">
        <v>3433</v>
      </c>
      <c r="BE39" s="3604">
        <f t="shared" ref="BE39:CB39" si="22">BE30-$BE$17-$BE$18</f>
        <v>610.68769033503486</v>
      </c>
      <c r="BF39" s="3604">
        <f t="shared" si="22"/>
        <v>616.71094614898902</v>
      </c>
      <c r="BG39" s="3604">
        <f t="shared" si="22"/>
        <v>622.73420196294319</v>
      </c>
      <c r="BH39" s="3604">
        <f t="shared" si="22"/>
        <v>628.75745777689735</v>
      </c>
      <c r="BI39" s="3604">
        <f t="shared" si="22"/>
        <v>634.78071359085152</v>
      </c>
      <c r="BJ39" s="3604">
        <f t="shared" si="22"/>
        <v>640.80396940477658</v>
      </c>
      <c r="BK39" s="3604">
        <f t="shared" si="22"/>
        <v>646.82722521873075</v>
      </c>
      <c r="BL39" s="3604">
        <f t="shared" si="22"/>
        <v>652.85048103268491</v>
      </c>
      <c r="BM39" s="3604">
        <f t="shared" si="22"/>
        <v>658.87373684663908</v>
      </c>
      <c r="BN39" s="3604">
        <f t="shared" si="22"/>
        <v>664.89699266059324</v>
      </c>
      <c r="BO39" s="3604">
        <f t="shared" si="22"/>
        <v>670.92024847454741</v>
      </c>
      <c r="BP39" s="3604">
        <f t="shared" si="22"/>
        <v>676.94350428850157</v>
      </c>
      <c r="BQ39" s="3604">
        <f t="shared" si="22"/>
        <v>682.96676010245574</v>
      </c>
      <c r="BR39" s="3604">
        <f t="shared" si="22"/>
        <v>688.9900159164099</v>
      </c>
      <c r="BS39" s="3604">
        <f t="shared" si="22"/>
        <v>695.01327173036407</v>
      </c>
      <c r="BT39" s="3604">
        <f t="shared" si="22"/>
        <v>701.03652754431823</v>
      </c>
      <c r="BU39" s="3604">
        <f t="shared" si="22"/>
        <v>707.0597833582724</v>
      </c>
      <c r="BV39" s="3604">
        <f t="shared" si="22"/>
        <v>713.08303917222656</v>
      </c>
      <c r="BW39" s="3604">
        <f t="shared" si="22"/>
        <v>719.10629498618073</v>
      </c>
      <c r="BX39" s="3604">
        <f t="shared" si="22"/>
        <v>725.12955080013489</v>
      </c>
      <c r="BY39" s="3604">
        <f t="shared" si="22"/>
        <v>731.15280661408906</v>
      </c>
      <c r="BZ39" s="3604">
        <f t="shared" si="22"/>
        <v>737.17606242804322</v>
      </c>
      <c r="CA39" s="3604">
        <f t="shared" si="22"/>
        <v>743.19931824199739</v>
      </c>
      <c r="CB39" s="3605">
        <f t="shared" si="22"/>
        <v>749.22257405595155</v>
      </c>
    </row>
    <row r="40" spans="2:80" ht="60">
      <c r="R40" s="3521">
        <f t="shared" si="11"/>
        <v>35</v>
      </c>
      <c r="S40" s="3522" t="s">
        <v>3144</v>
      </c>
      <c r="T40" s="3523" t="s">
        <v>3245</v>
      </c>
      <c r="U40" s="3524">
        <v>7316</v>
      </c>
      <c r="V40" s="3524">
        <v>1461811</v>
      </c>
      <c r="W40" s="3524">
        <v>878940</v>
      </c>
      <c r="X40" s="3525">
        <f t="shared" si="15"/>
        <v>14.797671698915586</v>
      </c>
      <c r="Y40" s="3525">
        <f t="shared" si="15"/>
        <v>2956.7248857112481</v>
      </c>
      <c r="Z40" s="3525">
        <f t="shared" si="15"/>
        <v>1777.783701892409</v>
      </c>
      <c r="AA40" s="3538">
        <v>0</v>
      </c>
      <c r="AB40" s="3538">
        <v>0</v>
      </c>
      <c r="AC40" s="3538">
        <v>0</v>
      </c>
      <c r="AD40" s="3539">
        <v>0</v>
      </c>
      <c r="AE40" s="3539">
        <v>0</v>
      </c>
      <c r="AF40" s="3539">
        <v>0</v>
      </c>
      <c r="AG40" s="3539">
        <v>0</v>
      </c>
      <c r="AH40" s="3539">
        <v>0</v>
      </c>
      <c r="AI40" s="3539">
        <v>0</v>
      </c>
      <c r="AJ40" s="3540"/>
      <c r="AK40" s="3529"/>
      <c r="AL40" s="3529" t="s">
        <v>839</v>
      </c>
      <c r="AM40" s="3529" t="s">
        <v>839</v>
      </c>
      <c r="AN40" s="3530">
        <f t="shared" si="1"/>
        <v>6.9452984817927952</v>
      </c>
      <c r="AO40" s="3530">
        <f t="shared" si="2"/>
        <v>2.1985140091834916</v>
      </c>
      <c r="AP40" s="3530">
        <f t="shared" si="3"/>
        <v>1387.7410769502471</v>
      </c>
      <c r="AQ40" s="3530">
        <f t="shared" si="4"/>
        <v>439.28539670291536</v>
      </c>
      <c r="AR40" s="3530">
        <f t="shared" si="5"/>
        <v>834.40413444326941</v>
      </c>
      <c r="AS40" s="3530">
        <f t="shared" si="6"/>
        <v>264.12819891084445</v>
      </c>
      <c r="AT40" s="3530">
        <f t="shared" si="17"/>
        <v>0</v>
      </c>
      <c r="AU40" s="3530">
        <f t="shared" si="18"/>
        <v>0</v>
      </c>
      <c r="AV40" s="3530">
        <f t="shared" si="19"/>
        <v>0</v>
      </c>
      <c r="AW40" s="3530">
        <f t="shared" si="20"/>
        <v>0</v>
      </c>
      <c r="AX40" s="3531" t="s">
        <v>3246</v>
      </c>
      <c r="AY40" s="3532">
        <f t="shared" si="12"/>
        <v>35</v>
      </c>
      <c r="AZ40" s="3532"/>
      <c r="BC40" s="3673"/>
      <c r="BD40" s="3603" t="s">
        <v>3428</v>
      </c>
      <c r="BE40" s="3604">
        <f t="shared" ref="BE40:CB40" si="23">BE31-$BE$19</f>
        <v>0</v>
      </c>
      <c r="BF40" s="3604">
        <f t="shared" si="23"/>
        <v>0</v>
      </c>
      <c r="BG40" s="3604">
        <f t="shared" si="23"/>
        <v>0</v>
      </c>
      <c r="BH40" s="3604">
        <f t="shared" si="23"/>
        <v>0</v>
      </c>
      <c r="BI40" s="3604">
        <f t="shared" si="23"/>
        <v>0</v>
      </c>
      <c r="BJ40" s="3604">
        <f t="shared" si="23"/>
        <v>0</v>
      </c>
      <c r="BK40" s="3604">
        <f t="shared" si="23"/>
        <v>0</v>
      </c>
      <c r="BL40" s="3604">
        <f t="shared" si="23"/>
        <v>0</v>
      </c>
      <c r="BM40" s="3604">
        <f t="shared" si="23"/>
        <v>0</v>
      </c>
      <c r="BN40" s="3604">
        <f t="shared" si="23"/>
        <v>0</v>
      </c>
      <c r="BO40" s="3604">
        <f t="shared" si="23"/>
        <v>0</v>
      </c>
      <c r="BP40" s="3604">
        <f t="shared" si="23"/>
        <v>0</v>
      </c>
      <c r="BQ40" s="3604">
        <f t="shared" si="23"/>
        <v>0</v>
      </c>
      <c r="BR40" s="3604">
        <f t="shared" si="23"/>
        <v>0</v>
      </c>
      <c r="BS40" s="3604">
        <f t="shared" si="23"/>
        <v>0</v>
      </c>
      <c r="BT40" s="3604">
        <f t="shared" si="23"/>
        <v>0</v>
      </c>
      <c r="BU40" s="3604">
        <f t="shared" si="23"/>
        <v>0</v>
      </c>
      <c r="BV40" s="3604">
        <f t="shared" si="23"/>
        <v>0</v>
      </c>
      <c r="BW40" s="3604">
        <f t="shared" si="23"/>
        <v>0</v>
      </c>
      <c r="BX40" s="3604">
        <f t="shared" si="23"/>
        <v>0</v>
      </c>
      <c r="BY40" s="3604">
        <f t="shared" si="23"/>
        <v>0</v>
      </c>
      <c r="BZ40" s="3604">
        <f t="shared" si="23"/>
        <v>0</v>
      </c>
      <c r="CA40" s="3604">
        <f t="shared" si="23"/>
        <v>0</v>
      </c>
      <c r="CB40" s="3605">
        <f t="shared" si="23"/>
        <v>0</v>
      </c>
    </row>
    <row r="41" spans="2:80" ht="45">
      <c r="R41" s="3521">
        <f t="shared" si="11"/>
        <v>36</v>
      </c>
      <c r="S41" s="3522" t="s">
        <v>3144</v>
      </c>
      <c r="T41" s="3523" t="s">
        <v>3247</v>
      </c>
      <c r="U41" s="3524">
        <v>4260001</v>
      </c>
      <c r="V41" s="3524">
        <v>4144998</v>
      </c>
      <c r="W41" s="3524">
        <v>3140001</v>
      </c>
      <c r="X41" s="3525">
        <f t="shared" si="15"/>
        <v>8616.4702344248344</v>
      </c>
      <c r="Y41" s="3525">
        <f t="shared" si="15"/>
        <v>8383.8599776738247</v>
      </c>
      <c r="Z41" s="3525">
        <f t="shared" si="15"/>
        <v>6351.107699872422</v>
      </c>
      <c r="AA41" s="3538">
        <v>0</v>
      </c>
      <c r="AB41" s="3538">
        <v>0</v>
      </c>
      <c r="AC41" s="3538">
        <v>0</v>
      </c>
      <c r="AD41" s="3539">
        <v>230000</v>
      </c>
      <c r="AE41" s="3539">
        <v>173000</v>
      </c>
      <c r="AF41" s="3539">
        <v>0</v>
      </c>
      <c r="AG41" s="3539">
        <v>0</v>
      </c>
      <c r="AH41" s="3539">
        <v>0</v>
      </c>
      <c r="AI41" s="3539">
        <v>0</v>
      </c>
      <c r="AJ41" s="3540"/>
      <c r="AK41" s="3529" t="s">
        <v>3167</v>
      </c>
      <c r="AL41" s="3529" t="s">
        <v>839</v>
      </c>
      <c r="AM41" s="3529" t="s">
        <v>839</v>
      </c>
      <c r="AN41" s="3530">
        <f t="shared" si="1"/>
        <v>4044.1468668310263</v>
      </c>
      <c r="AO41" s="3530">
        <f t="shared" si="2"/>
        <v>1280.1629138375727</v>
      </c>
      <c r="AP41" s="3530">
        <f t="shared" si="3"/>
        <v>3934.9710656689681</v>
      </c>
      <c r="AQ41" s="3530">
        <f t="shared" si="4"/>
        <v>1245.6036319078121</v>
      </c>
      <c r="AR41" s="3530">
        <f t="shared" si="5"/>
        <v>2980.8972359387453</v>
      </c>
      <c r="AS41" s="3530">
        <f t="shared" si="6"/>
        <v>943.59433944097486</v>
      </c>
      <c r="AT41" s="3530">
        <f t="shared" si="17"/>
        <v>107950.67516799999</v>
      </c>
      <c r="AU41" s="3530">
        <f t="shared" si="18"/>
        <v>34171.471863999999</v>
      </c>
      <c r="AV41" s="3530">
        <f t="shared" si="19"/>
        <v>81197.681756799997</v>
      </c>
      <c r="AW41" s="3530">
        <f t="shared" si="20"/>
        <v>25702.889706400001</v>
      </c>
      <c r="AX41" s="3531" t="s">
        <v>3248</v>
      </c>
      <c r="AY41" s="3532">
        <f t="shared" si="12"/>
        <v>36</v>
      </c>
      <c r="AZ41" s="3532"/>
      <c r="BC41" s="3673"/>
      <c r="BD41" s="3603" t="s">
        <v>3432</v>
      </c>
      <c r="BE41" s="3604">
        <f t="shared" ref="BE41:CB41" si="24">BE32-$BE$20</f>
        <v>0</v>
      </c>
      <c r="BF41" s="3604">
        <f t="shared" si="24"/>
        <v>0</v>
      </c>
      <c r="BG41" s="3604">
        <f t="shared" si="24"/>
        <v>0</v>
      </c>
      <c r="BH41" s="3604">
        <f t="shared" si="24"/>
        <v>0</v>
      </c>
      <c r="BI41" s="3604">
        <f t="shared" si="24"/>
        <v>0</v>
      </c>
      <c r="BJ41" s="3604">
        <f t="shared" si="24"/>
        <v>0</v>
      </c>
      <c r="BK41" s="3604">
        <f t="shared" si="24"/>
        <v>0</v>
      </c>
      <c r="BL41" s="3604">
        <f t="shared" si="24"/>
        <v>0</v>
      </c>
      <c r="BM41" s="3604">
        <f t="shared" si="24"/>
        <v>0</v>
      </c>
      <c r="BN41" s="3604">
        <f t="shared" si="24"/>
        <v>0</v>
      </c>
      <c r="BO41" s="3604">
        <f t="shared" si="24"/>
        <v>0</v>
      </c>
      <c r="BP41" s="3604">
        <f t="shared" si="24"/>
        <v>0</v>
      </c>
      <c r="BQ41" s="3604">
        <f t="shared" si="24"/>
        <v>0</v>
      </c>
      <c r="BR41" s="3604">
        <f t="shared" si="24"/>
        <v>0</v>
      </c>
      <c r="BS41" s="3604">
        <f t="shared" si="24"/>
        <v>0</v>
      </c>
      <c r="BT41" s="3604">
        <f t="shared" si="24"/>
        <v>0</v>
      </c>
      <c r="BU41" s="3604">
        <f t="shared" si="24"/>
        <v>0</v>
      </c>
      <c r="BV41" s="3604">
        <f t="shared" si="24"/>
        <v>0</v>
      </c>
      <c r="BW41" s="3604">
        <f t="shared" si="24"/>
        <v>0</v>
      </c>
      <c r="BX41" s="3604">
        <f t="shared" si="24"/>
        <v>0</v>
      </c>
      <c r="BY41" s="3604">
        <f t="shared" si="24"/>
        <v>0</v>
      </c>
      <c r="BZ41" s="3604">
        <f t="shared" si="24"/>
        <v>0</v>
      </c>
      <c r="CA41" s="3604">
        <f t="shared" si="24"/>
        <v>0</v>
      </c>
      <c r="CB41" s="3605">
        <f t="shared" si="24"/>
        <v>0</v>
      </c>
    </row>
    <row r="42" spans="2:80" ht="75">
      <c r="R42" s="3521">
        <f t="shared" si="11"/>
        <v>37</v>
      </c>
      <c r="S42" s="3522" t="s">
        <v>3155</v>
      </c>
      <c r="T42" s="3523" t="s">
        <v>3249</v>
      </c>
      <c r="U42" s="3524">
        <v>6850000</v>
      </c>
      <c r="V42" s="3524">
        <v>5748784</v>
      </c>
      <c r="W42" s="3524">
        <v>7092857</v>
      </c>
      <c r="X42" s="3525">
        <f t="shared" si="15"/>
        <v>13855.11907293217</v>
      </c>
      <c r="Y42" s="3525">
        <f t="shared" si="15"/>
        <v>11627.749904316393</v>
      </c>
      <c r="Z42" s="3525">
        <f t="shared" si="15"/>
        <v>14346.332598873058</v>
      </c>
      <c r="AA42" s="3538">
        <v>0</v>
      </c>
      <c r="AB42" s="3538">
        <v>0</v>
      </c>
      <c r="AC42" s="3538">
        <v>0</v>
      </c>
      <c r="AD42" s="3539">
        <v>0</v>
      </c>
      <c r="AE42" s="3539">
        <v>37945</v>
      </c>
      <c r="AF42" s="3539">
        <v>0</v>
      </c>
      <c r="AG42" s="3539">
        <v>0</v>
      </c>
      <c r="AH42" s="3539">
        <v>0</v>
      </c>
      <c r="AI42" s="3539">
        <v>0</v>
      </c>
      <c r="AJ42" s="3540"/>
      <c r="AK42" s="3529" t="s">
        <v>3167</v>
      </c>
      <c r="AL42" s="3529" t="s">
        <v>839</v>
      </c>
      <c r="AM42" s="3529" t="s">
        <v>839</v>
      </c>
      <c r="AN42" s="3530">
        <f t="shared" si="1"/>
        <v>6502.9106889393988</v>
      </c>
      <c r="AO42" s="3530">
        <f t="shared" si="2"/>
        <v>2058.4774416220494</v>
      </c>
      <c r="AP42" s="3530">
        <f t="shared" si="3"/>
        <v>5457.4932732852258</v>
      </c>
      <c r="AQ42" s="3530">
        <f t="shared" si="4"/>
        <v>1727.5536030303319</v>
      </c>
      <c r="AR42" s="3530">
        <f t="shared" si="5"/>
        <v>6733.4621314479764</v>
      </c>
      <c r="AS42" s="3530">
        <f t="shared" si="6"/>
        <v>2131.4578293651161</v>
      </c>
      <c r="AT42" s="3530">
        <f t="shared" si="17"/>
        <v>0</v>
      </c>
      <c r="AU42" s="3530">
        <f t="shared" si="18"/>
        <v>0</v>
      </c>
      <c r="AV42" s="3530">
        <f t="shared" si="19"/>
        <v>17809.514648911998</v>
      </c>
      <c r="AW42" s="3530">
        <f t="shared" si="20"/>
        <v>5637.5499994760003</v>
      </c>
      <c r="AX42" s="3531" t="s">
        <v>3250</v>
      </c>
      <c r="AY42" s="3532">
        <f t="shared" si="12"/>
        <v>37</v>
      </c>
      <c r="AZ42" s="3532"/>
      <c r="BC42" s="3673"/>
      <c r="BD42" s="3603" t="s">
        <v>3434</v>
      </c>
      <c r="BE42" s="3604">
        <v>0</v>
      </c>
      <c r="BF42" s="3604">
        <v>0</v>
      </c>
      <c r="BG42" s="3604">
        <v>0</v>
      </c>
      <c r="BH42" s="3604">
        <v>0</v>
      </c>
      <c r="BI42" s="3604">
        <v>0</v>
      </c>
      <c r="BJ42" s="3604">
        <v>0</v>
      </c>
      <c r="BK42" s="3604">
        <v>0</v>
      </c>
      <c r="BL42" s="3604">
        <v>0</v>
      </c>
      <c r="BM42" s="3604">
        <v>0</v>
      </c>
      <c r="BN42" s="3604">
        <v>0</v>
      </c>
      <c r="BO42" s="3604">
        <v>0</v>
      </c>
      <c r="BP42" s="3604">
        <v>0</v>
      </c>
      <c r="BQ42" s="3604">
        <v>0</v>
      </c>
      <c r="BR42" s="3604">
        <v>0</v>
      </c>
      <c r="BS42" s="3604">
        <v>0</v>
      </c>
      <c r="BT42" s="3604">
        <v>0</v>
      </c>
      <c r="BU42" s="3604">
        <v>0</v>
      </c>
      <c r="BV42" s="3604">
        <v>0</v>
      </c>
      <c r="BW42" s="3604">
        <v>0</v>
      </c>
      <c r="BX42" s="3604">
        <v>0</v>
      </c>
      <c r="BY42" s="3604">
        <v>0</v>
      </c>
      <c r="BZ42" s="3604">
        <v>0</v>
      </c>
      <c r="CA42" s="3604">
        <v>0</v>
      </c>
      <c r="CB42" s="3605">
        <v>0</v>
      </c>
    </row>
    <row r="43" spans="2:80" ht="120">
      <c r="R43" s="3521">
        <f t="shared" si="11"/>
        <v>38</v>
      </c>
      <c r="S43" s="3522" t="s">
        <v>3155</v>
      </c>
      <c r="T43" s="3523" t="s">
        <v>3251</v>
      </c>
      <c r="U43" s="3524">
        <v>650004</v>
      </c>
      <c r="V43" s="3524">
        <v>650004</v>
      </c>
      <c r="W43" s="3524">
        <v>650004</v>
      </c>
      <c r="X43" s="3547" t="s">
        <v>3150</v>
      </c>
      <c r="Y43" s="3547" t="s">
        <v>3150</v>
      </c>
      <c r="Z43" s="3547" t="s">
        <v>3150</v>
      </c>
      <c r="AA43" s="3538">
        <f>6289+1694</f>
        <v>7983</v>
      </c>
      <c r="AB43" s="3538">
        <f>6289+3388</f>
        <v>9677</v>
      </c>
      <c r="AC43" s="3538">
        <f>6289+5082</f>
        <v>11371</v>
      </c>
      <c r="AD43" s="3539">
        <f>128831+30000+4000</f>
        <v>162831</v>
      </c>
      <c r="AE43" s="3539">
        <f>128831+30000+4000</f>
        <v>162831</v>
      </c>
      <c r="AF43" s="3539">
        <v>0</v>
      </c>
      <c r="AG43" s="3539">
        <v>0</v>
      </c>
      <c r="AH43" s="3539">
        <v>12500</v>
      </c>
      <c r="AI43" s="3539">
        <v>12500</v>
      </c>
      <c r="AJ43" s="3540" t="s">
        <v>3161</v>
      </c>
      <c r="AK43" s="3529" t="s">
        <v>3252</v>
      </c>
      <c r="AL43" s="3529" t="s">
        <v>3253</v>
      </c>
      <c r="AM43" s="3529" t="s">
        <v>3253</v>
      </c>
      <c r="AN43" s="3530">
        <f t="shared" si="1"/>
        <v>0</v>
      </c>
      <c r="AO43" s="3530">
        <f t="shared" si="2"/>
        <v>5511.06405</v>
      </c>
      <c r="AP43" s="3530">
        <f t="shared" si="3"/>
        <v>0</v>
      </c>
      <c r="AQ43" s="3530">
        <f t="shared" si="4"/>
        <v>6680.5169500000002</v>
      </c>
      <c r="AR43" s="3530">
        <f t="shared" si="5"/>
        <v>0</v>
      </c>
      <c r="AS43" s="3530">
        <f t="shared" si="6"/>
        <v>7849.9698500000004</v>
      </c>
      <c r="AT43" s="3530">
        <f t="shared" si="17"/>
        <v>0</v>
      </c>
      <c r="AU43" s="3530">
        <f t="shared" si="18"/>
        <v>112410.38085</v>
      </c>
      <c r="AV43" s="3530">
        <f t="shared" si="19"/>
        <v>0</v>
      </c>
      <c r="AW43" s="3530">
        <f t="shared" si="20"/>
        <v>112410.38085</v>
      </c>
      <c r="AX43" s="3531" t="s">
        <v>3254</v>
      </c>
      <c r="AY43" s="3532">
        <f t="shared" si="12"/>
        <v>38</v>
      </c>
      <c r="AZ43" s="3532"/>
      <c r="BC43" s="3673"/>
      <c r="BD43" s="3603" t="s">
        <v>3431</v>
      </c>
      <c r="BE43" s="3604">
        <f t="shared" ref="BE43:CB43" si="25">BE34-$BE$22</f>
        <v>0</v>
      </c>
      <c r="BF43" s="3604">
        <f t="shared" si="25"/>
        <v>0</v>
      </c>
      <c r="BG43" s="3604">
        <f t="shared" si="25"/>
        <v>0</v>
      </c>
      <c r="BH43" s="3604">
        <f t="shared" si="25"/>
        <v>0</v>
      </c>
      <c r="BI43" s="3604">
        <f t="shared" si="25"/>
        <v>0</v>
      </c>
      <c r="BJ43" s="3604">
        <f t="shared" si="25"/>
        <v>0</v>
      </c>
      <c r="BK43" s="3604">
        <f t="shared" si="25"/>
        <v>0</v>
      </c>
      <c r="BL43" s="3604">
        <f t="shared" si="25"/>
        <v>0</v>
      </c>
      <c r="BM43" s="3604">
        <f t="shared" si="25"/>
        <v>0</v>
      </c>
      <c r="BN43" s="3604">
        <f t="shared" si="25"/>
        <v>0</v>
      </c>
      <c r="BO43" s="3604">
        <f t="shared" si="25"/>
        <v>0</v>
      </c>
      <c r="BP43" s="3604">
        <f t="shared" si="25"/>
        <v>0</v>
      </c>
      <c r="BQ43" s="3604">
        <f t="shared" si="25"/>
        <v>0</v>
      </c>
      <c r="BR43" s="3604">
        <f t="shared" si="25"/>
        <v>0</v>
      </c>
      <c r="BS43" s="3604">
        <f t="shared" si="25"/>
        <v>0</v>
      </c>
      <c r="BT43" s="3604">
        <f t="shared" si="25"/>
        <v>0</v>
      </c>
      <c r="BU43" s="3604">
        <f t="shared" si="25"/>
        <v>0</v>
      </c>
      <c r="BV43" s="3604">
        <f t="shared" si="25"/>
        <v>0</v>
      </c>
      <c r="BW43" s="3604">
        <f t="shared" si="25"/>
        <v>0</v>
      </c>
      <c r="BX43" s="3604">
        <f t="shared" si="25"/>
        <v>0</v>
      </c>
      <c r="BY43" s="3604">
        <f t="shared" si="25"/>
        <v>0</v>
      </c>
      <c r="BZ43" s="3604">
        <f t="shared" si="25"/>
        <v>0</v>
      </c>
      <c r="CA43" s="3604">
        <f t="shared" si="25"/>
        <v>0</v>
      </c>
      <c r="CB43" s="3605">
        <f t="shared" si="25"/>
        <v>0</v>
      </c>
    </row>
    <row r="44" spans="2:80" ht="75">
      <c r="R44" s="3521">
        <f t="shared" si="11"/>
        <v>39</v>
      </c>
      <c r="S44" s="3522" t="s">
        <v>3155</v>
      </c>
      <c r="T44" s="3523" t="s">
        <v>3255</v>
      </c>
      <c r="U44" s="3524">
        <v>665000</v>
      </c>
      <c r="V44" s="3524">
        <v>665000</v>
      </c>
      <c r="W44" s="3524">
        <v>665000</v>
      </c>
      <c r="X44" s="3547" t="s">
        <v>3150</v>
      </c>
      <c r="Y44" s="3547" t="s">
        <v>3150</v>
      </c>
      <c r="Z44" s="3547" t="s">
        <v>3150</v>
      </c>
      <c r="AA44" s="3538">
        <v>0</v>
      </c>
      <c r="AB44" s="3538">
        <v>0</v>
      </c>
      <c r="AC44" s="3538">
        <v>0</v>
      </c>
      <c r="AD44" s="3539">
        <f>10000000+18000</f>
        <v>10018000</v>
      </c>
      <c r="AE44" s="3539">
        <f>10000000+18000</f>
        <v>10018000</v>
      </c>
      <c r="AF44" s="3539">
        <v>0</v>
      </c>
      <c r="AG44" s="3539">
        <v>0</v>
      </c>
      <c r="AH44" s="3539">
        <v>0</v>
      </c>
      <c r="AI44" s="3539">
        <v>0</v>
      </c>
      <c r="AJ44" s="3540"/>
      <c r="AK44" s="3529" t="s">
        <v>3252</v>
      </c>
      <c r="AL44" s="3529" t="s">
        <v>3253</v>
      </c>
      <c r="AM44" s="3602" t="s">
        <v>3253</v>
      </c>
      <c r="AN44" s="3530"/>
      <c r="AO44" s="3530"/>
      <c r="AP44" s="3530"/>
      <c r="AQ44" s="3530"/>
      <c r="AR44" s="3530"/>
      <c r="AS44" s="3530"/>
      <c r="AT44" s="3530">
        <f t="shared" si="17"/>
        <v>0</v>
      </c>
      <c r="AU44" s="3530">
        <f t="shared" si="18"/>
        <v>6915926.2999999998</v>
      </c>
      <c r="AV44" s="3530">
        <f t="shared" si="19"/>
        <v>0</v>
      </c>
      <c r="AW44" s="3530">
        <f t="shared" si="20"/>
        <v>6915926.2999999998</v>
      </c>
      <c r="AX44" s="3531" t="s">
        <v>3256</v>
      </c>
      <c r="AY44" s="3532">
        <f t="shared" si="12"/>
        <v>39</v>
      </c>
      <c r="AZ44" s="3532"/>
      <c r="BC44" s="3673"/>
      <c r="BD44" s="3603" t="s">
        <v>3430</v>
      </c>
      <c r="BE44" s="3604">
        <f t="shared" ref="BE44:CB44" si="26">BE35-$BE$23</f>
        <v>0</v>
      </c>
      <c r="BF44" s="3604">
        <f t="shared" si="26"/>
        <v>0</v>
      </c>
      <c r="BG44" s="3604">
        <f t="shared" si="26"/>
        <v>0</v>
      </c>
      <c r="BH44" s="3604">
        <f t="shared" si="26"/>
        <v>0</v>
      </c>
      <c r="BI44" s="3604">
        <f t="shared" si="26"/>
        <v>0</v>
      </c>
      <c r="BJ44" s="3604">
        <f t="shared" si="26"/>
        <v>0</v>
      </c>
      <c r="BK44" s="3604">
        <f t="shared" si="26"/>
        <v>0</v>
      </c>
      <c r="BL44" s="3604">
        <f t="shared" si="26"/>
        <v>0</v>
      </c>
      <c r="BM44" s="3604">
        <f t="shared" si="26"/>
        <v>0</v>
      </c>
      <c r="BN44" s="3604">
        <f t="shared" si="26"/>
        <v>0</v>
      </c>
      <c r="BO44" s="3604">
        <f t="shared" si="26"/>
        <v>0</v>
      </c>
      <c r="BP44" s="3604">
        <f t="shared" si="26"/>
        <v>0</v>
      </c>
      <c r="BQ44" s="3604">
        <f t="shared" si="26"/>
        <v>0</v>
      </c>
      <c r="BR44" s="3604">
        <f t="shared" si="26"/>
        <v>0</v>
      </c>
      <c r="BS44" s="3604">
        <f t="shared" si="26"/>
        <v>0</v>
      </c>
      <c r="BT44" s="3604">
        <f t="shared" si="26"/>
        <v>0</v>
      </c>
      <c r="BU44" s="3604">
        <f t="shared" si="26"/>
        <v>0</v>
      </c>
      <c r="BV44" s="3604">
        <f t="shared" si="26"/>
        <v>0</v>
      </c>
      <c r="BW44" s="3604">
        <f t="shared" si="26"/>
        <v>0</v>
      </c>
      <c r="BX44" s="3604">
        <f t="shared" si="26"/>
        <v>0</v>
      </c>
      <c r="BY44" s="3604">
        <f t="shared" si="26"/>
        <v>0</v>
      </c>
      <c r="BZ44" s="3604">
        <f t="shared" si="26"/>
        <v>0</v>
      </c>
      <c r="CA44" s="3604">
        <f t="shared" si="26"/>
        <v>0</v>
      </c>
      <c r="CB44" s="3605">
        <f t="shared" si="26"/>
        <v>0</v>
      </c>
    </row>
    <row r="45" spans="2:80" ht="60">
      <c r="R45" s="3521">
        <f t="shared" si="11"/>
        <v>40</v>
      </c>
      <c r="S45" s="3522" t="s">
        <v>3155</v>
      </c>
      <c r="T45" s="3523" t="s">
        <v>3257</v>
      </c>
      <c r="U45" s="3524">
        <v>27187249</v>
      </c>
      <c r="V45" s="3524">
        <v>27999995</v>
      </c>
      <c r="W45" s="3524">
        <v>29999998</v>
      </c>
      <c r="X45" s="3547" t="s">
        <v>3150</v>
      </c>
      <c r="Y45" s="3547" t="s">
        <v>3150</v>
      </c>
      <c r="Z45" s="3547" t="s">
        <v>3150</v>
      </c>
      <c r="AA45" s="3538">
        <v>104630</v>
      </c>
      <c r="AB45" s="3538">
        <v>112037</v>
      </c>
      <c r="AC45" s="3538">
        <v>119389</v>
      </c>
      <c r="AD45" s="3539">
        <v>0</v>
      </c>
      <c r="AE45" s="3539">
        <v>0</v>
      </c>
      <c r="AF45" s="3539">
        <v>0</v>
      </c>
      <c r="AG45" s="3539">
        <v>0</v>
      </c>
      <c r="AH45" s="3539">
        <v>35150</v>
      </c>
      <c r="AI45" s="3539">
        <v>69991</v>
      </c>
      <c r="AJ45" s="3540" t="s">
        <v>3151</v>
      </c>
      <c r="AK45" s="3529"/>
      <c r="AL45" s="3529" t="s">
        <v>3253</v>
      </c>
      <c r="AM45" s="3529" t="s">
        <v>3253</v>
      </c>
      <c r="AN45" s="3530">
        <f>IF(AA45&gt;0,AA45*(VLOOKUP($AM45,$AG$129:$AI$137,2,FALSE)),IF($AM45=$AG$137,$AH$137,X45*(VLOOKUP($AM45,$AG$129:$AI$137,2,FALSE))))</f>
        <v>0</v>
      </c>
      <c r="AO45" s="3530">
        <f>IF(AA45&gt;0,AA45*(VLOOKUP($AM45,$AG$129:$AI$137,3,FALSE)),IF($AM45=$AG$137,$AH$137,X45*(VLOOKUP($AM45,$AG$129:$AI$137,3,FALSE))))</f>
        <v>72231.320500000002</v>
      </c>
      <c r="AP45" s="3530">
        <f>IF(AB45&gt;0,AB45*(VLOOKUP($AM45,$AG$129:$AI$137,2,FALSE)),IF($AM45=$AG$137,$AH$137,Y45*(VLOOKUP($AM45,$AG$129:$AI$137,2,FALSE))))</f>
        <v>0</v>
      </c>
      <c r="AQ45" s="3530">
        <f>IF(AB45&gt;0,AB45*(VLOOKUP($AM45,$AG$129:$AI$137,3,FALSE)),IF($AM45=$AG$137,$AH$137,Y45*(VLOOKUP($AM45,$AG$129:$AI$137,3,FALSE))))</f>
        <v>77344.74295</v>
      </c>
      <c r="AR45" s="3530">
        <f>IF(AC45&gt;0,AC45*(VLOOKUP($AM45,$AG$129:$AI$137,2,FALSE)),IF($AM45=$AG$137,$AH$137,Z45*(VLOOKUP($AM45,$AG$129:$AI$137,2,FALSE))))</f>
        <v>0</v>
      </c>
      <c r="AS45" s="3530">
        <f>IF(AC45&gt;0,AC45*(VLOOKUP($AM45,$AG$129:$AI$137,3,FALSE)),IF($AM45=$AG$137,$AH$137,Z45*(VLOOKUP($AM45,$AG$129:$AI$137,3,FALSE))))</f>
        <v>82420.196150000003</v>
      </c>
      <c r="AT45" s="3530">
        <f t="shared" si="17"/>
        <v>0</v>
      </c>
      <c r="AU45" s="3530">
        <f t="shared" si="18"/>
        <v>0</v>
      </c>
      <c r="AV45" s="3530">
        <f t="shared" si="19"/>
        <v>0</v>
      </c>
      <c r="AW45" s="3530">
        <f t="shared" si="20"/>
        <v>0</v>
      </c>
      <c r="AX45" s="3531" t="s">
        <v>3258</v>
      </c>
      <c r="AY45" s="3532">
        <f t="shared" si="12"/>
        <v>40</v>
      </c>
      <c r="AZ45" s="3532"/>
      <c r="BC45" s="3673"/>
      <c r="BD45" s="3668" t="s">
        <v>82</v>
      </c>
      <c r="BE45" s="3689">
        <f t="shared" ref="BE45:CB45" si="27">SUM(BE39:BE44)-(SUM(BE30:BE35)-SUM($BE$17:$BE$24)+$BE$24)</f>
        <v>0</v>
      </c>
      <c r="BF45" s="3689">
        <f t="shared" si="27"/>
        <v>0</v>
      </c>
      <c r="BG45" s="3689">
        <f t="shared" si="27"/>
        <v>0</v>
      </c>
      <c r="BH45" s="3689">
        <f t="shared" si="27"/>
        <v>0</v>
      </c>
      <c r="BI45" s="3689">
        <f t="shared" si="27"/>
        <v>0</v>
      </c>
      <c r="BJ45" s="3689">
        <f t="shared" si="27"/>
        <v>0</v>
      </c>
      <c r="BK45" s="3689">
        <f t="shared" si="27"/>
        <v>0</v>
      </c>
      <c r="BL45" s="3689">
        <f t="shared" si="27"/>
        <v>0</v>
      </c>
      <c r="BM45" s="3689">
        <f t="shared" si="27"/>
        <v>0</v>
      </c>
      <c r="BN45" s="3689">
        <f t="shared" si="27"/>
        <v>0</v>
      </c>
      <c r="BO45" s="3689">
        <f t="shared" si="27"/>
        <v>0</v>
      </c>
      <c r="BP45" s="3689">
        <f t="shared" si="27"/>
        <v>0</v>
      </c>
      <c r="BQ45" s="3689">
        <f t="shared" si="27"/>
        <v>0</v>
      </c>
      <c r="BR45" s="3689">
        <f t="shared" si="27"/>
        <v>0</v>
      </c>
      <c r="BS45" s="3689">
        <f t="shared" si="27"/>
        <v>0</v>
      </c>
      <c r="BT45" s="3689">
        <f t="shared" si="27"/>
        <v>0</v>
      </c>
      <c r="BU45" s="3689">
        <f t="shared" si="27"/>
        <v>0</v>
      </c>
      <c r="BV45" s="3689">
        <f t="shared" si="27"/>
        <v>0</v>
      </c>
      <c r="BW45" s="3689">
        <f t="shared" si="27"/>
        <v>0</v>
      </c>
      <c r="BX45" s="3689">
        <f t="shared" si="27"/>
        <v>0</v>
      </c>
      <c r="BY45" s="3689">
        <f t="shared" si="27"/>
        <v>0</v>
      </c>
      <c r="BZ45" s="3689">
        <f t="shared" si="27"/>
        <v>0</v>
      </c>
      <c r="CA45" s="3689">
        <f t="shared" si="27"/>
        <v>0</v>
      </c>
      <c r="CB45" s="3688">
        <f t="shared" si="27"/>
        <v>0</v>
      </c>
    </row>
    <row r="46" spans="2:80" ht="60.75" thickBot="1">
      <c r="R46" s="3521">
        <f t="shared" si="11"/>
        <v>41</v>
      </c>
      <c r="S46" s="3522" t="s">
        <v>3155</v>
      </c>
      <c r="T46" s="3523" t="s">
        <v>3260</v>
      </c>
      <c r="U46" s="3524">
        <v>2000000</v>
      </c>
      <c r="V46" s="3524">
        <v>2000000</v>
      </c>
      <c r="W46" s="3524">
        <v>2000000</v>
      </c>
      <c r="X46" s="3547" t="s">
        <v>3150</v>
      </c>
      <c r="Y46" s="3547" t="s">
        <v>3150</v>
      </c>
      <c r="Z46" s="3547" t="s">
        <v>3150</v>
      </c>
      <c r="AA46" s="3538">
        <v>0</v>
      </c>
      <c r="AB46" s="3538">
        <v>0</v>
      </c>
      <c r="AC46" s="3538">
        <v>0</v>
      </c>
      <c r="AD46" s="3539">
        <v>3000</v>
      </c>
      <c r="AE46" s="3539">
        <v>3000</v>
      </c>
      <c r="AF46" s="3539">
        <v>0</v>
      </c>
      <c r="AG46" s="3539">
        <v>0</v>
      </c>
      <c r="AH46" s="3539">
        <v>0</v>
      </c>
      <c r="AI46" s="3539">
        <v>0</v>
      </c>
      <c r="AJ46" s="3540" t="s">
        <v>3151</v>
      </c>
      <c r="AK46" s="3529"/>
      <c r="AL46" s="3529" t="s">
        <v>3253</v>
      </c>
      <c r="AM46" s="3602" t="s">
        <v>3253</v>
      </c>
      <c r="AN46" s="3530"/>
      <c r="AO46" s="3530"/>
      <c r="AP46" s="3530"/>
      <c r="AQ46" s="3530"/>
      <c r="AR46" s="3530"/>
      <c r="AS46" s="3530"/>
      <c r="AT46" s="3530">
        <f t="shared" si="17"/>
        <v>0</v>
      </c>
      <c r="AU46" s="3530">
        <f t="shared" si="18"/>
        <v>2071.0500000000002</v>
      </c>
      <c r="AV46" s="3530">
        <f t="shared" si="19"/>
        <v>0</v>
      </c>
      <c r="AW46" s="3530">
        <f t="shared" si="20"/>
        <v>2071.0500000000002</v>
      </c>
      <c r="AX46" s="3531" t="s">
        <v>3261</v>
      </c>
      <c r="AY46" s="3532">
        <f t="shared" si="12"/>
        <v>41</v>
      </c>
      <c r="AZ46" s="3532"/>
      <c r="BC46" s="3671"/>
      <c r="BD46" s="3670"/>
      <c r="BE46" s="3714"/>
      <c r="BF46" s="3714"/>
      <c r="BG46" s="3714"/>
      <c r="BH46" s="3714"/>
      <c r="BI46" s="3714"/>
      <c r="BJ46" s="3714"/>
      <c r="BK46" s="3714"/>
      <c r="BL46" s="3714"/>
      <c r="BM46" s="3714"/>
      <c r="BN46" s="3714"/>
      <c r="BO46" s="3714"/>
      <c r="BP46" s="3714"/>
      <c r="BQ46" s="3714"/>
      <c r="BR46" s="3714"/>
      <c r="BS46" s="3714"/>
      <c r="BT46" s="3714"/>
      <c r="BU46" s="3714"/>
      <c r="BV46" s="3714"/>
      <c r="BW46" s="3714"/>
      <c r="BX46" s="3714"/>
      <c r="BY46" s="3714"/>
      <c r="BZ46" s="3714"/>
      <c r="CA46" s="3714"/>
      <c r="CB46" s="3713"/>
    </row>
    <row r="47" spans="2:80" ht="90">
      <c r="R47" s="3521">
        <f t="shared" si="11"/>
        <v>42</v>
      </c>
      <c r="S47" s="3522" t="s">
        <v>3155</v>
      </c>
      <c r="T47" s="3523" t="s">
        <v>3262</v>
      </c>
      <c r="U47" s="3524">
        <v>9682000</v>
      </c>
      <c r="V47" s="3524">
        <v>9972000</v>
      </c>
      <c r="W47" s="3524">
        <v>10272000</v>
      </c>
      <c r="X47" s="3525">
        <f>U47*$T$4*$T$3</f>
        <v>19583.250053157557</v>
      </c>
      <c r="Y47" s="3525">
        <f>V47*$T$4*$T$3</f>
        <v>20169.817137997023</v>
      </c>
      <c r="Z47" s="3525">
        <f>W47*$T$4*$T$3</f>
        <v>20776.610674037849</v>
      </c>
      <c r="AA47" s="3538">
        <v>0</v>
      </c>
      <c r="AB47" s="3538">
        <v>0</v>
      </c>
      <c r="AC47" s="3538">
        <v>0</v>
      </c>
      <c r="AD47" s="3539">
        <v>3995000</v>
      </c>
      <c r="AE47" s="3539">
        <v>3995000</v>
      </c>
      <c r="AF47" s="3539">
        <v>0</v>
      </c>
      <c r="AG47" s="3539">
        <v>0</v>
      </c>
      <c r="AH47" s="3539">
        <v>0</v>
      </c>
      <c r="AI47" s="3539">
        <v>0</v>
      </c>
      <c r="AJ47" s="3540"/>
      <c r="AK47" s="3529" t="s">
        <v>3252</v>
      </c>
      <c r="AL47" s="3529" t="s">
        <v>3253</v>
      </c>
      <c r="AM47" s="3529" t="s">
        <v>3253</v>
      </c>
      <c r="AN47" s="3530">
        <f>IF(AA47&gt;0,AA47*(VLOOKUP($AM47,$AG$129:$AI$137,2,FALSE)),IF($AM47=$AG$137,$AH$137,X47*(VLOOKUP($AM47,$AG$129:$AI$137,2,FALSE))))</f>
        <v>0</v>
      </c>
      <c r="AO47" s="3530">
        <f>IF(AA47&gt;0,AA47*(VLOOKUP($AM47,$AG$129:$AI$137,3,FALSE)),IF($AM47=$AG$137,$AH$137,X47*(VLOOKUP($AM47,$AG$129:$AI$137,3,FALSE))))</f>
        <v>13519.29667419732</v>
      </c>
      <c r="AP47" s="3530">
        <f>IF(AB47&gt;0,AB47*(VLOOKUP($AM47,$AG$129:$AI$137,2,FALSE)),IF($AM47=$AG$137,$AH$137,Y47*(VLOOKUP($AM47,$AG$129:$AI$137,2,FALSE))))</f>
        <v>0</v>
      </c>
      <c r="AQ47" s="3530">
        <f>IF(AB47&gt;0,AB47*(VLOOKUP($AM47,$AG$129:$AI$137,3,FALSE)),IF($AM47=$AG$137,$AH$137,Y47*(VLOOKUP($AM47,$AG$129:$AI$137,3,FALSE))))</f>
        <v>13924.233261216245</v>
      </c>
      <c r="AR47" s="3530">
        <f>IF(AC47&gt;0,AC47*(VLOOKUP($AM47,$AG$129:$AI$137,2,FALSE)),IF($AM47=$AG$137,$AH$137,Z47*(VLOOKUP($AM47,$AG$129:$AI$137,2,FALSE))))</f>
        <v>0</v>
      </c>
      <c r="AS47" s="3530">
        <f>IF(AC47&gt;0,AC47*(VLOOKUP($AM47,$AG$129:$AI$137,3,FALSE)),IF($AM47=$AG$137,$AH$137,Z47*(VLOOKUP($AM47,$AG$129:$AI$137,3,FALSE))))</f>
        <v>14343.133178822029</v>
      </c>
      <c r="AT47" s="3530">
        <f t="shared" si="17"/>
        <v>0</v>
      </c>
      <c r="AU47" s="3530">
        <f t="shared" si="18"/>
        <v>2757948.25</v>
      </c>
      <c r="AV47" s="3530">
        <f t="shared" si="19"/>
        <v>0</v>
      </c>
      <c r="AW47" s="3530">
        <f t="shared" si="20"/>
        <v>2757948.25</v>
      </c>
      <c r="AX47" s="3531" t="s">
        <v>3263</v>
      </c>
      <c r="AY47" s="3532">
        <f t="shared" si="12"/>
        <v>42</v>
      </c>
      <c r="AZ47" s="3532"/>
      <c r="BC47" s="3701">
        <v>2</v>
      </c>
      <c r="BD47" s="3707" t="s">
        <v>3435</v>
      </c>
      <c r="BE47" s="3699"/>
      <c r="BF47" s="3699"/>
      <c r="BG47" s="3699"/>
      <c r="BH47" s="3699"/>
      <c r="BI47" s="3699"/>
      <c r="BJ47" s="3699"/>
      <c r="BK47" s="3699"/>
      <c r="BL47" s="3699"/>
      <c r="BM47" s="3699"/>
      <c r="BN47" s="3699"/>
      <c r="BO47" s="3699"/>
      <c r="BP47" s="3699"/>
      <c r="BQ47" s="3699"/>
      <c r="BR47" s="3699"/>
      <c r="BS47" s="3699"/>
      <c r="BT47" s="3699"/>
      <c r="BU47" s="3699"/>
      <c r="BV47" s="3699"/>
      <c r="BW47" s="3699"/>
      <c r="BX47" s="3699"/>
      <c r="BY47" s="3699"/>
      <c r="BZ47" s="3699"/>
      <c r="CA47" s="3699"/>
      <c r="CB47" s="3706"/>
    </row>
    <row r="48" spans="2:80" ht="60">
      <c r="R48" s="3521">
        <f t="shared" si="11"/>
        <v>43</v>
      </c>
      <c r="S48" s="3522" t="s">
        <v>3155</v>
      </c>
      <c r="T48" s="3523" t="s">
        <v>3264</v>
      </c>
      <c r="U48" s="3524">
        <v>3200000</v>
      </c>
      <c r="V48" s="3524">
        <v>3200000</v>
      </c>
      <c r="W48" s="3524">
        <v>3000000</v>
      </c>
      <c r="X48" s="3547" t="s">
        <v>3150</v>
      </c>
      <c r="Y48" s="3547" t="s">
        <v>3150</v>
      </c>
      <c r="Z48" s="3547" t="s">
        <v>3150</v>
      </c>
      <c r="AA48" s="3538">
        <v>0</v>
      </c>
      <c r="AB48" s="3538">
        <v>0</v>
      </c>
      <c r="AC48" s="3538">
        <v>0</v>
      </c>
      <c r="AD48" s="3539">
        <v>0</v>
      </c>
      <c r="AE48" s="3539">
        <v>0</v>
      </c>
      <c r="AF48" s="3539">
        <v>0</v>
      </c>
      <c r="AG48" s="3539">
        <v>0</v>
      </c>
      <c r="AH48" s="3539">
        <v>5200000</v>
      </c>
      <c r="AI48" s="3539">
        <v>5300000</v>
      </c>
      <c r="AJ48" s="3540"/>
      <c r="AK48" s="3529" t="s">
        <v>3252</v>
      </c>
      <c r="AL48" s="3529" t="s">
        <v>3253</v>
      </c>
      <c r="AM48" s="3529" t="s">
        <v>3152</v>
      </c>
      <c r="AN48" s="3530"/>
      <c r="AO48" s="3530"/>
      <c r="AP48" s="3530"/>
      <c r="AQ48" s="3530"/>
      <c r="AR48" s="3530"/>
      <c r="AS48" s="3530"/>
      <c r="AT48" s="3530">
        <f t="shared" si="17"/>
        <v>0</v>
      </c>
      <c r="AU48" s="3530">
        <f t="shared" si="18"/>
        <v>0</v>
      </c>
      <c r="AV48" s="3530">
        <f t="shared" si="19"/>
        <v>0</v>
      </c>
      <c r="AW48" s="3530">
        <f t="shared" si="20"/>
        <v>0</v>
      </c>
      <c r="AX48" s="3531" t="s">
        <v>3265</v>
      </c>
      <c r="AY48" s="3532">
        <f t="shared" si="12"/>
        <v>43</v>
      </c>
      <c r="AZ48" s="3532"/>
      <c r="BC48" s="3673"/>
      <c r="BE48" s="3691">
        <v>45688</v>
      </c>
      <c r="BF48" s="3691">
        <f t="shared" ref="BF48:CB48" si="28">EOMONTH(BE48,1)</f>
        <v>45716</v>
      </c>
      <c r="BG48" s="3691">
        <f t="shared" si="28"/>
        <v>45747</v>
      </c>
      <c r="BH48" s="3691">
        <f t="shared" si="28"/>
        <v>45777</v>
      </c>
      <c r="BI48" s="3691">
        <f t="shared" si="28"/>
        <v>45808</v>
      </c>
      <c r="BJ48" s="3691">
        <f t="shared" si="28"/>
        <v>45838</v>
      </c>
      <c r="BK48" s="3691">
        <f t="shared" si="28"/>
        <v>45869</v>
      </c>
      <c r="BL48" s="3691">
        <f t="shared" si="28"/>
        <v>45900</v>
      </c>
      <c r="BM48" s="3691">
        <f t="shared" si="28"/>
        <v>45930</v>
      </c>
      <c r="BN48" s="3691">
        <f t="shared" si="28"/>
        <v>45961</v>
      </c>
      <c r="BO48" s="3691">
        <f t="shared" si="28"/>
        <v>45991</v>
      </c>
      <c r="BP48" s="3691">
        <f t="shared" si="28"/>
        <v>46022</v>
      </c>
      <c r="BQ48" s="3691">
        <f t="shared" si="28"/>
        <v>46053</v>
      </c>
      <c r="BR48" s="3691">
        <f t="shared" si="28"/>
        <v>46081</v>
      </c>
      <c r="BS48" s="3691">
        <f t="shared" si="28"/>
        <v>46112</v>
      </c>
      <c r="BT48" s="3691">
        <f t="shared" si="28"/>
        <v>46142</v>
      </c>
      <c r="BU48" s="3691">
        <f t="shared" si="28"/>
        <v>46173</v>
      </c>
      <c r="BV48" s="3691">
        <f t="shared" si="28"/>
        <v>46203</v>
      </c>
      <c r="BW48" s="3691">
        <f t="shared" si="28"/>
        <v>46234</v>
      </c>
      <c r="BX48" s="3691">
        <f t="shared" si="28"/>
        <v>46265</v>
      </c>
      <c r="BY48" s="3691">
        <f t="shared" si="28"/>
        <v>46295</v>
      </c>
      <c r="BZ48" s="3691">
        <f t="shared" si="28"/>
        <v>46326</v>
      </c>
      <c r="CA48" s="3691">
        <f t="shared" si="28"/>
        <v>46356</v>
      </c>
      <c r="CB48" s="3690">
        <f t="shared" si="28"/>
        <v>46387</v>
      </c>
    </row>
    <row r="49" spans="18:80" ht="60">
      <c r="R49" s="3521">
        <f t="shared" si="11"/>
        <v>44</v>
      </c>
      <c r="S49" s="3522" t="s">
        <v>3155</v>
      </c>
      <c r="T49" s="3523" t="s">
        <v>3266</v>
      </c>
      <c r="U49" s="3524">
        <v>1069995</v>
      </c>
      <c r="V49" s="3524">
        <v>1069995</v>
      </c>
      <c r="W49" s="3524">
        <v>1069995</v>
      </c>
      <c r="X49" s="3525">
        <f t="shared" ref="X49:Z50" si="29">U49*$T$4*$T$3</f>
        <v>2164.2201653200082</v>
      </c>
      <c r="Y49" s="3525">
        <f t="shared" si="29"/>
        <v>2164.2201653200082</v>
      </c>
      <c r="Z49" s="3525">
        <f t="shared" si="29"/>
        <v>2164.2201653200082</v>
      </c>
      <c r="AA49" s="3538">
        <v>3400</v>
      </c>
      <c r="AB49" s="3538">
        <v>5300</v>
      </c>
      <c r="AC49" s="3538">
        <v>7200</v>
      </c>
      <c r="AD49" s="3539">
        <v>76960</v>
      </c>
      <c r="AE49" s="3539">
        <v>76960</v>
      </c>
      <c r="AF49" s="3539">
        <v>0</v>
      </c>
      <c r="AG49" s="3539">
        <v>0</v>
      </c>
      <c r="AH49" s="3539">
        <v>0</v>
      </c>
      <c r="AI49" s="3539">
        <v>0</v>
      </c>
      <c r="AJ49" s="3540"/>
      <c r="AK49" s="3529" t="s">
        <v>3252</v>
      </c>
      <c r="AL49" s="3529" t="s">
        <v>3253</v>
      </c>
      <c r="AM49" s="3529" t="s">
        <v>3253</v>
      </c>
      <c r="AN49" s="3530">
        <f t="shared" ref="AN49:AN80" si="30">IF(AA49&gt;0,AA49*(VLOOKUP($AM49,$AG$129:$AI$137,2,FALSE)),IF($AM49=$AG$137,$AH$137,X49*(VLOOKUP($AM49,$AG$129:$AI$137,2,FALSE))))</f>
        <v>0</v>
      </c>
      <c r="AO49" s="3530">
        <f t="shared" ref="AO49:AO80" si="31">IF(AA49&gt;0,AA49*(VLOOKUP($AM49,$AG$129:$AI$137,3,FALSE)),IF($AM49=$AG$137,$AH$137,X49*(VLOOKUP($AM49,$AG$129:$AI$137,3,FALSE))))</f>
        <v>2347.19</v>
      </c>
      <c r="AP49" s="3530">
        <f t="shared" ref="AP49:AP80" si="32">IF(AB49&gt;0,AB49*(VLOOKUP($AM49,$AG$129:$AI$137,2,FALSE)),IF($AM49=$AG$137,$AH$137,Y49*(VLOOKUP($AM49,$AG$129:$AI$137,2,FALSE))))</f>
        <v>0</v>
      </c>
      <c r="AQ49" s="3530">
        <f t="shared" ref="AQ49:AQ80" si="33">IF(AB49&gt;0,AB49*(VLOOKUP($AM49,$AG$129:$AI$137,3,FALSE)),IF($AM49=$AG$137,$AH$137,Y49*(VLOOKUP($AM49,$AG$129:$AI$137,3,FALSE))))</f>
        <v>3658.855</v>
      </c>
      <c r="AR49" s="3530">
        <f t="shared" ref="AR49:AR80" si="34">IF(AC49&gt;0,AC49*(VLOOKUP($AM49,$AG$129:$AI$137,2,FALSE)),IF($AM49=$AG$137,$AH$137,Z49*(VLOOKUP($AM49,$AG$129:$AI$137,2,FALSE))))</f>
        <v>0</v>
      </c>
      <c r="AS49" s="3530">
        <f t="shared" ref="AS49:AS80" si="35">IF(AC49&gt;0,AC49*(VLOOKUP($AM49,$AG$129:$AI$137,3,FALSE)),IF($AM49=$AG$137,$AH$137,Z49*(VLOOKUP($AM49,$AG$129:$AI$137,3,FALSE))))</f>
        <v>4970.5200000000004</v>
      </c>
      <c r="AT49" s="3530">
        <f t="shared" si="17"/>
        <v>0</v>
      </c>
      <c r="AU49" s="3530">
        <f t="shared" si="18"/>
        <v>53129.336000000003</v>
      </c>
      <c r="AV49" s="3530">
        <f t="shared" si="19"/>
        <v>0</v>
      </c>
      <c r="AW49" s="3530">
        <f t="shared" si="20"/>
        <v>53129.336000000003</v>
      </c>
      <c r="AX49" s="3531" t="s">
        <v>3267</v>
      </c>
      <c r="AY49" s="3532">
        <f t="shared" si="12"/>
        <v>44</v>
      </c>
      <c r="AZ49" s="3532"/>
      <c r="BC49" s="3673"/>
      <c r="BD49" s="3603" t="s">
        <v>3433</v>
      </c>
      <c r="BE49" s="3712">
        <v>22656909.175218843</v>
      </c>
      <c r="BF49" s="3712">
        <v>19849602.889217008</v>
      </c>
      <c r="BG49" s="3712">
        <v>15164745.132398369</v>
      </c>
      <c r="BH49" s="3712">
        <v>9610373.3074954841</v>
      </c>
      <c r="BI49" s="3712">
        <v>5035124.0137172677</v>
      </c>
      <c r="BJ49" s="3712">
        <v>3119721.4481256031</v>
      </c>
      <c r="BK49" s="3712">
        <v>2295520.861656548</v>
      </c>
      <c r="BL49" s="3712">
        <v>2339467.6765832114</v>
      </c>
      <c r="BM49" s="3712">
        <v>3282871.5868781731</v>
      </c>
      <c r="BN49" s="3712">
        <v>8553051.9569884203</v>
      </c>
      <c r="BO49" s="3712">
        <v>16607816.937788073</v>
      </c>
      <c r="BP49" s="3712">
        <v>24996140.048490152</v>
      </c>
      <c r="BQ49" s="3712">
        <v>22664354.198829129</v>
      </c>
      <c r="BR49" s="3712">
        <v>19871843.424058802</v>
      </c>
      <c r="BS49" s="3712">
        <v>15237213.276181061</v>
      </c>
      <c r="BT49" s="3712">
        <v>9640237.6339436993</v>
      </c>
      <c r="BU49" s="3712">
        <v>5059209.1915920712</v>
      </c>
      <c r="BV49" s="3712">
        <v>3136999.5565341068</v>
      </c>
      <c r="BW49" s="3712">
        <v>2309736.6591114611</v>
      </c>
      <c r="BX49" s="3712">
        <v>2309599.5703815077</v>
      </c>
      <c r="BY49" s="3712">
        <v>3177248.9236758519</v>
      </c>
      <c r="BZ49" s="3712">
        <v>8496909.2993468996</v>
      </c>
      <c r="CA49" s="3712">
        <v>16641285.631130667</v>
      </c>
      <c r="CB49" s="3711">
        <v>24988706.245197769</v>
      </c>
    </row>
    <row r="50" spans="18:80" ht="90">
      <c r="R50" s="3521">
        <f t="shared" si="11"/>
        <v>45</v>
      </c>
      <c r="S50" s="3522" t="s">
        <v>3155</v>
      </c>
      <c r="T50" s="3523" t="s">
        <v>3268</v>
      </c>
      <c r="U50" s="3524">
        <v>1577830</v>
      </c>
      <c r="V50" s="3524">
        <v>1000000</v>
      </c>
      <c r="W50" s="3524">
        <v>1000000</v>
      </c>
      <c r="X50" s="3525">
        <f t="shared" si="29"/>
        <v>3191.3901499043163</v>
      </c>
      <c r="Y50" s="3525">
        <f t="shared" si="29"/>
        <v>2022.6451201360833</v>
      </c>
      <c r="Z50" s="3525">
        <f t="shared" si="29"/>
        <v>2022.6451201360833</v>
      </c>
      <c r="AA50" s="3538">
        <v>22800</v>
      </c>
      <c r="AB50" s="3538">
        <v>22800</v>
      </c>
      <c r="AC50" s="3538">
        <v>22800</v>
      </c>
      <c r="AD50" s="3539">
        <v>414000</v>
      </c>
      <c r="AE50" s="3539">
        <v>828000</v>
      </c>
      <c r="AF50" s="3539">
        <v>0</v>
      </c>
      <c r="AG50" s="3539">
        <v>0</v>
      </c>
      <c r="AH50" s="3539">
        <v>0</v>
      </c>
      <c r="AI50" s="3539">
        <v>0</v>
      </c>
      <c r="AJ50" s="3540"/>
      <c r="AK50" s="3529" t="s">
        <v>3252</v>
      </c>
      <c r="AL50" s="3529" t="s">
        <v>3253</v>
      </c>
      <c r="AM50" s="3529" t="s">
        <v>3253</v>
      </c>
      <c r="AN50" s="3530">
        <f t="shared" si="30"/>
        <v>0</v>
      </c>
      <c r="AO50" s="3530">
        <f t="shared" si="31"/>
        <v>15739.98</v>
      </c>
      <c r="AP50" s="3530">
        <f t="shared" si="32"/>
        <v>0</v>
      </c>
      <c r="AQ50" s="3530">
        <f t="shared" si="33"/>
        <v>15739.98</v>
      </c>
      <c r="AR50" s="3530">
        <f t="shared" si="34"/>
        <v>0</v>
      </c>
      <c r="AS50" s="3530">
        <f t="shared" si="35"/>
        <v>15739.98</v>
      </c>
      <c r="AT50" s="3530">
        <f t="shared" si="17"/>
        <v>0</v>
      </c>
      <c r="AU50" s="3530">
        <f t="shared" si="18"/>
        <v>285804.90000000002</v>
      </c>
      <c r="AV50" s="3530">
        <f t="shared" si="19"/>
        <v>0</v>
      </c>
      <c r="AW50" s="3530">
        <f t="shared" si="20"/>
        <v>571609.80000000005</v>
      </c>
      <c r="AX50" s="3531" t="s">
        <v>3269</v>
      </c>
      <c r="AY50" s="3532">
        <f t="shared" si="12"/>
        <v>45</v>
      </c>
      <c r="AZ50" s="3532"/>
      <c r="BC50" s="3673"/>
      <c r="BD50" s="3603" t="s">
        <v>3428</v>
      </c>
      <c r="BE50" s="3712">
        <v>9069853.3055666778</v>
      </c>
      <c r="BF50" s="3712">
        <v>7924640.9734425247</v>
      </c>
      <c r="BG50" s="3712">
        <v>6391654.6936729671</v>
      </c>
      <c r="BH50" s="3712">
        <v>4394606.3443561736</v>
      </c>
      <c r="BI50" s="3712">
        <v>2670401.6045056437</v>
      </c>
      <c r="BJ50" s="3712">
        <v>2071645.288741708</v>
      </c>
      <c r="BK50" s="3712">
        <v>1778555.7947982929</v>
      </c>
      <c r="BL50" s="3712">
        <v>1828108.3313625336</v>
      </c>
      <c r="BM50" s="3712">
        <v>2416724.343981836</v>
      </c>
      <c r="BN50" s="3712">
        <v>5136476.6543051573</v>
      </c>
      <c r="BO50" s="3712">
        <v>7788283.3263730463</v>
      </c>
      <c r="BP50" s="3712">
        <v>9904798.2006906867</v>
      </c>
      <c r="BQ50" s="3712">
        <v>9054024.1818607692</v>
      </c>
      <c r="BR50" s="3712">
        <v>7935000.6491390523</v>
      </c>
      <c r="BS50" s="3712">
        <v>6414449.618525302</v>
      </c>
      <c r="BT50" s="3712">
        <v>4377204.0410302021</v>
      </c>
      <c r="BU50" s="3712">
        <v>2673308.7753222762</v>
      </c>
      <c r="BV50" s="3712">
        <v>2070916.9798211784</v>
      </c>
      <c r="BW50" s="3712">
        <v>1743375.3278704556</v>
      </c>
      <c r="BX50" s="3712">
        <v>1820214.7257413168</v>
      </c>
      <c r="BY50" s="3712">
        <v>2411116.0339568295</v>
      </c>
      <c r="BZ50" s="3712">
        <v>5156180.7014585268</v>
      </c>
      <c r="CA50" s="3712">
        <v>7803752.6771433372</v>
      </c>
      <c r="CB50" s="3711">
        <v>9896029.3783481233</v>
      </c>
    </row>
    <row r="51" spans="18:80" ht="30">
      <c r="R51" s="3521">
        <f t="shared" si="11"/>
        <v>46</v>
      </c>
      <c r="S51" s="3522" t="s">
        <v>3155</v>
      </c>
      <c r="T51" s="3523" t="s">
        <v>3270</v>
      </c>
      <c r="U51" s="3524">
        <v>3718000</v>
      </c>
      <c r="V51" s="3524">
        <v>3830000</v>
      </c>
      <c r="W51" s="3524">
        <v>3945000</v>
      </c>
      <c r="X51" s="3547" t="s">
        <v>3150</v>
      </c>
      <c r="Y51" s="3547" t="s">
        <v>3150</v>
      </c>
      <c r="Z51" s="3547" t="s">
        <v>3150</v>
      </c>
      <c r="AA51" s="3538">
        <v>0</v>
      </c>
      <c r="AB51" s="3538">
        <v>0</v>
      </c>
      <c r="AC51" s="3538">
        <v>0</v>
      </c>
      <c r="AD51" s="3539">
        <v>0</v>
      </c>
      <c r="AE51" s="3539">
        <v>0</v>
      </c>
      <c r="AF51" s="3539">
        <v>0</v>
      </c>
      <c r="AG51" s="3539">
        <v>0</v>
      </c>
      <c r="AH51" s="3539">
        <v>0</v>
      </c>
      <c r="AI51" s="3539">
        <v>0</v>
      </c>
      <c r="AJ51" s="3540" t="s">
        <v>3151</v>
      </c>
      <c r="AK51" s="3529"/>
      <c r="AL51" s="3529" t="s">
        <v>3253</v>
      </c>
      <c r="AM51" s="3529" t="s">
        <v>3152</v>
      </c>
      <c r="AN51" s="3530">
        <f t="shared" si="30"/>
        <v>0</v>
      </c>
      <c r="AO51" s="3530">
        <f t="shared" si="31"/>
        <v>0</v>
      </c>
      <c r="AP51" s="3530">
        <f t="shared" si="32"/>
        <v>0</v>
      </c>
      <c r="AQ51" s="3530">
        <f t="shared" si="33"/>
        <v>0</v>
      </c>
      <c r="AR51" s="3530">
        <f t="shared" si="34"/>
        <v>0</v>
      </c>
      <c r="AS51" s="3530">
        <f t="shared" si="35"/>
        <v>0</v>
      </c>
      <c r="AT51" s="3530">
        <f t="shared" si="17"/>
        <v>0</v>
      </c>
      <c r="AU51" s="3530">
        <f t="shared" si="18"/>
        <v>0</v>
      </c>
      <c r="AV51" s="3530">
        <f t="shared" si="19"/>
        <v>0</v>
      </c>
      <c r="AW51" s="3530">
        <f t="shared" si="20"/>
        <v>0</v>
      </c>
      <c r="AX51" s="3531" t="s">
        <v>3271</v>
      </c>
      <c r="AY51" s="3532">
        <f t="shared" si="12"/>
        <v>46</v>
      </c>
      <c r="AZ51" s="3532"/>
      <c r="BC51" s="3673"/>
      <c r="BD51" s="3603" t="s">
        <v>3432</v>
      </c>
      <c r="BE51" s="3712">
        <v>432005.92053978279</v>
      </c>
      <c r="BF51" s="3712">
        <v>384649.47149731935</v>
      </c>
      <c r="BG51" s="3712">
        <v>348497.18695108575</v>
      </c>
      <c r="BH51" s="3712">
        <v>241601.87783158416</v>
      </c>
      <c r="BI51" s="3712">
        <v>157218.79646896143</v>
      </c>
      <c r="BJ51" s="3712">
        <v>97029.823053848726</v>
      </c>
      <c r="BK51" s="3712">
        <v>54142.686443559724</v>
      </c>
      <c r="BL51" s="3712">
        <v>24475.410183001437</v>
      </c>
      <c r="BM51" s="3712">
        <v>26903.695093431234</v>
      </c>
      <c r="BN51" s="3712">
        <v>128932.58846610741</v>
      </c>
      <c r="BO51" s="3712">
        <v>323748.6645373737</v>
      </c>
      <c r="BP51" s="3712">
        <v>455264.70155282994</v>
      </c>
      <c r="BQ51" s="3712">
        <v>431254.35013500927</v>
      </c>
      <c r="BR51" s="3712">
        <v>385153.99855608307</v>
      </c>
      <c r="BS51" s="3712">
        <v>349762.96891983075</v>
      </c>
      <c r="BT51" s="3712">
        <v>240692.21995114302</v>
      </c>
      <c r="BU51" s="3712">
        <v>157519.8716032489</v>
      </c>
      <c r="BV51" s="3712">
        <v>97182.623891307769</v>
      </c>
      <c r="BW51" s="3712">
        <v>53199.510745480286</v>
      </c>
      <c r="BX51" s="3712">
        <v>24455.568672349757</v>
      </c>
      <c r="BY51" s="3712">
        <v>26907.048287994421</v>
      </c>
      <c r="BZ51" s="3712">
        <v>129588.03482845843</v>
      </c>
      <c r="CA51" s="3712">
        <v>324532.67056070245</v>
      </c>
      <c r="CB51" s="3711">
        <v>454909.2085730671</v>
      </c>
    </row>
    <row r="52" spans="18:80" ht="90">
      <c r="R52" s="3521">
        <f t="shared" si="11"/>
        <v>47</v>
      </c>
      <c r="S52" s="3522" t="s">
        <v>3155</v>
      </c>
      <c r="T52" s="3523" t="s">
        <v>3272</v>
      </c>
      <c r="U52" s="3524">
        <v>100000</v>
      </c>
      <c r="V52" s="3524">
        <v>100000</v>
      </c>
      <c r="W52" s="3524">
        <v>100000</v>
      </c>
      <c r="X52" s="3525">
        <f>U52*$T$4*$T$3</f>
        <v>202.26451201360834</v>
      </c>
      <c r="Y52" s="3525">
        <f>V52*$T$4*$T$3</f>
        <v>202.26451201360834</v>
      </c>
      <c r="Z52" s="3525">
        <f>W52*$T$4*$T$3</f>
        <v>202.26451201360834</v>
      </c>
      <c r="AA52" s="3538">
        <v>7561</v>
      </c>
      <c r="AB52" s="3538">
        <v>7561</v>
      </c>
      <c r="AC52" s="3538">
        <v>7561</v>
      </c>
      <c r="AD52" s="3539">
        <v>189615</v>
      </c>
      <c r="AE52" s="3539">
        <v>189615</v>
      </c>
      <c r="AF52" s="3539">
        <v>0</v>
      </c>
      <c r="AG52" s="3539">
        <v>0</v>
      </c>
      <c r="AH52" s="3539">
        <v>67168</v>
      </c>
      <c r="AI52" s="3539">
        <v>67168</v>
      </c>
      <c r="AJ52" s="3540"/>
      <c r="AK52" s="3529" t="s">
        <v>3252</v>
      </c>
      <c r="AL52" s="3529" t="s">
        <v>3253</v>
      </c>
      <c r="AM52" s="3529" t="s">
        <v>3253</v>
      </c>
      <c r="AN52" s="3530">
        <f t="shared" si="30"/>
        <v>0</v>
      </c>
      <c r="AO52" s="3530">
        <f t="shared" si="31"/>
        <v>5219.7363500000001</v>
      </c>
      <c r="AP52" s="3530">
        <f t="shared" si="32"/>
        <v>0</v>
      </c>
      <c r="AQ52" s="3530">
        <f t="shared" si="33"/>
        <v>5219.7363500000001</v>
      </c>
      <c r="AR52" s="3530">
        <f t="shared" si="34"/>
        <v>0</v>
      </c>
      <c r="AS52" s="3530">
        <f t="shared" si="35"/>
        <v>5219.7363500000001</v>
      </c>
      <c r="AT52" s="3530">
        <f t="shared" si="17"/>
        <v>0</v>
      </c>
      <c r="AU52" s="3530">
        <f t="shared" si="18"/>
        <v>130900.71525000001</v>
      </c>
      <c r="AV52" s="3530">
        <f t="shared" si="19"/>
        <v>0</v>
      </c>
      <c r="AW52" s="3530">
        <f t="shared" si="20"/>
        <v>130900.71525000001</v>
      </c>
      <c r="AX52" s="3531" t="s">
        <v>3273</v>
      </c>
      <c r="AY52" s="3532">
        <f t="shared" si="12"/>
        <v>47</v>
      </c>
      <c r="AZ52" s="3532"/>
      <c r="BC52" s="3673"/>
      <c r="BD52" s="3603" t="s">
        <v>3434</v>
      </c>
      <c r="BE52" s="3712">
        <v>0</v>
      </c>
      <c r="BF52" s="3712">
        <v>0</v>
      </c>
      <c r="BG52" s="3712">
        <v>0</v>
      </c>
      <c r="BH52" s="3712">
        <v>0</v>
      </c>
      <c r="BI52" s="3712">
        <v>0</v>
      </c>
      <c r="BJ52" s="3712">
        <v>0</v>
      </c>
      <c r="BK52" s="3712">
        <v>0</v>
      </c>
      <c r="BL52" s="3712">
        <v>0</v>
      </c>
      <c r="BM52" s="3712">
        <v>0</v>
      </c>
      <c r="BN52" s="3712">
        <v>0</v>
      </c>
      <c r="BO52" s="3712">
        <v>0</v>
      </c>
      <c r="BP52" s="3712">
        <v>0</v>
      </c>
      <c r="BQ52" s="3712">
        <v>0</v>
      </c>
      <c r="BR52" s="3712">
        <v>0</v>
      </c>
      <c r="BS52" s="3712">
        <v>0</v>
      </c>
      <c r="BT52" s="3712">
        <v>0</v>
      </c>
      <c r="BU52" s="3712">
        <v>0</v>
      </c>
      <c r="BV52" s="3712">
        <v>0</v>
      </c>
      <c r="BW52" s="3712">
        <v>0</v>
      </c>
      <c r="BX52" s="3712">
        <v>0</v>
      </c>
      <c r="BY52" s="3712">
        <v>0</v>
      </c>
      <c r="BZ52" s="3712">
        <v>0</v>
      </c>
      <c r="CA52" s="3712">
        <v>0</v>
      </c>
      <c r="CB52" s="3711">
        <v>0</v>
      </c>
    </row>
    <row r="53" spans="18:80" ht="90">
      <c r="R53" s="3521">
        <f t="shared" si="11"/>
        <v>48</v>
      </c>
      <c r="S53" s="3522" t="s">
        <v>3155</v>
      </c>
      <c r="T53" s="3523" t="s">
        <v>3274</v>
      </c>
      <c r="U53" s="3524">
        <v>500001</v>
      </c>
      <c r="V53" s="3524">
        <v>0</v>
      </c>
      <c r="W53" s="3524">
        <v>0</v>
      </c>
      <c r="X53" s="3547" t="s">
        <v>3150</v>
      </c>
      <c r="Y53" s="3547" t="s">
        <v>3150</v>
      </c>
      <c r="Z53" s="3547" t="s">
        <v>3150</v>
      </c>
      <c r="AA53" s="3538">
        <f>5100+3400</f>
        <v>8500</v>
      </c>
      <c r="AB53" s="3538">
        <f>5200+3500</f>
        <v>8700</v>
      </c>
      <c r="AC53" s="3538">
        <f>5400+3600</f>
        <v>9000</v>
      </c>
      <c r="AD53" s="3539">
        <v>3600</v>
      </c>
      <c r="AE53" s="3539">
        <v>3700</v>
      </c>
      <c r="AF53" s="3539">
        <v>0</v>
      </c>
      <c r="AG53" s="3539">
        <v>0</v>
      </c>
      <c r="AH53" s="3539">
        <v>0</v>
      </c>
      <c r="AI53" s="3539">
        <v>0</v>
      </c>
      <c r="AJ53" s="3540" t="s">
        <v>3151</v>
      </c>
      <c r="AK53" s="3529"/>
      <c r="AL53" s="3529" t="s">
        <v>3253</v>
      </c>
      <c r="AM53" s="3529" t="s">
        <v>3253</v>
      </c>
      <c r="AN53" s="3530">
        <f t="shared" si="30"/>
        <v>0</v>
      </c>
      <c r="AO53" s="3530">
        <f t="shared" si="31"/>
        <v>5867.9750000000004</v>
      </c>
      <c r="AP53" s="3530">
        <f t="shared" si="32"/>
        <v>0</v>
      </c>
      <c r="AQ53" s="3530">
        <f t="shared" si="33"/>
        <v>6006.0450000000001</v>
      </c>
      <c r="AR53" s="3530">
        <f t="shared" si="34"/>
        <v>0</v>
      </c>
      <c r="AS53" s="3530">
        <f t="shared" si="35"/>
        <v>6213.1500000000005</v>
      </c>
      <c r="AT53" s="3530">
        <f t="shared" si="17"/>
        <v>0</v>
      </c>
      <c r="AU53" s="3530">
        <f t="shared" si="18"/>
        <v>2485.2600000000002</v>
      </c>
      <c r="AV53" s="3530">
        <f t="shared" si="19"/>
        <v>0</v>
      </c>
      <c r="AW53" s="3530">
        <f t="shared" si="20"/>
        <v>2554.2950000000001</v>
      </c>
      <c r="AX53" s="3531" t="s">
        <v>3275</v>
      </c>
      <c r="AY53" s="3532">
        <f t="shared" si="12"/>
        <v>48</v>
      </c>
      <c r="AZ53" s="3532"/>
      <c r="BC53" s="3673"/>
      <c r="BD53" s="3603" t="s">
        <v>3431</v>
      </c>
      <c r="BE53" s="3712">
        <v>319156.69070862053</v>
      </c>
      <c r="BF53" s="3712">
        <v>268694.86420645111</v>
      </c>
      <c r="BG53" s="3712">
        <v>232942.73572891613</v>
      </c>
      <c r="BH53" s="3712">
        <v>184362.5589240058</v>
      </c>
      <c r="BI53" s="3712">
        <v>131017.56429795716</v>
      </c>
      <c r="BJ53" s="3712">
        <v>125655.19568779715</v>
      </c>
      <c r="BK53" s="3712">
        <v>130376.10883848352</v>
      </c>
      <c r="BL53" s="3712">
        <v>139094.1728865921</v>
      </c>
      <c r="BM53" s="3712">
        <v>165937.2084800576</v>
      </c>
      <c r="BN53" s="3712">
        <v>299967.1533907507</v>
      </c>
      <c r="BO53" s="3712">
        <v>358963.1405465703</v>
      </c>
      <c r="BP53" s="3712">
        <v>345547.00627591211</v>
      </c>
      <c r="BQ53" s="3712">
        <v>318601.4466440893</v>
      </c>
      <c r="BR53" s="3712">
        <v>269047.29892842093</v>
      </c>
      <c r="BS53" s="3712">
        <v>233788.81060606337</v>
      </c>
      <c r="BT53" s="3712">
        <v>183668.41343106219</v>
      </c>
      <c r="BU53" s="3712">
        <v>131268.46388280936</v>
      </c>
      <c r="BV53" s="3712">
        <v>125853.07525232568</v>
      </c>
      <c r="BW53" s="3712">
        <v>128104.93270105997</v>
      </c>
      <c r="BX53" s="3712">
        <v>138981.41324365739</v>
      </c>
      <c r="BY53" s="3712">
        <v>165957.89038800274</v>
      </c>
      <c r="BZ53" s="3712">
        <v>301492.07724323694</v>
      </c>
      <c r="CA53" s="3712">
        <v>359832.42371332448</v>
      </c>
      <c r="CB53" s="3711">
        <v>345277.18624705821</v>
      </c>
    </row>
    <row r="54" spans="18:80" ht="45">
      <c r="R54" s="3521">
        <f t="shared" si="11"/>
        <v>49</v>
      </c>
      <c r="S54" s="3522" t="s">
        <v>3130</v>
      </c>
      <c r="T54" s="3523" t="s">
        <v>3276</v>
      </c>
      <c r="U54" s="3524">
        <v>490303</v>
      </c>
      <c r="V54" s="3524">
        <v>232932</v>
      </c>
      <c r="W54" s="3524">
        <v>0</v>
      </c>
      <c r="X54" s="3525">
        <f t="shared" ref="X54:Z57" si="36">U54*$T$4*$T$3</f>
        <v>991.70897033808205</v>
      </c>
      <c r="Y54" s="3525">
        <f t="shared" si="36"/>
        <v>471.13877312353816</v>
      </c>
      <c r="Z54" s="3525">
        <f t="shared" si="36"/>
        <v>0</v>
      </c>
      <c r="AA54" s="3538">
        <v>0</v>
      </c>
      <c r="AB54" s="3538">
        <v>0</v>
      </c>
      <c r="AC54" s="3538">
        <v>0</v>
      </c>
      <c r="AD54" s="3539"/>
      <c r="AE54" s="3539"/>
      <c r="AF54" s="3539">
        <v>0</v>
      </c>
      <c r="AG54" s="3539">
        <v>0</v>
      </c>
      <c r="AH54" s="3539"/>
      <c r="AI54" s="3539"/>
      <c r="AJ54" s="3540"/>
      <c r="AK54" s="3529"/>
      <c r="AL54" s="3529" t="s">
        <v>3132</v>
      </c>
      <c r="AM54" s="3529" t="s">
        <v>3133</v>
      </c>
      <c r="AN54" s="3530">
        <f t="shared" si="30"/>
        <v>638.66057689772481</v>
      </c>
      <c r="AO54" s="3530">
        <f t="shared" si="31"/>
        <v>0</v>
      </c>
      <c r="AP54" s="3530">
        <f t="shared" si="32"/>
        <v>303.4133698915586</v>
      </c>
      <c r="AQ54" s="3530">
        <f t="shared" si="33"/>
        <v>0</v>
      </c>
      <c r="AR54" s="3530">
        <f t="shared" si="34"/>
        <v>0</v>
      </c>
      <c r="AS54" s="3530">
        <f t="shared" si="35"/>
        <v>0</v>
      </c>
      <c r="AT54" s="3530">
        <f t="shared" si="17"/>
        <v>0</v>
      </c>
      <c r="AU54" s="3530">
        <f t="shared" si="18"/>
        <v>0</v>
      </c>
      <c r="AV54" s="3530">
        <f t="shared" si="19"/>
        <v>0</v>
      </c>
      <c r="AW54" s="3530">
        <f t="shared" si="20"/>
        <v>0</v>
      </c>
      <c r="AX54" s="3531" t="s">
        <v>3277</v>
      </c>
      <c r="AY54" s="3532">
        <f t="shared" si="12"/>
        <v>49</v>
      </c>
      <c r="AZ54" s="3532"/>
      <c r="BC54" s="3673"/>
      <c r="BD54" s="3603" t="s">
        <v>3430</v>
      </c>
      <c r="BE54" s="3712">
        <v>3060969.412</v>
      </c>
      <c r="BF54" s="3712">
        <v>3209173.8615999999</v>
      </c>
      <c r="BG54" s="3712">
        <v>2967345.1839999999</v>
      </c>
      <c r="BH54" s="3712">
        <v>2848771.3785999999</v>
      </c>
      <c r="BI54" s="3712">
        <v>2520129.7999999998</v>
      </c>
      <c r="BJ54" s="3712">
        <v>2287733.3220000002</v>
      </c>
      <c r="BK54" s="3712">
        <v>2123807.855</v>
      </c>
      <c r="BL54" s="3712">
        <v>2003140.05</v>
      </c>
      <c r="BM54" s="3712">
        <v>1948679.0471999999</v>
      </c>
      <c r="BN54" s="3712">
        <v>2086287.6868</v>
      </c>
      <c r="BO54" s="3712">
        <v>2482827.1568</v>
      </c>
      <c r="BP54" s="3712">
        <v>2938726.6264</v>
      </c>
      <c r="BQ54" s="3712">
        <v>3054813.412</v>
      </c>
      <c r="BR54" s="3712">
        <v>3235241.8615999999</v>
      </c>
      <c r="BS54" s="3712">
        <v>2975135.1839999999</v>
      </c>
      <c r="BT54" s="3712">
        <v>2862204.3785999999</v>
      </c>
      <c r="BU54" s="3712">
        <v>2536887.7999999998</v>
      </c>
      <c r="BV54" s="3712">
        <v>2294611.3220000002</v>
      </c>
      <c r="BW54" s="3712">
        <v>2122724.855</v>
      </c>
      <c r="BX54" s="3712">
        <v>1995654.05</v>
      </c>
      <c r="BY54" s="3712">
        <v>1944765.0471999999</v>
      </c>
      <c r="BZ54" s="3712">
        <v>2066014.6868</v>
      </c>
      <c r="CA54" s="3712">
        <v>2487672.1568</v>
      </c>
      <c r="CB54" s="3711">
        <v>2930404.6264</v>
      </c>
    </row>
    <row r="55" spans="18:80" ht="60">
      <c r="R55" s="3521">
        <f t="shared" si="11"/>
        <v>50</v>
      </c>
      <c r="S55" s="3522" t="s">
        <v>3144</v>
      </c>
      <c r="T55" s="3523" t="s">
        <v>3278</v>
      </c>
      <c r="U55" s="3524">
        <v>3830156</v>
      </c>
      <c r="V55" s="3524">
        <v>7751644</v>
      </c>
      <c r="W55" s="3524">
        <v>1449994</v>
      </c>
      <c r="X55" s="3525">
        <f t="shared" si="36"/>
        <v>7747.0463427599407</v>
      </c>
      <c r="Y55" s="3525">
        <f t="shared" si="36"/>
        <v>15678.824909632149</v>
      </c>
      <c r="Z55" s="3525">
        <f t="shared" si="36"/>
        <v>2932.8232883266</v>
      </c>
      <c r="AA55" s="3538">
        <v>0</v>
      </c>
      <c r="AB55" s="3538">
        <v>0</v>
      </c>
      <c r="AC55" s="3538">
        <v>0</v>
      </c>
      <c r="AD55" s="3539">
        <f>35200+140000</f>
        <v>175200</v>
      </c>
      <c r="AE55" s="3539">
        <f>35200+140000</f>
        <v>175200</v>
      </c>
      <c r="AF55" s="3539">
        <v>0</v>
      </c>
      <c r="AG55" s="3539">
        <v>0</v>
      </c>
      <c r="AH55" s="3539">
        <f>316800+35000</f>
        <v>351800</v>
      </c>
      <c r="AI55" s="3539">
        <f>316800+35000</f>
        <v>351800</v>
      </c>
      <c r="AJ55" s="3540" t="s">
        <v>3243</v>
      </c>
      <c r="AK55" s="3529"/>
      <c r="AL55" s="3529" t="s">
        <v>839</v>
      </c>
      <c r="AM55" s="3529" t="s">
        <v>839</v>
      </c>
      <c r="AN55" s="3530">
        <f t="shared" si="30"/>
        <v>3636.0821011248722</v>
      </c>
      <c r="AO55" s="3530">
        <f t="shared" si="31"/>
        <v>1150.9912005683714</v>
      </c>
      <c r="AP55" s="3530">
        <f t="shared" si="32"/>
        <v>7358.8684123288995</v>
      </c>
      <c r="AQ55" s="3530">
        <f t="shared" si="33"/>
        <v>2329.4283663481624</v>
      </c>
      <c r="AR55" s="3530">
        <f t="shared" si="34"/>
        <v>1376.522844014306</v>
      </c>
      <c r="AS55" s="3530">
        <f t="shared" si="35"/>
        <v>435.73429773537555</v>
      </c>
      <c r="AT55" s="3530">
        <f t="shared" si="17"/>
        <v>82230.253432319994</v>
      </c>
      <c r="AU55" s="3530">
        <f t="shared" si="18"/>
        <v>26029.747263360001</v>
      </c>
      <c r="AV55" s="3530">
        <f t="shared" si="19"/>
        <v>82230.253432319994</v>
      </c>
      <c r="AW55" s="3530">
        <f t="shared" si="20"/>
        <v>26029.747263360001</v>
      </c>
      <c r="AX55" s="3531" t="s">
        <v>3279</v>
      </c>
      <c r="AY55" s="3532">
        <f t="shared" si="12"/>
        <v>50</v>
      </c>
      <c r="AZ55" s="3532"/>
      <c r="BC55" s="3673"/>
      <c r="BD55" s="3603"/>
      <c r="BE55" s="3696"/>
      <c r="BF55" s="3696"/>
      <c r="BG55" s="3696"/>
      <c r="BH55" s="3696"/>
      <c r="BI55" s="3696"/>
      <c r="BJ55" s="3696"/>
      <c r="BK55" s="3696"/>
      <c r="BL55" s="3696"/>
      <c r="BM55" s="3696"/>
      <c r="BN55" s="3696"/>
      <c r="BO55" s="3696"/>
      <c r="BP55" s="3696"/>
      <c r="BQ55" s="3696"/>
      <c r="BR55" s="3696"/>
      <c r="BS55" s="3696"/>
      <c r="BT55" s="3696"/>
      <c r="BU55" s="3696"/>
      <c r="BV55" s="3696"/>
      <c r="BW55" s="3696"/>
      <c r="BX55" s="3696"/>
      <c r="BY55" s="3696"/>
      <c r="BZ55" s="3696"/>
      <c r="CA55" s="3696"/>
      <c r="CB55" s="3710"/>
    </row>
    <row r="56" spans="18:80" ht="60">
      <c r="R56" s="3521">
        <f t="shared" si="11"/>
        <v>51</v>
      </c>
      <c r="S56" s="3522" t="s">
        <v>3130</v>
      </c>
      <c r="T56" s="3523" t="s">
        <v>3280</v>
      </c>
      <c r="U56" s="3524">
        <v>2676153</v>
      </c>
      <c r="V56" s="3524">
        <v>2078530</v>
      </c>
      <c r="W56" s="3524">
        <v>132015</v>
      </c>
      <c r="X56" s="3525">
        <f t="shared" si="36"/>
        <v>5412.9078061875398</v>
      </c>
      <c r="Y56" s="3525">
        <f t="shared" si="36"/>
        <v>4204.128561556453</v>
      </c>
      <c r="Z56" s="3525">
        <f t="shared" si="36"/>
        <v>267.01949553476504</v>
      </c>
      <c r="AA56" s="3538">
        <v>0</v>
      </c>
      <c r="AB56" s="3538">
        <v>0</v>
      </c>
      <c r="AC56" s="3538">
        <v>0</v>
      </c>
      <c r="AD56" s="3539">
        <v>0</v>
      </c>
      <c r="AE56" s="3539">
        <v>0</v>
      </c>
      <c r="AF56" s="3539">
        <v>0</v>
      </c>
      <c r="AG56" s="3539">
        <v>0</v>
      </c>
      <c r="AH56" s="3539">
        <v>0</v>
      </c>
      <c r="AI56" s="3539">
        <v>0</v>
      </c>
      <c r="AJ56" s="3540"/>
      <c r="AK56" s="3529"/>
      <c r="AL56" s="3529" t="s">
        <v>839</v>
      </c>
      <c r="AM56" s="3529" t="s">
        <v>839</v>
      </c>
      <c r="AN56" s="3530">
        <f t="shared" si="30"/>
        <v>2540.5524013047066</v>
      </c>
      <c r="AO56" s="3530">
        <f t="shared" si="31"/>
        <v>804.20446435462384</v>
      </c>
      <c r="AP56" s="3530">
        <f t="shared" si="32"/>
        <v>1973.2109422308333</v>
      </c>
      <c r="AQ56" s="3530">
        <f t="shared" si="33"/>
        <v>624.61417762550059</v>
      </c>
      <c r="AR56" s="3530">
        <f t="shared" si="34"/>
        <v>125.32580359128976</v>
      </c>
      <c r="AS56" s="3530">
        <f t="shared" si="35"/>
        <v>39.671518168720425</v>
      </c>
      <c r="AT56" s="3530">
        <f t="shared" si="17"/>
        <v>0</v>
      </c>
      <c r="AU56" s="3530">
        <f t="shared" si="18"/>
        <v>0</v>
      </c>
      <c r="AV56" s="3530">
        <f t="shared" si="19"/>
        <v>0</v>
      </c>
      <c r="AW56" s="3530">
        <f t="shared" si="20"/>
        <v>0</v>
      </c>
      <c r="AX56" s="3531" t="s">
        <v>3281</v>
      </c>
      <c r="AY56" s="3532">
        <f t="shared" si="12"/>
        <v>51</v>
      </c>
      <c r="AZ56" s="3532"/>
      <c r="BC56" s="3673"/>
      <c r="BD56" s="3693" t="s">
        <v>3305</v>
      </c>
      <c r="CB56" s="3672"/>
    </row>
    <row r="57" spans="18:80" ht="60">
      <c r="R57" s="3521">
        <f t="shared" si="11"/>
        <v>52</v>
      </c>
      <c r="S57" s="3522" t="s">
        <v>3144</v>
      </c>
      <c r="T57" s="3523" t="s">
        <v>3282</v>
      </c>
      <c r="U57" s="3524">
        <v>391207</v>
      </c>
      <c r="V57" s="3524">
        <v>490344</v>
      </c>
      <c r="W57" s="3524">
        <v>613801</v>
      </c>
      <c r="X57" s="3525">
        <f t="shared" si="36"/>
        <v>791.27292951307663</v>
      </c>
      <c r="Y57" s="3525">
        <f t="shared" si="36"/>
        <v>991.79189878800753</v>
      </c>
      <c r="Z57" s="3525">
        <f t="shared" si="36"/>
        <v>1241.501597384648</v>
      </c>
      <c r="AA57" s="3538">
        <v>16300</v>
      </c>
      <c r="AB57" s="3538">
        <v>16300</v>
      </c>
      <c r="AC57" s="3538">
        <v>16300</v>
      </c>
      <c r="AD57" s="3539">
        <v>400000</v>
      </c>
      <c r="AE57" s="3539">
        <v>400000</v>
      </c>
      <c r="AF57" s="3539">
        <v>0</v>
      </c>
      <c r="AG57" s="3539">
        <v>0</v>
      </c>
      <c r="AH57" s="3539">
        <v>0</v>
      </c>
      <c r="AI57" s="3539">
        <v>0</v>
      </c>
      <c r="AJ57" s="3540"/>
      <c r="AK57" s="3529"/>
      <c r="AL57" s="3529" t="s">
        <v>839</v>
      </c>
      <c r="AM57" s="3529" t="s">
        <v>839</v>
      </c>
      <c r="AN57" s="3530">
        <f t="shared" si="30"/>
        <v>7650.4174140799987</v>
      </c>
      <c r="AO57" s="3530">
        <f t="shared" si="31"/>
        <v>2421.7173538400002</v>
      </c>
      <c r="AP57" s="3530">
        <f t="shared" si="32"/>
        <v>7650.4174140799987</v>
      </c>
      <c r="AQ57" s="3530">
        <f t="shared" si="33"/>
        <v>2421.7173538400002</v>
      </c>
      <c r="AR57" s="3530">
        <f t="shared" si="34"/>
        <v>7650.4174140799987</v>
      </c>
      <c r="AS57" s="3530">
        <f t="shared" si="35"/>
        <v>2421.7173538400002</v>
      </c>
      <c r="AT57" s="3530">
        <f t="shared" si="17"/>
        <v>187740.30463999999</v>
      </c>
      <c r="AU57" s="3530">
        <f t="shared" si="18"/>
        <v>59428.646719999997</v>
      </c>
      <c r="AV57" s="3530">
        <f t="shared" si="19"/>
        <v>187740.30463999999</v>
      </c>
      <c r="AW57" s="3530">
        <f t="shared" si="20"/>
        <v>59428.646719999997</v>
      </c>
      <c r="AX57" s="3531" t="s">
        <v>3283</v>
      </c>
      <c r="AY57" s="3532">
        <f t="shared" si="12"/>
        <v>52</v>
      </c>
      <c r="AZ57" s="3532"/>
      <c r="BC57" s="3673"/>
      <c r="BE57" s="3691">
        <v>45688</v>
      </c>
      <c r="BF57" s="3691">
        <f t="shared" ref="BF57:CB57" si="37">EOMONTH(BE57,1)</f>
        <v>45716</v>
      </c>
      <c r="BG57" s="3691">
        <f t="shared" si="37"/>
        <v>45747</v>
      </c>
      <c r="BH57" s="3691">
        <f t="shared" si="37"/>
        <v>45777</v>
      </c>
      <c r="BI57" s="3691">
        <f t="shared" si="37"/>
        <v>45808</v>
      </c>
      <c r="BJ57" s="3691">
        <f t="shared" si="37"/>
        <v>45838</v>
      </c>
      <c r="BK57" s="3691">
        <f t="shared" si="37"/>
        <v>45869</v>
      </c>
      <c r="BL57" s="3691">
        <f t="shared" si="37"/>
        <v>45900</v>
      </c>
      <c r="BM57" s="3691">
        <f t="shared" si="37"/>
        <v>45930</v>
      </c>
      <c r="BN57" s="3691">
        <f t="shared" si="37"/>
        <v>45961</v>
      </c>
      <c r="BO57" s="3691">
        <f t="shared" si="37"/>
        <v>45991</v>
      </c>
      <c r="BP57" s="3691">
        <f t="shared" si="37"/>
        <v>46022</v>
      </c>
      <c r="BQ57" s="3691">
        <f t="shared" si="37"/>
        <v>46053</v>
      </c>
      <c r="BR57" s="3691">
        <f t="shared" si="37"/>
        <v>46081</v>
      </c>
      <c r="BS57" s="3691">
        <f t="shared" si="37"/>
        <v>46112</v>
      </c>
      <c r="BT57" s="3691">
        <f t="shared" si="37"/>
        <v>46142</v>
      </c>
      <c r="BU57" s="3691">
        <f t="shared" si="37"/>
        <v>46173</v>
      </c>
      <c r="BV57" s="3691">
        <f t="shared" si="37"/>
        <v>46203</v>
      </c>
      <c r="BW57" s="3691">
        <f t="shared" si="37"/>
        <v>46234</v>
      </c>
      <c r="BX57" s="3691">
        <f t="shared" si="37"/>
        <v>46265</v>
      </c>
      <c r="BY57" s="3691">
        <f t="shared" si="37"/>
        <v>46295</v>
      </c>
      <c r="BZ57" s="3691">
        <f t="shared" si="37"/>
        <v>46326</v>
      </c>
      <c r="CA57" s="3691">
        <f t="shared" si="37"/>
        <v>46356</v>
      </c>
      <c r="CB57" s="3690">
        <f t="shared" si="37"/>
        <v>46387</v>
      </c>
    </row>
    <row r="58" spans="18:80" ht="45">
      <c r="R58" s="3521">
        <f t="shared" si="11"/>
        <v>53</v>
      </c>
      <c r="S58" s="3522" t="s">
        <v>3144</v>
      </c>
      <c r="T58" s="3523" t="s">
        <v>3284</v>
      </c>
      <c r="U58" s="3524">
        <v>303024</v>
      </c>
      <c r="V58" s="3524">
        <v>649022</v>
      </c>
      <c r="W58" s="3524">
        <v>194984</v>
      </c>
      <c r="X58" s="3547" t="s">
        <v>3150</v>
      </c>
      <c r="Y58" s="3547" t="s">
        <v>3150</v>
      </c>
      <c r="Z58" s="3547" t="s">
        <v>3150</v>
      </c>
      <c r="AA58" s="3538">
        <v>0</v>
      </c>
      <c r="AB58" s="3538">
        <v>0</v>
      </c>
      <c r="AC58" s="3538">
        <v>0</v>
      </c>
      <c r="AD58" s="3539">
        <v>936000</v>
      </c>
      <c r="AE58" s="3539">
        <v>936000</v>
      </c>
      <c r="AF58" s="3539">
        <v>0</v>
      </c>
      <c r="AG58" s="3539">
        <v>0</v>
      </c>
      <c r="AH58" s="3539">
        <v>104000</v>
      </c>
      <c r="AI58" s="3539">
        <v>104000</v>
      </c>
      <c r="AJ58" s="3540" t="s">
        <v>3151</v>
      </c>
      <c r="AK58" s="3529"/>
      <c r="AL58" s="3529" t="s">
        <v>3253</v>
      </c>
      <c r="AM58" s="3529" t="s">
        <v>3152</v>
      </c>
      <c r="AN58" s="3530">
        <f t="shared" si="30"/>
        <v>0</v>
      </c>
      <c r="AO58" s="3530">
        <f t="shared" si="31"/>
        <v>0</v>
      </c>
      <c r="AP58" s="3530">
        <f t="shared" si="32"/>
        <v>0</v>
      </c>
      <c r="AQ58" s="3530">
        <f t="shared" si="33"/>
        <v>0</v>
      </c>
      <c r="AR58" s="3530">
        <f t="shared" si="34"/>
        <v>0</v>
      </c>
      <c r="AS58" s="3530">
        <f t="shared" si="35"/>
        <v>0</v>
      </c>
      <c r="AT58" s="3530">
        <f t="shared" si="17"/>
        <v>0</v>
      </c>
      <c r="AU58" s="3530">
        <f t="shared" si="18"/>
        <v>0</v>
      </c>
      <c r="AV58" s="3530">
        <f t="shared" si="19"/>
        <v>0</v>
      </c>
      <c r="AW58" s="3530">
        <f t="shared" si="20"/>
        <v>0</v>
      </c>
      <c r="AX58" s="3531" t="s">
        <v>3285</v>
      </c>
      <c r="AY58" s="3532">
        <f t="shared" si="12"/>
        <v>53</v>
      </c>
      <c r="AZ58" s="3532"/>
      <c r="BC58" s="3673"/>
      <c r="BD58" s="3603" t="s">
        <v>3433</v>
      </c>
      <c r="BE58" s="3689">
        <f t="shared" ref="BE58:CB58" si="38">BE49/(BE31+BE30)</f>
        <v>127.65772891877144</v>
      </c>
      <c r="BF58" s="3689">
        <f t="shared" si="38"/>
        <v>111.83649157117991</v>
      </c>
      <c r="BG58" s="3689">
        <f t="shared" si="38"/>
        <v>85.438199836074318</v>
      </c>
      <c r="BH58" s="3689">
        <f t="shared" si="38"/>
        <v>54.14302219416593</v>
      </c>
      <c r="BI58" s="3689">
        <f t="shared" si="38"/>
        <v>28.36597204595574</v>
      </c>
      <c r="BJ58" s="3689">
        <f t="shared" si="38"/>
        <v>17.574726741345639</v>
      </c>
      <c r="BK58" s="3689">
        <f t="shared" si="38"/>
        <v>12.931213149337371</v>
      </c>
      <c r="BL58" s="3689">
        <f t="shared" si="38"/>
        <v>13.178328828740502</v>
      </c>
      <c r="BM58" s="3689">
        <f t="shared" si="38"/>
        <v>18.491938949634971</v>
      </c>
      <c r="BN58" s="3689">
        <f t="shared" si="38"/>
        <v>48.176465164912578</v>
      </c>
      <c r="BO58" s="3689">
        <f t="shared" si="38"/>
        <v>93.543073740246811</v>
      </c>
      <c r="BP58" s="3689">
        <f t="shared" si="38"/>
        <v>140.78529750971964</v>
      </c>
      <c r="BQ58" s="3689">
        <f t="shared" si="38"/>
        <v>127.64769276854004</v>
      </c>
      <c r="BR58" s="3689">
        <f t="shared" si="38"/>
        <v>111.91622291867384</v>
      </c>
      <c r="BS58" s="3689">
        <f t="shared" si="38"/>
        <v>85.811541270926995</v>
      </c>
      <c r="BT58" s="3689">
        <f t="shared" si="38"/>
        <v>54.289165245048821</v>
      </c>
      <c r="BU58" s="3689">
        <f t="shared" si="38"/>
        <v>28.490057824509439</v>
      </c>
      <c r="BV58" s="3689">
        <f t="shared" si="38"/>
        <v>17.664868961494339</v>
      </c>
      <c r="BW58" s="3689">
        <f t="shared" si="38"/>
        <v>13.005998517028146</v>
      </c>
      <c r="BX58" s="3689">
        <f t="shared" si="38"/>
        <v>13.004785499679839</v>
      </c>
      <c r="BY58" s="3689">
        <f t="shared" si="38"/>
        <v>17.889698257968007</v>
      </c>
      <c r="BZ58" s="3689">
        <f t="shared" si="38"/>
        <v>47.840755351039107</v>
      </c>
      <c r="CA58" s="3689">
        <f t="shared" si="38"/>
        <v>93.693441712469621</v>
      </c>
      <c r="CB58" s="3688">
        <f t="shared" si="38"/>
        <v>140.68615545608341</v>
      </c>
    </row>
    <row r="59" spans="18:80" ht="45">
      <c r="R59" s="3521">
        <f t="shared" si="11"/>
        <v>54</v>
      </c>
      <c r="S59" s="3522" t="s">
        <v>3155</v>
      </c>
      <c r="T59" s="3523" t="s">
        <v>3286</v>
      </c>
      <c r="U59" s="3524">
        <v>3999996</v>
      </c>
      <c r="V59" s="3524">
        <v>3999996</v>
      </c>
      <c r="W59" s="3524">
        <v>3000000</v>
      </c>
      <c r="X59" s="3547" t="s">
        <v>3150</v>
      </c>
      <c r="Y59" s="3547" t="s">
        <v>3150</v>
      </c>
      <c r="Z59" s="3547" t="s">
        <v>3150</v>
      </c>
      <c r="AA59" s="3538">
        <v>0</v>
      </c>
      <c r="AB59" s="3538">
        <v>0</v>
      </c>
      <c r="AC59" s="3538">
        <v>0</v>
      </c>
      <c r="AD59" s="3539">
        <v>0</v>
      </c>
      <c r="AE59" s="3539">
        <v>0</v>
      </c>
      <c r="AF59" s="3539">
        <v>0</v>
      </c>
      <c r="AG59" s="3539">
        <v>0</v>
      </c>
      <c r="AH59" s="3539">
        <v>0</v>
      </c>
      <c r="AI59" s="3539">
        <v>0</v>
      </c>
      <c r="AJ59" s="3540" t="s">
        <v>3287</v>
      </c>
      <c r="AK59" s="3529" t="s">
        <v>3167</v>
      </c>
      <c r="AL59" s="3529" t="s">
        <v>3132</v>
      </c>
      <c r="AM59" s="3529" t="s">
        <v>3152</v>
      </c>
      <c r="AN59" s="3530">
        <f t="shared" si="30"/>
        <v>0</v>
      </c>
      <c r="AO59" s="3530">
        <f t="shared" si="31"/>
        <v>0</v>
      </c>
      <c r="AP59" s="3530">
        <f t="shared" si="32"/>
        <v>0</v>
      </c>
      <c r="AQ59" s="3530">
        <f t="shared" si="33"/>
        <v>0</v>
      </c>
      <c r="AR59" s="3530">
        <f t="shared" si="34"/>
        <v>0</v>
      </c>
      <c r="AS59" s="3530">
        <f t="shared" si="35"/>
        <v>0</v>
      </c>
      <c r="AT59" s="3530">
        <f t="shared" si="17"/>
        <v>0</v>
      </c>
      <c r="AU59" s="3530">
        <f t="shared" si="18"/>
        <v>0</v>
      </c>
      <c r="AV59" s="3530">
        <f t="shared" si="19"/>
        <v>0</v>
      </c>
      <c r="AW59" s="3530">
        <f t="shared" si="20"/>
        <v>0</v>
      </c>
      <c r="AX59" s="3550" t="s">
        <v>3288</v>
      </c>
      <c r="AY59" s="3532">
        <f t="shared" si="12"/>
        <v>54</v>
      </c>
      <c r="AZ59" s="3532"/>
      <c r="BC59" s="3673"/>
      <c r="BD59" s="3603" t="s">
        <v>3428</v>
      </c>
      <c r="BE59" s="3689">
        <f t="shared" ref="BE59:CB59" si="39">BE50/BE31</f>
        <v>2554.1687709283801</v>
      </c>
      <c r="BF59" s="3689">
        <f t="shared" si="39"/>
        <v>2231.6645940418261</v>
      </c>
      <c r="BG59" s="3689">
        <f t="shared" si="39"/>
        <v>1799.959080166986</v>
      </c>
      <c r="BH59" s="3689">
        <f t="shared" si="39"/>
        <v>1237.568669207596</v>
      </c>
      <c r="BI59" s="3689">
        <f t="shared" si="39"/>
        <v>752.01396916520525</v>
      </c>
      <c r="BJ59" s="3689">
        <f t="shared" si="39"/>
        <v>583.39771578195098</v>
      </c>
      <c r="BK59" s="3689">
        <f t="shared" si="39"/>
        <v>500.86054486012193</v>
      </c>
      <c r="BL59" s="3689">
        <f t="shared" si="39"/>
        <v>514.8150750105699</v>
      </c>
      <c r="BM59" s="3689">
        <f t="shared" si="39"/>
        <v>680.5757093725249</v>
      </c>
      <c r="BN59" s="3689">
        <f t="shared" si="39"/>
        <v>1446.4873709673775</v>
      </c>
      <c r="BO59" s="3689">
        <f t="shared" si="39"/>
        <v>2193.2648060752031</v>
      </c>
      <c r="BP59" s="3689">
        <f t="shared" si="39"/>
        <v>2789.2982823685402</v>
      </c>
      <c r="BQ59" s="3689">
        <f t="shared" si="39"/>
        <v>2549.7111185189437</v>
      </c>
      <c r="BR59" s="3689">
        <f t="shared" si="39"/>
        <v>2234.5819907460018</v>
      </c>
      <c r="BS59" s="3689">
        <f t="shared" si="39"/>
        <v>1806.3783775064212</v>
      </c>
      <c r="BT59" s="3689">
        <f t="shared" si="39"/>
        <v>1232.6679924050134</v>
      </c>
      <c r="BU59" s="3689">
        <f t="shared" si="39"/>
        <v>752.83265990489326</v>
      </c>
      <c r="BV59" s="3689">
        <f t="shared" si="39"/>
        <v>583.19261611410263</v>
      </c>
      <c r="BW59" s="3689">
        <f t="shared" si="39"/>
        <v>490.95334493676586</v>
      </c>
      <c r="BX59" s="3689">
        <f t="shared" si="39"/>
        <v>512.59215030732662</v>
      </c>
      <c r="BY59" s="3689">
        <f t="shared" si="39"/>
        <v>678.99634862203027</v>
      </c>
      <c r="BZ59" s="3689">
        <f t="shared" si="39"/>
        <v>1452.0362437224801</v>
      </c>
      <c r="CA59" s="3689">
        <f t="shared" si="39"/>
        <v>2197.6211425354372</v>
      </c>
      <c r="CB59" s="3688">
        <f t="shared" si="39"/>
        <v>2786.8288871720988</v>
      </c>
    </row>
    <row r="60" spans="18:80" ht="90">
      <c r="R60" s="3521">
        <f t="shared" si="11"/>
        <v>55</v>
      </c>
      <c r="S60" s="3522" t="s">
        <v>3144</v>
      </c>
      <c r="T60" s="3523" t="s">
        <v>3289</v>
      </c>
      <c r="U60" s="3524">
        <v>4597501</v>
      </c>
      <c r="V60" s="3524">
        <v>1999046</v>
      </c>
      <c r="W60" s="3524">
        <v>1944767</v>
      </c>
      <c r="X60" s="3525">
        <f t="shared" ref="X60:Z65" si="40">U60*$T$4*$T$3</f>
        <v>9299.1129624707628</v>
      </c>
      <c r="Y60" s="3525">
        <f t="shared" si="40"/>
        <v>4043.3606368275564</v>
      </c>
      <c r="Z60" s="3525">
        <f t="shared" si="40"/>
        <v>3933.5734823516905</v>
      </c>
      <c r="AA60" s="3538">
        <v>0</v>
      </c>
      <c r="AB60" s="3538">
        <v>0</v>
      </c>
      <c r="AC60" s="3538">
        <v>0</v>
      </c>
      <c r="AD60" s="3539">
        <v>1000000</v>
      </c>
      <c r="AE60" s="3539">
        <v>1000000</v>
      </c>
      <c r="AF60" s="3539">
        <v>0</v>
      </c>
      <c r="AG60" s="3539">
        <v>0</v>
      </c>
      <c r="AH60" s="3539">
        <v>0</v>
      </c>
      <c r="AI60" s="3539">
        <v>0</v>
      </c>
      <c r="AJ60" s="3540" t="s">
        <v>3290</v>
      </c>
      <c r="AK60" s="3529"/>
      <c r="AL60" s="3529" t="s">
        <v>839</v>
      </c>
      <c r="AM60" s="3529" t="s">
        <v>839</v>
      </c>
      <c r="AN60" s="3530">
        <f t="shared" si="30"/>
        <v>4364.5457511400846</v>
      </c>
      <c r="AO60" s="3530">
        <f t="shared" si="31"/>
        <v>1381.584247640119</v>
      </c>
      <c r="AP60" s="3530">
        <f t="shared" si="32"/>
        <v>1897.7543943184744</v>
      </c>
      <c r="AQ60" s="3530">
        <f t="shared" si="33"/>
        <v>600.72862711894766</v>
      </c>
      <c r="AR60" s="3530">
        <f t="shared" si="34"/>
        <v>1846.2257097513298</v>
      </c>
      <c r="AS60" s="3530">
        <f t="shared" si="35"/>
        <v>584.41737207459687</v>
      </c>
      <c r="AT60" s="3530">
        <f t="shared" si="17"/>
        <v>469350.76159999997</v>
      </c>
      <c r="AU60" s="3530">
        <f t="shared" si="18"/>
        <v>148571.61679999999</v>
      </c>
      <c r="AV60" s="3530">
        <f t="shared" si="19"/>
        <v>469350.76159999997</v>
      </c>
      <c r="AW60" s="3530">
        <f t="shared" si="20"/>
        <v>148571.61679999999</v>
      </c>
      <c r="AX60" s="3531" t="s">
        <v>3291</v>
      </c>
      <c r="AY60" s="3532">
        <f t="shared" si="12"/>
        <v>55</v>
      </c>
      <c r="AZ60" s="3532"/>
      <c r="BC60" s="3673"/>
      <c r="BD60" s="3603" t="s">
        <v>3432</v>
      </c>
      <c r="BE60" s="3689">
        <f t="shared" ref="BE60:CB60" si="41">BE51/BE32</f>
        <v>108001.4801349457</v>
      </c>
      <c r="BF60" s="3689">
        <f t="shared" si="41"/>
        <v>96162.367874329837</v>
      </c>
      <c r="BG60" s="3689">
        <f t="shared" si="41"/>
        <v>87124.296737771438</v>
      </c>
      <c r="BH60" s="3689">
        <f t="shared" si="41"/>
        <v>60400.469457896041</v>
      </c>
      <c r="BI60" s="3689">
        <f t="shared" si="41"/>
        <v>39304.699117240358</v>
      </c>
      <c r="BJ60" s="3689">
        <f t="shared" si="41"/>
        <v>24257.455763462181</v>
      </c>
      <c r="BK60" s="3689">
        <f t="shared" si="41"/>
        <v>13535.671610889931</v>
      </c>
      <c r="BL60" s="3689">
        <f t="shared" si="41"/>
        <v>6118.8525457503592</v>
      </c>
      <c r="BM60" s="3689">
        <f t="shared" si="41"/>
        <v>6725.9237733578084</v>
      </c>
      <c r="BN60" s="3689">
        <f t="shared" si="41"/>
        <v>32233.147116526852</v>
      </c>
      <c r="BO60" s="3689">
        <f t="shared" si="41"/>
        <v>80937.166134343424</v>
      </c>
      <c r="BP60" s="3689">
        <f t="shared" si="41"/>
        <v>113816.17538820748</v>
      </c>
      <c r="BQ60" s="3689">
        <f t="shared" si="41"/>
        <v>107813.58753375232</v>
      </c>
      <c r="BR60" s="3689">
        <f t="shared" si="41"/>
        <v>96288.499639020767</v>
      </c>
      <c r="BS60" s="3689">
        <f t="shared" si="41"/>
        <v>87440.742229957687</v>
      </c>
      <c r="BT60" s="3689">
        <f t="shared" si="41"/>
        <v>60173.054987785756</v>
      </c>
      <c r="BU60" s="3689">
        <f t="shared" si="41"/>
        <v>39379.967900812226</v>
      </c>
      <c r="BV60" s="3689">
        <f t="shared" si="41"/>
        <v>24295.655972826942</v>
      </c>
      <c r="BW60" s="3689">
        <f t="shared" si="41"/>
        <v>13299.877686370071</v>
      </c>
      <c r="BX60" s="3689">
        <f t="shared" si="41"/>
        <v>6113.8921680874391</v>
      </c>
      <c r="BY60" s="3689">
        <f t="shared" si="41"/>
        <v>6726.7620719986053</v>
      </c>
      <c r="BZ60" s="3689">
        <f t="shared" si="41"/>
        <v>32397.008707114608</v>
      </c>
      <c r="CA60" s="3689">
        <f t="shared" si="41"/>
        <v>81133.167640175612</v>
      </c>
      <c r="CB60" s="3688">
        <f t="shared" si="41"/>
        <v>113727.30214326677</v>
      </c>
    </row>
    <row r="61" spans="18:80">
      <c r="R61" s="3521">
        <f t="shared" si="11"/>
        <v>56</v>
      </c>
      <c r="S61" s="3522" t="s">
        <v>3155</v>
      </c>
      <c r="T61" s="3523" t="s">
        <v>3292</v>
      </c>
      <c r="U61" s="3524">
        <v>200003</v>
      </c>
      <c r="V61" s="3524">
        <v>199999</v>
      </c>
      <c r="W61" s="3524">
        <v>199999</v>
      </c>
      <c r="X61" s="3525">
        <f t="shared" si="40"/>
        <v>404.5350919625771</v>
      </c>
      <c r="Y61" s="3525">
        <f t="shared" si="40"/>
        <v>404.5270013820965</v>
      </c>
      <c r="Z61" s="3525">
        <f t="shared" si="40"/>
        <v>404.5270013820965</v>
      </c>
      <c r="AA61" s="3538">
        <v>0</v>
      </c>
      <c r="AB61" s="3538">
        <v>0</v>
      </c>
      <c r="AC61" s="3538">
        <v>0</v>
      </c>
      <c r="AD61" s="3539">
        <v>0</v>
      </c>
      <c r="AE61" s="3539">
        <v>0</v>
      </c>
      <c r="AF61" s="3539">
        <v>0</v>
      </c>
      <c r="AG61" s="3539">
        <v>0</v>
      </c>
      <c r="AH61" s="3539">
        <v>0</v>
      </c>
      <c r="AI61" s="3539">
        <v>0</v>
      </c>
      <c r="AJ61" s="3540"/>
      <c r="AK61" s="3529" t="s">
        <v>3167</v>
      </c>
      <c r="AL61" s="3529" t="s">
        <v>3132</v>
      </c>
      <c r="AM61" s="3529" t="s">
        <v>3195</v>
      </c>
      <c r="AN61" s="3530">
        <f t="shared" si="30"/>
        <v>270.80792661250797</v>
      </c>
      <c r="AO61" s="3530">
        <f t="shared" si="31"/>
        <v>0</v>
      </c>
      <c r="AP61" s="3530">
        <f t="shared" si="32"/>
        <v>270.80251053521687</v>
      </c>
      <c r="AQ61" s="3530">
        <f t="shared" si="33"/>
        <v>0</v>
      </c>
      <c r="AR61" s="3530">
        <f t="shared" si="34"/>
        <v>270.80251053521687</v>
      </c>
      <c r="AS61" s="3530">
        <f t="shared" si="35"/>
        <v>0</v>
      </c>
      <c r="AT61" s="3530">
        <f t="shared" si="17"/>
        <v>0</v>
      </c>
      <c r="AU61" s="3530">
        <f t="shared" si="18"/>
        <v>0</v>
      </c>
      <c r="AV61" s="3530">
        <f t="shared" si="19"/>
        <v>0</v>
      </c>
      <c r="AW61" s="3530">
        <f t="shared" si="20"/>
        <v>0</v>
      </c>
      <c r="AX61" s="3531" t="s">
        <v>3293</v>
      </c>
      <c r="AY61" s="3532">
        <f t="shared" si="12"/>
        <v>56</v>
      </c>
      <c r="AZ61" s="3532"/>
      <c r="BC61" s="3673"/>
      <c r="BD61" s="3603" t="s">
        <v>3434</v>
      </c>
      <c r="BE61" s="3689">
        <v>0</v>
      </c>
      <c r="BF61" s="3689">
        <v>0</v>
      </c>
      <c r="BG61" s="3689">
        <v>0</v>
      </c>
      <c r="BH61" s="3689">
        <v>0</v>
      </c>
      <c r="BI61" s="3689">
        <v>0</v>
      </c>
      <c r="BJ61" s="3689">
        <v>0</v>
      </c>
      <c r="BK61" s="3689">
        <v>0</v>
      </c>
      <c r="BL61" s="3689">
        <v>0</v>
      </c>
      <c r="BM61" s="3689">
        <v>0</v>
      </c>
      <c r="BN61" s="3689">
        <v>0</v>
      </c>
      <c r="BO61" s="3689">
        <v>0</v>
      </c>
      <c r="BP61" s="3689">
        <v>0</v>
      </c>
      <c r="BQ61" s="3689">
        <v>0</v>
      </c>
      <c r="BR61" s="3689">
        <v>0</v>
      </c>
      <c r="BS61" s="3689">
        <v>0</v>
      </c>
      <c r="BT61" s="3689">
        <v>0</v>
      </c>
      <c r="BU61" s="3689">
        <v>0</v>
      </c>
      <c r="BV61" s="3689">
        <v>0</v>
      </c>
      <c r="BW61" s="3689">
        <v>0</v>
      </c>
      <c r="BX61" s="3689">
        <v>0</v>
      </c>
      <c r="BY61" s="3689">
        <v>0</v>
      </c>
      <c r="BZ61" s="3689">
        <v>0</v>
      </c>
      <c r="CA61" s="3689">
        <v>0</v>
      </c>
      <c r="CB61" s="3688">
        <v>0</v>
      </c>
    </row>
    <row r="62" spans="18:80" ht="45">
      <c r="R62" s="3521">
        <f t="shared" si="11"/>
        <v>57</v>
      </c>
      <c r="S62" s="3522" t="s">
        <v>3144</v>
      </c>
      <c r="T62" s="3523" t="s">
        <v>3294</v>
      </c>
      <c r="U62" s="3524">
        <v>465000</v>
      </c>
      <c r="V62" s="3524">
        <v>420000</v>
      </c>
      <c r="W62" s="3524">
        <v>405500</v>
      </c>
      <c r="X62" s="3525">
        <f t="shared" si="40"/>
        <v>940.52998086327864</v>
      </c>
      <c r="Y62" s="3525">
        <f t="shared" si="40"/>
        <v>849.51095045715499</v>
      </c>
      <c r="Z62" s="3525">
        <f t="shared" si="40"/>
        <v>820.18259621518166</v>
      </c>
      <c r="AA62" s="3538">
        <v>0</v>
      </c>
      <c r="AB62" s="3538">
        <v>0</v>
      </c>
      <c r="AC62" s="3538">
        <v>0</v>
      </c>
      <c r="AD62" s="3539">
        <v>135000</v>
      </c>
      <c r="AE62" s="3539">
        <v>135000</v>
      </c>
      <c r="AF62" s="3539">
        <v>0</v>
      </c>
      <c r="AG62" s="3539">
        <v>0</v>
      </c>
      <c r="AH62" s="3539">
        <v>0</v>
      </c>
      <c r="AI62" s="3539">
        <v>0</v>
      </c>
      <c r="AJ62" s="3540"/>
      <c r="AK62" s="3529" t="s">
        <v>3167</v>
      </c>
      <c r="AL62" s="3529" t="s">
        <v>839</v>
      </c>
      <c r="AM62" s="3529" t="s">
        <v>839</v>
      </c>
      <c r="AN62" s="3530">
        <f t="shared" si="30"/>
        <v>441.43846282581319</v>
      </c>
      <c r="AO62" s="3530">
        <f t="shared" si="31"/>
        <v>139.73605990573037</v>
      </c>
      <c r="AP62" s="3530">
        <f t="shared" si="32"/>
        <v>398.71861158460553</v>
      </c>
      <c r="AQ62" s="3530">
        <f t="shared" si="33"/>
        <v>126.21321539872422</v>
      </c>
      <c r="AR62" s="3530">
        <f t="shared" si="34"/>
        <v>384.95332618466074</v>
      </c>
      <c r="AS62" s="3530">
        <f t="shared" si="35"/>
        <v>121.85585439091111</v>
      </c>
      <c r="AT62" s="3530">
        <f t="shared" si="17"/>
        <v>63362.352815999991</v>
      </c>
      <c r="AU62" s="3530">
        <f t="shared" si="18"/>
        <v>20057.168268000001</v>
      </c>
      <c r="AV62" s="3530">
        <f t="shared" si="19"/>
        <v>63362.352815999991</v>
      </c>
      <c r="AW62" s="3530">
        <f t="shared" si="20"/>
        <v>20057.168268000001</v>
      </c>
      <c r="AX62" s="3531" t="s">
        <v>3295</v>
      </c>
      <c r="AY62" s="3532">
        <f t="shared" si="12"/>
        <v>57</v>
      </c>
      <c r="AZ62" s="3532"/>
      <c r="BC62" s="3673"/>
      <c r="BD62" s="3603" t="s">
        <v>3431</v>
      </c>
      <c r="BE62" s="3689">
        <f t="shared" ref="BE62:CB62" si="42">BE53/BE34</f>
        <v>79789.172677155133</v>
      </c>
      <c r="BF62" s="3689">
        <f t="shared" si="42"/>
        <v>67173.716051612777</v>
      </c>
      <c r="BG62" s="3689">
        <f t="shared" si="42"/>
        <v>58235.683932229033</v>
      </c>
      <c r="BH62" s="3689">
        <f t="shared" si="42"/>
        <v>46090.639731001451</v>
      </c>
      <c r="BI62" s="3689">
        <f t="shared" si="42"/>
        <v>32754.391074489289</v>
      </c>
      <c r="BJ62" s="3689">
        <f t="shared" si="42"/>
        <v>31413.798921949288</v>
      </c>
      <c r="BK62" s="3689">
        <f t="shared" si="42"/>
        <v>32594.027209620879</v>
      </c>
      <c r="BL62" s="3689">
        <f t="shared" si="42"/>
        <v>34773.543221648026</v>
      </c>
      <c r="BM62" s="3689">
        <f t="shared" si="42"/>
        <v>41484.302120014399</v>
      </c>
      <c r="BN62" s="3689">
        <f t="shared" si="42"/>
        <v>74991.788347687674</v>
      </c>
      <c r="BO62" s="3689">
        <f t="shared" si="42"/>
        <v>89740.785136642575</v>
      </c>
      <c r="BP62" s="3689">
        <f t="shared" si="42"/>
        <v>86386.751568978027</v>
      </c>
      <c r="BQ62" s="3689">
        <f t="shared" si="42"/>
        <v>79650.361661022325</v>
      </c>
      <c r="BR62" s="3689">
        <f t="shared" si="42"/>
        <v>67261.824732105233</v>
      </c>
      <c r="BS62" s="3689">
        <f t="shared" si="42"/>
        <v>58447.202651515843</v>
      </c>
      <c r="BT62" s="3689">
        <f t="shared" si="42"/>
        <v>45917.103357765547</v>
      </c>
      <c r="BU62" s="3689">
        <f t="shared" si="42"/>
        <v>32817.11597070234</v>
      </c>
      <c r="BV62" s="3689">
        <f t="shared" si="42"/>
        <v>31463.26881308142</v>
      </c>
      <c r="BW62" s="3689">
        <f t="shared" si="42"/>
        <v>32026.233175264992</v>
      </c>
      <c r="BX62" s="3689">
        <f t="shared" si="42"/>
        <v>34745.353310914346</v>
      </c>
      <c r="BY62" s="3689">
        <f t="shared" si="42"/>
        <v>41489.472597000684</v>
      </c>
      <c r="BZ62" s="3689">
        <f t="shared" si="42"/>
        <v>75373.019310809235</v>
      </c>
      <c r="CA62" s="3689">
        <f t="shared" si="42"/>
        <v>89958.105928331119</v>
      </c>
      <c r="CB62" s="3688">
        <f t="shared" si="42"/>
        <v>86319.296561764553</v>
      </c>
    </row>
    <row r="63" spans="18:80" ht="75">
      <c r="R63" s="3521">
        <f t="shared" si="11"/>
        <v>58</v>
      </c>
      <c r="S63" s="3522" t="s">
        <v>3130</v>
      </c>
      <c r="T63" s="3523" t="s">
        <v>3296</v>
      </c>
      <c r="U63" s="3524">
        <v>500000</v>
      </c>
      <c r="V63" s="3524">
        <v>1500000</v>
      </c>
      <c r="W63" s="3524">
        <v>45000000</v>
      </c>
      <c r="X63" s="3525">
        <f t="shared" si="40"/>
        <v>1011.3225600680416</v>
      </c>
      <c r="Y63" s="3525">
        <f t="shared" si="40"/>
        <v>3033.9676802041249</v>
      </c>
      <c r="Z63" s="3525">
        <f t="shared" si="40"/>
        <v>91019.03040612374</v>
      </c>
      <c r="AA63" s="3538">
        <v>0</v>
      </c>
      <c r="AB63" s="3538">
        <v>50000</v>
      </c>
      <c r="AC63" s="3538">
        <v>100000</v>
      </c>
      <c r="AD63" s="3539">
        <v>100000</v>
      </c>
      <c r="AE63" s="3539">
        <v>150000</v>
      </c>
      <c r="AF63" s="3539">
        <v>50000</v>
      </c>
      <c r="AG63" s="3539">
        <v>100000</v>
      </c>
      <c r="AH63" s="3539">
        <v>0</v>
      </c>
      <c r="AI63" s="3539">
        <v>250000</v>
      </c>
      <c r="AK63" s="3529"/>
      <c r="AL63" s="3452" t="s">
        <v>3132</v>
      </c>
      <c r="AM63" s="3452" t="s">
        <v>3133</v>
      </c>
      <c r="AN63" s="3530">
        <f t="shared" si="30"/>
        <v>651.29172868381886</v>
      </c>
      <c r="AO63" s="3530">
        <f t="shared" si="31"/>
        <v>0</v>
      </c>
      <c r="AP63" s="3530">
        <f t="shared" si="32"/>
        <v>32200</v>
      </c>
      <c r="AQ63" s="3530">
        <f t="shared" si="33"/>
        <v>0</v>
      </c>
      <c r="AR63" s="3530">
        <f t="shared" si="34"/>
        <v>64400</v>
      </c>
      <c r="AS63" s="3530">
        <f t="shared" si="35"/>
        <v>0</v>
      </c>
      <c r="AT63" s="3530">
        <f t="shared" si="17"/>
        <v>64400</v>
      </c>
      <c r="AU63" s="3530">
        <f t="shared" si="18"/>
        <v>0</v>
      </c>
      <c r="AV63" s="3530">
        <f t="shared" si="19"/>
        <v>96600</v>
      </c>
      <c r="AW63" s="3530">
        <f t="shared" si="20"/>
        <v>0</v>
      </c>
      <c r="AX63" s="3531" t="s">
        <v>3297</v>
      </c>
      <c r="AY63" s="3532">
        <f t="shared" si="12"/>
        <v>58</v>
      </c>
      <c r="AZ63" s="3532"/>
      <c r="BC63" s="3673"/>
      <c r="BD63" s="3603" t="s">
        <v>3430</v>
      </c>
      <c r="BE63" s="3689">
        <f t="shared" ref="BE63:CB63" si="43">BE54/BE35</f>
        <v>87456.268914285713</v>
      </c>
      <c r="BF63" s="3689">
        <f t="shared" si="43"/>
        <v>91690.681759999992</v>
      </c>
      <c r="BG63" s="3689">
        <f t="shared" si="43"/>
        <v>84781.290971428563</v>
      </c>
      <c r="BH63" s="3689">
        <f t="shared" si="43"/>
        <v>81393.467959999994</v>
      </c>
      <c r="BI63" s="3689">
        <f t="shared" si="43"/>
        <v>72003.708571428564</v>
      </c>
      <c r="BJ63" s="3689">
        <f t="shared" si="43"/>
        <v>65363.809200000003</v>
      </c>
      <c r="BK63" s="3689">
        <f t="shared" si="43"/>
        <v>60680.224428571426</v>
      </c>
      <c r="BL63" s="3689">
        <f t="shared" si="43"/>
        <v>57232.572857142855</v>
      </c>
      <c r="BM63" s="3689">
        <f t="shared" si="43"/>
        <v>55676.544205714286</v>
      </c>
      <c r="BN63" s="3689">
        <f t="shared" si="43"/>
        <v>59608.219622857141</v>
      </c>
      <c r="BO63" s="3689">
        <f t="shared" si="43"/>
        <v>70937.91876571429</v>
      </c>
      <c r="BP63" s="3689">
        <f t="shared" si="43"/>
        <v>83963.61789714286</v>
      </c>
      <c r="BQ63" s="3689">
        <f t="shared" si="43"/>
        <v>87280.383199999997</v>
      </c>
      <c r="BR63" s="3689">
        <f t="shared" si="43"/>
        <v>92435.481759999995</v>
      </c>
      <c r="BS63" s="3689">
        <f t="shared" si="43"/>
        <v>85003.862399999998</v>
      </c>
      <c r="BT63" s="3689">
        <f t="shared" si="43"/>
        <v>81777.267959999997</v>
      </c>
      <c r="BU63" s="3689">
        <f t="shared" si="43"/>
        <v>72482.508571428567</v>
      </c>
      <c r="BV63" s="3689">
        <f t="shared" si="43"/>
        <v>65560.323485714296</v>
      </c>
      <c r="BW63" s="3689">
        <f t="shared" si="43"/>
        <v>60649.281571428568</v>
      </c>
      <c r="BX63" s="3689">
        <f t="shared" si="43"/>
        <v>57018.687142857147</v>
      </c>
      <c r="BY63" s="3689">
        <f t="shared" si="43"/>
        <v>55564.715634285712</v>
      </c>
      <c r="BZ63" s="3689">
        <f t="shared" si="43"/>
        <v>59028.991051428573</v>
      </c>
      <c r="CA63" s="3689">
        <f t="shared" si="43"/>
        <v>71076.347337142855</v>
      </c>
      <c r="CB63" s="3688">
        <f t="shared" si="43"/>
        <v>83725.846468571428</v>
      </c>
    </row>
    <row r="64" spans="18:80" ht="60.75" thickBot="1">
      <c r="R64" s="3521">
        <f t="shared" si="11"/>
        <v>59</v>
      </c>
      <c r="S64" s="3522" t="s">
        <v>3130</v>
      </c>
      <c r="T64" s="3523" t="s">
        <v>3298</v>
      </c>
      <c r="U64" s="3524">
        <v>747811</v>
      </c>
      <c r="V64" s="3524">
        <v>0</v>
      </c>
      <c r="W64" s="3524">
        <v>0</v>
      </c>
      <c r="X64" s="3525">
        <f t="shared" si="40"/>
        <v>1512.5562699340846</v>
      </c>
      <c r="Y64" s="3525">
        <f t="shared" si="40"/>
        <v>0</v>
      </c>
      <c r="Z64" s="3525">
        <f t="shared" si="40"/>
        <v>0</v>
      </c>
      <c r="AA64" s="3538"/>
      <c r="AB64" s="3538"/>
      <c r="AC64" s="3538"/>
      <c r="AD64" s="3539">
        <v>300000</v>
      </c>
      <c r="AE64" s="3539"/>
      <c r="AF64" s="3539"/>
      <c r="AG64" s="3539"/>
      <c r="AH64" s="3539"/>
      <c r="AI64" s="3539"/>
      <c r="AJ64" s="3540"/>
      <c r="AK64" s="3529" t="s">
        <v>2863</v>
      </c>
      <c r="AL64" s="3529" t="s">
        <v>3132</v>
      </c>
      <c r="AM64" s="3529" t="s">
        <v>3133</v>
      </c>
      <c r="AN64" s="3530">
        <f t="shared" si="30"/>
        <v>974.08623783755058</v>
      </c>
      <c r="AO64" s="3530">
        <f t="shared" si="31"/>
        <v>0</v>
      </c>
      <c r="AP64" s="3530">
        <f t="shared" si="32"/>
        <v>0</v>
      </c>
      <c r="AQ64" s="3530">
        <f t="shared" si="33"/>
        <v>0</v>
      </c>
      <c r="AR64" s="3530">
        <f t="shared" si="34"/>
        <v>0</v>
      </c>
      <c r="AS64" s="3530">
        <f t="shared" si="35"/>
        <v>0</v>
      </c>
      <c r="AT64" s="3562">
        <f t="shared" si="17"/>
        <v>193200</v>
      </c>
      <c r="AU64" s="3562">
        <f t="shared" si="18"/>
        <v>0</v>
      </c>
      <c r="AV64" s="3562">
        <f t="shared" si="19"/>
        <v>0</v>
      </c>
      <c r="AW64" s="3562">
        <f t="shared" si="20"/>
        <v>0</v>
      </c>
      <c r="AX64" s="3531" t="s">
        <v>3299</v>
      </c>
      <c r="AY64" s="3532">
        <f t="shared" si="12"/>
        <v>59</v>
      </c>
      <c r="AZ64" s="3532"/>
      <c r="BC64" s="3671"/>
      <c r="BD64" s="3610"/>
      <c r="BE64" s="3709"/>
      <c r="BF64" s="3709"/>
      <c r="BG64" s="3709"/>
      <c r="BH64" s="3709"/>
      <c r="BI64" s="3709"/>
      <c r="BJ64" s="3709"/>
      <c r="BK64" s="3709"/>
      <c r="BL64" s="3709"/>
      <c r="BM64" s="3709"/>
      <c r="BN64" s="3709"/>
      <c r="BO64" s="3709"/>
      <c r="BP64" s="3709"/>
      <c r="BQ64" s="3709"/>
      <c r="BR64" s="3709"/>
      <c r="BS64" s="3709"/>
      <c r="BT64" s="3709"/>
      <c r="BU64" s="3709"/>
      <c r="BV64" s="3709"/>
      <c r="BW64" s="3709"/>
      <c r="BX64" s="3709"/>
      <c r="BY64" s="3709"/>
      <c r="BZ64" s="3709"/>
      <c r="CA64" s="3709"/>
      <c r="CB64" s="3708"/>
    </row>
    <row r="65" spans="18:80" ht="25.5">
      <c r="R65" s="3521">
        <f t="shared" si="11"/>
        <v>60</v>
      </c>
      <c r="S65" s="3522" t="s">
        <v>3144</v>
      </c>
      <c r="T65" s="3523" t="s">
        <v>3300</v>
      </c>
      <c r="U65" s="3524">
        <v>4188193</v>
      </c>
      <c r="V65" s="3524">
        <v>3140876</v>
      </c>
      <c r="W65" s="3524">
        <v>1844292</v>
      </c>
      <c r="X65" s="3525">
        <f t="shared" si="40"/>
        <v>8471.2281336381038</v>
      </c>
      <c r="Y65" s="3525">
        <f t="shared" si="40"/>
        <v>6352.8775143525399</v>
      </c>
      <c r="Z65" s="3525">
        <f t="shared" si="40"/>
        <v>3730.348213906017</v>
      </c>
      <c r="AA65" s="3538">
        <v>0</v>
      </c>
      <c r="AB65" s="3538">
        <v>0</v>
      </c>
      <c r="AC65" s="3538">
        <v>0</v>
      </c>
      <c r="AD65" s="3539">
        <v>0</v>
      </c>
      <c r="AE65" s="3539">
        <v>0</v>
      </c>
      <c r="AF65" s="3539">
        <v>0</v>
      </c>
      <c r="AG65" s="3539">
        <v>0</v>
      </c>
      <c r="AH65" s="3539">
        <v>0</v>
      </c>
      <c r="AI65" s="3539">
        <v>0</v>
      </c>
      <c r="AJ65" s="3540" t="s">
        <v>3164</v>
      </c>
      <c r="AK65" s="3529"/>
      <c r="AL65" s="3529" t="s">
        <v>839</v>
      </c>
      <c r="AM65" s="3529" t="s">
        <v>839</v>
      </c>
      <c r="AN65" s="3530">
        <f t="shared" si="30"/>
        <v>3975.97737621039</v>
      </c>
      <c r="AO65" s="3530">
        <f t="shared" si="31"/>
        <v>1258.5840600962595</v>
      </c>
      <c r="AP65" s="3530">
        <f t="shared" si="32"/>
        <v>2981.7278997128792</v>
      </c>
      <c r="AQ65" s="3530">
        <f t="shared" si="33"/>
        <v>943.85728363972203</v>
      </c>
      <c r="AR65" s="3530">
        <f t="shared" si="34"/>
        <v>1750.8417752299886</v>
      </c>
      <c r="AS65" s="3530">
        <f t="shared" si="35"/>
        <v>554.22386536700924</v>
      </c>
      <c r="AT65" s="3530">
        <f t="shared" si="17"/>
        <v>0</v>
      </c>
      <c r="AU65" s="3530">
        <f t="shared" si="18"/>
        <v>0</v>
      </c>
      <c r="AV65" s="3530">
        <f t="shared" si="19"/>
        <v>0</v>
      </c>
      <c r="AW65" s="3530">
        <f t="shared" si="20"/>
        <v>0</v>
      </c>
      <c r="AX65" s="3531" t="s">
        <v>3134</v>
      </c>
      <c r="AY65" s="3532">
        <f t="shared" si="12"/>
        <v>60</v>
      </c>
      <c r="AZ65" s="3532"/>
      <c r="BC65" s="3701">
        <v>3</v>
      </c>
      <c r="BD65" s="3707" t="s">
        <v>3327</v>
      </c>
      <c r="BE65" s="3699"/>
      <c r="BF65" s="3699"/>
      <c r="BG65" s="3699"/>
      <c r="BH65" s="3699"/>
      <c r="BI65" s="3699"/>
      <c r="BJ65" s="3699"/>
      <c r="BK65" s="3699"/>
      <c r="BL65" s="3699"/>
      <c r="BM65" s="3699"/>
      <c r="BN65" s="3699"/>
      <c r="BO65" s="3699"/>
      <c r="BP65" s="3699"/>
      <c r="BQ65" s="3699"/>
      <c r="BR65" s="3699"/>
      <c r="BS65" s="3699"/>
      <c r="BT65" s="3699"/>
      <c r="BU65" s="3699"/>
      <c r="BV65" s="3699"/>
      <c r="BW65" s="3699"/>
      <c r="BX65" s="3699"/>
      <c r="BY65" s="3699"/>
      <c r="BZ65" s="3699"/>
      <c r="CA65" s="3699"/>
      <c r="CB65" s="3706"/>
    </row>
    <row r="66" spans="18:80">
      <c r="R66" s="3521">
        <f t="shared" si="11"/>
        <v>61</v>
      </c>
      <c r="S66" s="3522" t="s">
        <v>3155</v>
      </c>
      <c r="T66" s="3522" t="s">
        <v>3301</v>
      </c>
      <c r="U66" s="3524">
        <v>78505094</v>
      </c>
      <c r="V66" s="3524">
        <v>73745609</v>
      </c>
      <c r="W66" s="3524">
        <v>75985327</v>
      </c>
      <c r="X66" s="3990" t="s">
        <v>3302</v>
      </c>
      <c r="Y66" s="3990"/>
      <c r="Z66" s="3990"/>
      <c r="AA66" s="3606">
        <v>0</v>
      </c>
      <c r="AB66" s="3606">
        <v>0</v>
      </c>
      <c r="AC66" s="3606">
        <v>0</v>
      </c>
      <c r="AD66" s="3539">
        <v>0</v>
      </c>
      <c r="AE66" s="3539">
        <v>0</v>
      </c>
      <c r="AF66" s="3539">
        <v>0</v>
      </c>
      <c r="AG66" s="3539">
        <v>0</v>
      </c>
      <c r="AH66" s="3539">
        <v>0</v>
      </c>
      <c r="AI66" s="3539">
        <v>0</v>
      </c>
      <c r="AJ66" s="3540" t="s">
        <v>3151</v>
      </c>
      <c r="AK66" s="3529"/>
      <c r="AL66" s="3529"/>
      <c r="AM66" s="3529" t="s">
        <v>3152</v>
      </c>
      <c r="AN66" s="3530">
        <f t="shared" si="30"/>
        <v>0</v>
      </c>
      <c r="AO66" s="3530">
        <f t="shared" si="31"/>
        <v>0</v>
      </c>
      <c r="AP66" s="3530">
        <f t="shared" si="32"/>
        <v>0</v>
      </c>
      <c r="AQ66" s="3530">
        <f t="shared" si="33"/>
        <v>0</v>
      </c>
      <c r="AR66" s="3530">
        <f t="shared" si="34"/>
        <v>0</v>
      </c>
      <c r="AS66" s="3530">
        <f t="shared" si="35"/>
        <v>0</v>
      </c>
      <c r="AT66" s="3530">
        <f t="shared" si="17"/>
        <v>0</v>
      </c>
      <c r="AU66" s="3530">
        <f t="shared" si="18"/>
        <v>0</v>
      </c>
      <c r="AV66" s="3530">
        <f t="shared" si="19"/>
        <v>0</v>
      </c>
      <c r="AW66" s="3530">
        <f t="shared" si="20"/>
        <v>0</v>
      </c>
      <c r="AX66" s="2141" t="s">
        <v>3303</v>
      </c>
      <c r="AY66" s="3532">
        <f t="shared" si="12"/>
        <v>61</v>
      </c>
      <c r="AZ66" s="3532"/>
      <c r="BC66" s="3673"/>
      <c r="BE66" s="3691">
        <v>45688</v>
      </c>
      <c r="BF66" s="3691">
        <f t="shared" ref="BF66:CB66" si="44">EOMONTH(BE66,1)</f>
        <v>45716</v>
      </c>
      <c r="BG66" s="3691">
        <f t="shared" si="44"/>
        <v>45747</v>
      </c>
      <c r="BH66" s="3691">
        <f t="shared" si="44"/>
        <v>45777</v>
      </c>
      <c r="BI66" s="3691">
        <f t="shared" si="44"/>
        <v>45808</v>
      </c>
      <c r="BJ66" s="3691">
        <f t="shared" si="44"/>
        <v>45838</v>
      </c>
      <c r="BK66" s="3691">
        <f t="shared" si="44"/>
        <v>45869</v>
      </c>
      <c r="BL66" s="3691">
        <f t="shared" si="44"/>
        <v>45900</v>
      </c>
      <c r="BM66" s="3691">
        <f t="shared" si="44"/>
        <v>45930</v>
      </c>
      <c r="BN66" s="3691">
        <f t="shared" si="44"/>
        <v>45961</v>
      </c>
      <c r="BO66" s="3691">
        <f t="shared" si="44"/>
        <v>45991</v>
      </c>
      <c r="BP66" s="3691">
        <f t="shared" si="44"/>
        <v>46022</v>
      </c>
      <c r="BQ66" s="3691">
        <f t="shared" si="44"/>
        <v>46053</v>
      </c>
      <c r="BR66" s="3691">
        <f t="shared" si="44"/>
        <v>46081</v>
      </c>
      <c r="BS66" s="3691">
        <f t="shared" si="44"/>
        <v>46112</v>
      </c>
      <c r="BT66" s="3691">
        <f t="shared" si="44"/>
        <v>46142</v>
      </c>
      <c r="BU66" s="3691">
        <f t="shared" si="44"/>
        <v>46173</v>
      </c>
      <c r="BV66" s="3691">
        <f t="shared" si="44"/>
        <v>46203</v>
      </c>
      <c r="BW66" s="3691">
        <f t="shared" si="44"/>
        <v>46234</v>
      </c>
      <c r="BX66" s="3691">
        <f t="shared" si="44"/>
        <v>46265</v>
      </c>
      <c r="BY66" s="3691">
        <f t="shared" si="44"/>
        <v>46295</v>
      </c>
      <c r="BZ66" s="3691">
        <f t="shared" si="44"/>
        <v>46326</v>
      </c>
      <c r="CA66" s="3691">
        <f t="shared" si="44"/>
        <v>46356</v>
      </c>
      <c r="CB66" s="3690">
        <f t="shared" si="44"/>
        <v>46387</v>
      </c>
    </row>
    <row r="67" spans="18:80">
      <c r="R67" s="3521">
        <f t="shared" si="11"/>
        <v>62</v>
      </c>
      <c r="S67" s="3522" t="s">
        <v>3130</v>
      </c>
      <c r="T67" s="3523" t="s">
        <v>3304</v>
      </c>
      <c r="U67" s="3524">
        <v>0</v>
      </c>
      <c r="V67" s="3524">
        <v>5292874</v>
      </c>
      <c r="W67" s="3524">
        <v>0</v>
      </c>
      <c r="X67" s="3525">
        <f t="shared" ref="X67:Z73" si="45">U67*$T$4*$T$3</f>
        <v>0</v>
      </c>
      <c r="Y67" s="3525">
        <f t="shared" si="45"/>
        <v>10705.605767595151</v>
      </c>
      <c r="Z67" s="3525">
        <f t="shared" si="45"/>
        <v>0</v>
      </c>
      <c r="AA67" s="3538">
        <v>0</v>
      </c>
      <c r="AB67" s="3538">
        <v>0</v>
      </c>
      <c r="AC67" s="3538">
        <v>0</v>
      </c>
      <c r="AD67" s="3539">
        <v>0</v>
      </c>
      <c r="AE67" s="3539">
        <v>0</v>
      </c>
      <c r="AF67" s="3539">
        <v>0</v>
      </c>
      <c r="AG67" s="3539">
        <v>0</v>
      </c>
      <c r="AH67" s="3539">
        <v>0</v>
      </c>
      <c r="AI67" s="3539">
        <v>0</v>
      </c>
      <c r="AJ67" s="3540"/>
      <c r="AK67" s="3529" t="s">
        <v>2863</v>
      </c>
      <c r="AL67" s="3529" t="s">
        <v>3132</v>
      </c>
      <c r="AM67" s="3529" t="s">
        <v>3133</v>
      </c>
      <c r="AN67" s="3530">
        <f t="shared" si="30"/>
        <v>0</v>
      </c>
      <c r="AO67" s="3530">
        <f t="shared" si="31"/>
        <v>0</v>
      </c>
      <c r="AP67" s="3530">
        <f t="shared" si="32"/>
        <v>6894.4101143312773</v>
      </c>
      <c r="AQ67" s="3530">
        <f t="shared" si="33"/>
        <v>0</v>
      </c>
      <c r="AR67" s="3530">
        <f t="shared" si="34"/>
        <v>0</v>
      </c>
      <c r="AS67" s="3530">
        <f t="shared" si="35"/>
        <v>0</v>
      </c>
      <c r="AT67" s="3530">
        <f t="shared" si="17"/>
        <v>0</v>
      </c>
      <c r="AU67" s="3530">
        <f t="shared" si="18"/>
        <v>0</v>
      </c>
      <c r="AV67" s="3530">
        <f t="shared" si="19"/>
        <v>0</v>
      </c>
      <c r="AW67" s="3530">
        <f t="shared" si="20"/>
        <v>0</v>
      </c>
      <c r="AX67" s="3531" t="s">
        <v>3134</v>
      </c>
      <c r="AY67" s="3532">
        <f t="shared" si="12"/>
        <v>62</v>
      </c>
      <c r="AZ67" s="3532"/>
      <c r="BC67" s="3673"/>
      <c r="BD67" s="3603" t="s">
        <v>3433</v>
      </c>
      <c r="BE67" s="3689">
        <f t="shared" ref="BE67:CB67" si="46">BE58*BE39</f>
        <v>77959.003626820515</v>
      </c>
      <c r="BF67" s="3689">
        <f t="shared" si="46"/>
        <v>68970.788530845792</v>
      </c>
      <c r="BG67" s="3689">
        <f t="shared" si="46"/>
        <v>53205.289192068201</v>
      </c>
      <c r="BH67" s="3689">
        <f t="shared" si="46"/>
        <v>34042.828991161899</v>
      </c>
      <c r="BI67" s="3689">
        <f t="shared" si="46"/>
        <v>18006.171977029931</v>
      </c>
      <c r="BJ67" s="3689">
        <f t="shared" si="46"/>
        <v>11261.954657058559</v>
      </c>
      <c r="BK67" s="3689">
        <f t="shared" si="46"/>
        <v>8364.2607200978564</v>
      </c>
      <c r="BL67" s="3689">
        <f t="shared" si="46"/>
        <v>8603.4783150501353</v>
      </c>
      <c r="BM67" s="3689">
        <f t="shared" si="46"/>
        <v>12183.852917285907</v>
      </c>
      <c r="BN67" s="3689">
        <f t="shared" si="46"/>
        <v>32032.386805168204</v>
      </c>
      <c r="BO67" s="3689">
        <f t="shared" si="46"/>
        <v>62759.942276879301</v>
      </c>
      <c r="BP67" s="3689">
        <f t="shared" si="46"/>
        <v>95303.692648528871</v>
      </c>
      <c r="BQ67" s="3689">
        <f t="shared" si="46"/>
        <v>87179.131164683466</v>
      </c>
      <c r="BR67" s="3689">
        <f t="shared" si="46"/>
        <v>77109.160210041562</v>
      </c>
      <c r="BS67" s="3689">
        <f t="shared" si="46"/>
        <v>59640.160050932136</v>
      </c>
      <c r="BT67" s="3689">
        <f t="shared" si="46"/>
        <v>38058.687886668711</v>
      </c>
      <c r="BU67" s="3689">
        <f t="shared" si="46"/>
        <v>20144.174113262296</v>
      </c>
      <c r="BV67" s="3689">
        <f t="shared" si="46"/>
        <v>12596.518445641517</v>
      </c>
      <c r="BW67" s="3689">
        <f t="shared" si="46"/>
        <v>9352.6954061758715</v>
      </c>
      <c r="BX67" s="3689">
        <f t="shared" si="46"/>
        <v>9430.1542676349491</v>
      </c>
      <c r="BY67" s="3689">
        <f t="shared" si="46"/>
        <v>13080.103090792489</v>
      </c>
      <c r="BZ67" s="3689">
        <f t="shared" si="46"/>
        <v>35267.059653262346</v>
      </c>
      <c r="CA67" s="3689">
        <f t="shared" si="46"/>
        <v>69632.902004453746</v>
      </c>
      <c r="CB67" s="3688">
        <f t="shared" si="46"/>
        <v>105405.24352484256</v>
      </c>
    </row>
    <row r="68" spans="18:80">
      <c r="R68" s="3521">
        <f t="shared" si="11"/>
        <v>63</v>
      </c>
      <c r="S68" s="3522" t="s">
        <v>3155</v>
      </c>
      <c r="T68" s="3523" t="s">
        <v>3306</v>
      </c>
      <c r="U68" s="3524">
        <v>169614</v>
      </c>
      <c r="V68" s="3524">
        <v>0</v>
      </c>
      <c r="W68" s="3524">
        <v>0</v>
      </c>
      <c r="X68" s="3525">
        <f t="shared" si="45"/>
        <v>343.06892940676158</v>
      </c>
      <c r="Y68" s="3525">
        <f t="shared" si="45"/>
        <v>0</v>
      </c>
      <c r="Z68" s="3525">
        <f t="shared" si="45"/>
        <v>0</v>
      </c>
      <c r="AA68" s="3538">
        <v>0</v>
      </c>
      <c r="AB68" s="3538">
        <v>0</v>
      </c>
      <c r="AC68" s="3538">
        <v>0</v>
      </c>
      <c r="AD68" s="3539">
        <v>0</v>
      </c>
      <c r="AE68" s="3539">
        <v>0</v>
      </c>
      <c r="AF68" s="3539">
        <v>0</v>
      </c>
      <c r="AG68" s="3539">
        <v>0</v>
      </c>
      <c r="AH68" s="3539">
        <v>0</v>
      </c>
      <c r="AI68" s="3539">
        <v>0</v>
      </c>
      <c r="AJ68" s="3540"/>
      <c r="AK68" s="3529" t="s">
        <v>3167</v>
      </c>
      <c r="AL68" s="3529" t="s">
        <v>839</v>
      </c>
      <c r="AM68" s="3529" t="s">
        <v>839</v>
      </c>
      <c r="AN68" s="3530">
        <f t="shared" si="30"/>
        <v>161.01966329836017</v>
      </c>
      <c r="AO68" s="3530">
        <f t="shared" si="31"/>
        <v>50.970305515807631</v>
      </c>
      <c r="AP68" s="3530">
        <f t="shared" si="32"/>
        <v>0</v>
      </c>
      <c r="AQ68" s="3530">
        <f t="shared" si="33"/>
        <v>0</v>
      </c>
      <c r="AR68" s="3530">
        <f t="shared" si="34"/>
        <v>0</v>
      </c>
      <c r="AS68" s="3530">
        <f t="shared" si="35"/>
        <v>0</v>
      </c>
      <c r="AT68" s="3530">
        <f t="shared" si="17"/>
        <v>0</v>
      </c>
      <c r="AU68" s="3530">
        <f t="shared" si="18"/>
        <v>0</v>
      </c>
      <c r="AV68" s="3530">
        <f t="shared" si="19"/>
        <v>0</v>
      </c>
      <c r="AW68" s="3530">
        <f t="shared" si="20"/>
        <v>0</v>
      </c>
      <c r="AX68" s="3531" t="s">
        <v>3307</v>
      </c>
      <c r="AY68" s="3532">
        <f t="shared" si="12"/>
        <v>63</v>
      </c>
      <c r="AZ68" s="3532"/>
      <c r="BC68" s="3673"/>
      <c r="BD68" s="3603" t="s">
        <v>3428</v>
      </c>
      <c r="BE68" s="3689">
        <f t="shared" ref="BE68:CB68" si="47">BE59*BE40</f>
        <v>0</v>
      </c>
      <c r="BF68" s="3689">
        <f t="shared" si="47"/>
        <v>0</v>
      </c>
      <c r="BG68" s="3689">
        <f t="shared" si="47"/>
        <v>0</v>
      </c>
      <c r="BH68" s="3689">
        <f t="shared" si="47"/>
        <v>0</v>
      </c>
      <c r="BI68" s="3689">
        <f t="shared" si="47"/>
        <v>0</v>
      </c>
      <c r="BJ68" s="3689">
        <f t="shared" si="47"/>
        <v>0</v>
      </c>
      <c r="BK68" s="3689">
        <f t="shared" si="47"/>
        <v>0</v>
      </c>
      <c r="BL68" s="3689">
        <f t="shared" si="47"/>
        <v>0</v>
      </c>
      <c r="BM68" s="3689">
        <f t="shared" si="47"/>
        <v>0</v>
      </c>
      <c r="BN68" s="3689">
        <f t="shared" si="47"/>
        <v>0</v>
      </c>
      <c r="BO68" s="3689">
        <f t="shared" si="47"/>
        <v>0</v>
      </c>
      <c r="BP68" s="3689">
        <f t="shared" si="47"/>
        <v>0</v>
      </c>
      <c r="BQ68" s="3689">
        <f t="shared" si="47"/>
        <v>0</v>
      </c>
      <c r="BR68" s="3689">
        <f t="shared" si="47"/>
        <v>0</v>
      </c>
      <c r="BS68" s="3689">
        <f t="shared" si="47"/>
        <v>0</v>
      </c>
      <c r="BT68" s="3689">
        <f t="shared" si="47"/>
        <v>0</v>
      </c>
      <c r="BU68" s="3689">
        <f t="shared" si="47"/>
        <v>0</v>
      </c>
      <c r="BV68" s="3689">
        <f t="shared" si="47"/>
        <v>0</v>
      </c>
      <c r="BW68" s="3689">
        <f t="shared" si="47"/>
        <v>0</v>
      </c>
      <c r="BX68" s="3689">
        <f t="shared" si="47"/>
        <v>0</v>
      </c>
      <c r="BY68" s="3689">
        <f t="shared" si="47"/>
        <v>0</v>
      </c>
      <c r="BZ68" s="3689">
        <f t="shared" si="47"/>
        <v>0</v>
      </c>
      <c r="CA68" s="3689">
        <f t="shared" si="47"/>
        <v>0</v>
      </c>
      <c r="CB68" s="3688">
        <f t="shared" si="47"/>
        <v>0</v>
      </c>
    </row>
    <row r="69" spans="18:80" ht="45">
      <c r="R69" s="3521">
        <f t="shared" si="11"/>
        <v>64</v>
      </c>
      <c r="S69" s="3522" t="s">
        <v>3144</v>
      </c>
      <c r="T69" s="3523" t="s">
        <v>3308</v>
      </c>
      <c r="U69" s="3524">
        <v>1364878</v>
      </c>
      <c r="V69" s="3524">
        <v>24099250</v>
      </c>
      <c r="W69" s="3524">
        <v>700000</v>
      </c>
      <c r="X69" s="3525">
        <f t="shared" si="45"/>
        <v>2760.663826281097</v>
      </c>
      <c r="Y69" s="3525">
        <f t="shared" si="45"/>
        <v>48744.230411439501</v>
      </c>
      <c r="Z69" s="3525">
        <f t="shared" si="45"/>
        <v>1415.8515840952582</v>
      </c>
      <c r="AA69" s="3538">
        <v>0</v>
      </c>
      <c r="AB69" s="3538">
        <v>0</v>
      </c>
      <c r="AC69" s="3538">
        <v>0</v>
      </c>
      <c r="AD69" s="3539">
        <v>0</v>
      </c>
      <c r="AE69" s="3539">
        <f>80000+120000+85000</f>
        <v>285000</v>
      </c>
      <c r="AF69" s="3539">
        <v>0</v>
      </c>
      <c r="AG69" s="3539">
        <v>0</v>
      </c>
      <c r="AH69" s="3539">
        <v>0</v>
      </c>
      <c r="AI69" s="3539">
        <v>255000</v>
      </c>
      <c r="AJ69" s="3540"/>
      <c r="AK69" s="3529"/>
      <c r="AL69" s="3529" t="s">
        <v>3132</v>
      </c>
      <c r="AM69" s="3529" t="s">
        <v>3195</v>
      </c>
      <c r="AN69" s="3530">
        <f t="shared" si="30"/>
        <v>1848.0711852273548</v>
      </c>
      <c r="AO69" s="3530">
        <f t="shared" si="31"/>
        <v>0</v>
      </c>
      <c r="AP69" s="3530">
        <f t="shared" si="32"/>
        <v>32630.850164329942</v>
      </c>
      <c r="AQ69" s="3530">
        <f t="shared" si="33"/>
        <v>0</v>
      </c>
      <c r="AR69" s="3530">
        <f t="shared" si="34"/>
        <v>947.81352594088867</v>
      </c>
      <c r="AS69" s="3530">
        <f t="shared" si="35"/>
        <v>0</v>
      </c>
      <c r="AT69" s="3530">
        <f t="shared" si="17"/>
        <v>0</v>
      </c>
      <c r="AU69" s="3530">
        <f t="shared" si="18"/>
        <v>0</v>
      </c>
      <c r="AV69" s="3530">
        <f t="shared" si="19"/>
        <v>190787.55</v>
      </c>
      <c r="AW69" s="3530">
        <f t="shared" si="20"/>
        <v>0</v>
      </c>
      <c r="AX69" s="3531" t="s">
        <v>3309</v>
      </c>
      <c r="AY69" s="3532">
        <f t="shared" si="12"/>
        <v>64</v>
      </c>
      <c r="AZ69" s="3532"/>
      <c r="BC69" s="3673"/>
      <c r="BD69" s="3603" t="s">
        <v>3432</v>
      </c>
      <c r="BE69" s="3689">
        <f t="shared" ref="BE69:CB69" si="48">BE60*BE41</f>
        <v>0</v>
      </c>
      <c r="BF69" s="3689">
        <f t="shared" si="48"/>
        <v>0</v>
      </c>
      <c r="BG69" s="3689">
        <f t="shared" si="48"/>
        <v>0</v>
      </c>
      <c r="BH69" s="3689">
        <f t="shared" si="48"/>
        <v>0</v>
      </c>
      <c r="BI69" s="3689">
        <f t="shared" si="48"/>
        <v>0</v>
      </c>
      <c r="BJ69" s="3689">
        <f t="shared" si="48"/>
        <v>0</v>
      </c>
      <c r="BK69" s="3689">
        <f t="shared" si="48"/>
        <v>0</v>
      </c>
      <c r="BL69" s="3689">
        <f t="shared" si="48"/>
        <v>0</v>
      </c>
      <c r="BM69" s="3689">
        <f t="shared" si="48"/>
        <v>0</v>
      </c>
      <c r="BN69" s="3689">
        <f t="shared" si="48"/>
        <v>0</v>
      </c>
      <c r="BO69" s="3689">
        <f t="shared" si="48"/>
        <v>0</v>
      </c>
      <c r="BP69" s="3689">
        <f t="shared" si="48"/>
        <v>0</v>
      </c>
      <c r="BQ69" s="3689">
        <f t="shared" si="48"/>
        <v>0</v>
      </c>
      <c r="BR69" s="3689">
        <f t="shared" si="48"/>
        <v>0</v>
      </c>
      <c r="BS69" s="3689">
        <f t="shared" si="48"/>
        <v>0</v>
      </c>
      <c r="BT69" s="3689">
        <f t="shared" si="48"/>
        <v>0</v>
      </c>
      <c r="BU69" s="3689">
        <f t="shared" si="48"/>
        <v>0</v>
      </c>
      <c r="BV69" s="3689">
        <f t="shared" si="48"/>
        <v>0</v>
      </c>
      <c r="BW69" s="3689">
        <f t="shared" si="48"/>
        <v>0</v>
      </c>
      <c r="BX69" s="3689">
        <f t="shared" si="48"/>
        <v>0</v>
      </c>
      <c r="BY69" s="3689">
        <f t="shared" si="48"/>
        <v>0</v>
      </c>
      <c r="BZ69" s="3689">
        <f t="shared" si="48"/>
        <v>0</v>
      </c>
      <c r="CA69" s="3689">
        <f t="shared" si="48"/>
        <v>0</v>
      </c>
      <c r="CB69" s="3688">
        <f t="shared" si="48"/>
        <v>0</v>
      </c>
    </row>
    <row r="70" spans="18:80">
      <c r="R70" s="3521">
        <f t="shared" si="11"/>
        <v>65</v>
      </c>
      <c r="S70" s="3522" t="s">
        <v>3130</v>
      </c>
      <c r="T70" s="3523" t="s">
        <v>3310</v>
      </c>
      <c r="U70" s="3524">
        <v>285728</v>
      </c>
      <c r="V70" s="3524">
        <v>0</v>
      </c>
      <c r="W70" s="3524">
        <v>0</v>
      </c>
      <c r="X70" s="3525">
        <f t="shared" si="45"/>
        <v>577.92634488624287</v>
      </c>
      <c r="Y70" s="3525">
        <f t="shared" si="45"/>
        <v>0</v>
      </c>
      <c r="Z70" s="3525">
        <f t="shared" si="45"/>
        <v>0</v>
      </c>
      <c r="AA70" s="3526"/>
      <c r="AB70" s="3526"/>
      <c r="AC70" s="3526"/>
      <c r="AD70" s="3527"/>
      <c r="AE70" s="3527"/>
      <c r="AF70" s="3527"/>
      <c r="AG70" s="3527"/>
      <c r="AH70" s="3527"/>
      <c r="AI70" s="3527"/>
      <c r="AJ70" s="3528"/>
      <c r="AK70" s="3528"/>
      <c r="AL70" s="3528" t="s">
        <v>3132</v>
      </c>
      <c r="AM70" s="3528" t="s">
        <v>3133</v>
      </c>
      <c r="AN70" s="3530">
        <f t="shared" si="30"/>
        <v>372.18456610674042</v>
      </c>
      <c r="AO70" s="3530">
        <f t="shared" si="31"/>
        <v>0</v>
      </c>
      <c r="AP70" s="3530">
        <f t="shared" si="32"/>
        <v>0</v>
      </c>
      <c r="AQ70" s="3530">
        <f t="shared" si="33"/>
        <v>0</v>
      </c>
      <c r="AR70" s="3530">
        <f t="shared" si="34"/>
        <v>0</v>
      </c>
      <c r="AS70" s="3530">
        <f t="shared" si="35"/>
        <v>0</v>
      </c>
      <c r="AT70" s="2049"/>
      <c r="AU70" s="2049"/>
      <c r="AV70" s="2049"/>
      <c r="AW70" s="2049"/>
      <c r="AX70" s="3531" t="s">
        <v>3134</v>
      </c>
      <c r="AY70" s="3532">
        <f t="shared" si="12"/>
        <v>65</v>
      </c>
      <c r="AZ70" s="3532"/>
      <c r="BC70" s="3673"/>
      <c r="BD70" s="3603" t="s">
        <v>3434</v>
      </c>
      <c r="BE70" s="3689">
        <f t="shared" ref="BE70:CB70" si="49">BE61*BE42</f>
        <v>0</v>
      </c>
      <c r="BF70" s="3689">
        <f t="shared" si="49"/>
        <v>0</v>
      </c>
      <c r="BG70" s="3689">
        <f t="shared" si="49"/>
        <v>0</v>
      </c>
      <c r="BH70" s="3689">
        <f t="shared" si="49"/>
        <v>0</v>
      </c>
      <c r="BI70" s="3689">
        <f t="shared" si="49"/>
        <v>0</v>
      </c>
      <c r="BJ70" s="3689">
        <f t="shared" si="49"/>
        <v>0</v>
      </c>
      <c r="BK70" s="3689">
        <f t="shared" si="49"/>
        <v>0</v>
      </c>
      <c r="BL70" s="3689">
        <f t="shared" si="49"/>
        <v>0</v>
      </c>
      <c r="BM70" s="3689">
        <f t="shared" si="49"/>
        <v>0</v>
      </c>
      <c r="BN70" s="3689">
        <f t="shared" si="49"/>
        <v>0</v>
      </c>
      <c r="BO70" s="3689">
        <f t="shared" si="49"/>
        <v>0</v>
      </c>
      <c r="BP70" s="3689">
        <f t="shared" si="49"/>
        <v>0</v>
      </c>
      <c r="BQ70" s="3689">
        <f t="shared" si="49"/>
        <v>0</v>
      </c>
      <c r="BR70" s="3689">
        <f t="shared" si="49"/>
        <v>0</v>
      </c>
      <c r="BS70" s="3689">
        <f t="shared" si="49"/>
        <v>0</v>
      </c>
      <c r="BT70" s="3689">
        <f t="shared" si="49"/>
        <v>0</v>
      </c>
      <c r="BU70" s="3689">
        <f t="shared" si="49"/>
        <v>0</v>
      </c>
      <c r="BV70" s="3689">
        <f t="shared" si="49"/>
        <v>0</v>
      </c>
      <c r="BW70" s="3689">
        <f t="shared" si="49"/>
        <v>0</v>
      </c>
      <c r="BX70" s="3689">
        <f t="shared" si="49"/>
        <v>0</v>
      </c>
      <c r="BY70" s="3689">
        <f t="shared" si="49"/>
        <v>0</v>
      </c>
      <c r="BZ70" s="3689">
        <f t="shared" si="49"/>
        <v>0</v>
      </c>
      <c r="CA70" s="3689">
        <f t="shared" si="49"/>
        <v>0</v>
      </c>
      <c r="CB70" s="3688">
        <f t="shared" si="49"/>
        <v>0</v>
      </c>
    </row>
    <row r="71" spans="18:80" ht="25.5">
      <c r="R71" s="3521">
        <f t="shared" ref="R71:R122" si="50">R70+1</f>
        <v>66</v>
      </c>
      <c r="S71" s="3522" t="s">
        <v>3130</v>
      </c>
      <c r="T71" s="3523" t="s">
        <v>3311</v>
      </c>
      <c r="U71" s="3524">
        <v>0</v>
      </c>
      <c r="V71" s="3524">
        <v>5000000</v>
      </c>
      <c r="W71" s="3524">
        <v>25800000</v>
      </c>
      <c r="X71" s="3525">
        <f t="shared" si="45"/>
        <v>0</v>
      </c>
      <c r="Y71" s="3525">
        <f t="shared" si="45"/>
        <v>10113.225600680416</v>
      </c>
      <c r="Z71" s="3525">
        <f t="shared" si="45"/>
        <v>52184.24409951095</v>
      </c>
      <c r="AA71" s="3538">
        <v>0</v>
      </c>
      <c r="AB71" s="3538">
        <v>0</v>
      </c>
      <c r="AC71" s="3538">
        <v>0</v>
      </c>
      <c r="AD71" s="3539">
        <v>0</v>
      </c>
      <c r="AE71" s="3539">
        <v>0</v>
      </c>
      <c r="AF71" s="3539">
        <v>0</v>
      </c>
      <c r="AG71" s="3539">
        <v>0</v>
      </c>
      <c r="AH71" s="3539">
        <v>0</v>
      </c>
      <c r="AI71" s="3539">
        <v>0</v>
      </c>
      <c r="AJ71" s="3540"/>
      <c r="AK71" s="3529"/>
      <c r="AL71" s="3529" t="s">
        <v>3132</v>
      </c>
      <c r="AM71" s="3529" t="s">
        <v>3133</v>
      </c>
      <c r="AN71" s="3530">
        <f t="shared" si="30"/>
        <v>0</v>
      </c>
      <c r="AO71" s="3530">
        <f t="shared" si="31"/>
        <v>0</v>
      </c>
      <c r="AP71" s="3530">
        <f t="shared" si="32"/>
        <v>6512.9172868381884</v>
      </c>
      <c r="AQ71" s="3530">
        <f t="shared" si="33"/>
        <v>0</v>
      </c>
      <c r="AR71" s="3530">
        <f t="shared" si="34"/>
        <v>33606.653200085049</v>
      </c>
      <c r="AS71" s="3530">
        <f t="shared" si="35"/>
        <v>0</v>
      </c>
      <c r="AT71" s="3530">
        <f>IF($AM71=$AG$129,(AD71)*$AH$129,IF($AM71=$AG$130,(AD71)*$AH$130,IF($AM71=$AG$131,(AD71)*$AH$131,IF($AM71=$AG$134,(AD71)*$AH$134,IF($AM71=$AG$135,(AD71)*$AH$135,IF($AM71=$AG$136,(AD71)*$AH$136,IF(AM71=$AM$10,0,0)))))))</f>
        <v>0</v>
      </c>
      <c r="AU71" s="3530">
        <f>IF($AM71=$AG$129,(AD71)*$AI$129,IF($AM71=$AG$130,(AD71)*$AI$130,IF($AM71=$AG$131,(AD71)*$AI$131,IF($AM71=$AG$134,(AD71)*$AI$134,IF($AM71=$AG$135,(AD71)*$AI$135,IF($AM71=$AG$136,(AD71)*$AI$136,IF(AM71=$AM$10,0,0)))))))</f>
        <v>0</v>
      </c>
      <c r="AV71" s="3530">
        <f>IF($AM71=$AG$129,(AE71)*$AH$129,IF($AM71=$AG$130,(AE71)*$AH$130,IF($AM71=$AG$131,(AE71)*$AH$131,IF($AM71=$AG$134,(AE71)*$AH$134,IF($AM71=$AG$135,(AE71)*$AH$135,IF($AM71=$AG$136,(AE71)*$AH$136,IF(AM71=$AM$10,0,0)))))))</f>
        <v>0</v>
      </c>
      <c r="AW71" s="3530">
        <f>IF($AM71=$AG$129,(AE71)*$AI$129,IF($AM71=$AG$130,(AE71)*$AI$130,IF($AM71=$AG$131,(AE71)*$AI$131,IF($AM71=$AG$134,(AE71)*$AI$134,IF($AM71=$AG$135,(AE71)*$AI$135,IF($AM71=$AG$136,(AE71)*$AI$136,IF(AM71=$AM$10,0,0)))))))</f>
        <v>0</v>
      </c>
      <c r="AX71" s="3531" t="s">
        <v>3134</v>
      </c>
      <c r="AY71" s="3532">
        <f t="shared" ref="AY71:AY122" si="51">AY70+1</f>
        <v>66</v>
      </c>
      <c r="AZ71" s="3532"/>
      <c r="BC71" s="3673"/>
      <c r="BD71" s="3603" t="s">
        <v>3431</v>
      </c>
      <c r="BE71" s="3689">
        <f t="shared" ref="BE71:CB71" si="52">BE62*BE43</f>
        <v>0</v>
      </c>
      <c r="BF71" s="3689">
        <f t="shared" si="52"/>
        <v>0</v>
      </c>
      <c r="BG71" s="3689">
        <f t="shared" si="52"/>
        <v>0</v>
      </c>
      <c r="BH71" s="3689">
        <f t="shared" si="52"/>
        <v>0</v>
      </c>
      <c r="BI71" s="3689">
        <f t="shared" si="52"/>
        <v>0</v>
      </c>
      <c r="BJ71" s="3689">
        <f t="shared" si="52"/>
        <v>0</v>
      </c>
      <c r="BK71" s="3689">
        <f t="shared" si="52"/>
        <v>0</v>
      </c>
      <c r="BL71" s="3689">
        <f t="shared" si="52"/>
        <v>0</v>
      </c>
      <c r="BM71" s="3689">
        <f t="shared" si="52"/>
        <v>0</v>
      </c>
      <c r="BN71" s="3689">
        <f t="shared" si="52"/>
        <v>0</v>
      </c>
      <c r="BO71" s="3689">
        <f t="shared" si="52"/>
        <v>0</v>
      </c>
      <c r="BP71" s="3689">
        <f t="shared" si="52"/>
        <v>0</v>
      </c>
      <c r="BQ71" s="3689">
        <f t="shared" si="52"/>
        <v>0</v>
      </c>
      <c r="BR71" s="3689">
        <f t="shared" si="52"/>
        <v>0</v>
      </c>
      <c r="BS71" s="3689">
        <f t="shared" si="52"/>
        <v>0</v>
      </c>
      <c r="BT71" s="3689">
        <f t="shared" si="52"/>
        <v>0</v>
      </c>
      <c r="BU71" s="3689">
        <f t="shared" si="52"/>
        <v>0</v>
      </c>
      <c r="BV71" s="3689">
        <f t="shared" si="52"/>
        <v>0</v>
      </c>
      <c r="BW71" s="3689">
        <f t="shared" si="52"/>
        <v>0</v>
      </c>
      <c r="BX71" s="3689">
        <f t="shared" si="52"/>
        <v>0</v>
      </c>
      <c r="BY71" s="3689">
        <f t="shared" si="52"/>
        <v>0</v>
      </c>
      <c r="BZ71" s="3689">
        <f t="shared" si="52"/>
        <v>0</v>
      </c>
      <c r="CA71" s="3689">
        <f t="shared" si="52"/>
        <v>0</v>
      </c>
      <c r="CB71" s="3688">
        <f t="shared" si="52"/>
        <v>0</v>
      </c>
    </row>
    <row r="72" spans="18:80">
      <c r="R72" s="3521">
        <f t="shared" si="50"/>
        <v>67</v>
      </c>
      <c r="S72" s="3522" t="s">
        <v>3130</v>
      </c>
      <c r="T72" s="3523" t="s">
        <v>3312</v>
      </c>
      <c r="U72" s="3524">
        <v>703845</v>
      </c>
      <c r="V72" s="3524">
        <v>0</v>
      </c>
      <c r="W72" s="3524">
        <v>0</v>
      </c>
      <c r="X72" s="3525">
        <f t="shared" si="45"/>
        <v>1423.6286545821815</v>
      </c>
      <c r="Y72" s="3525">
        <f t="shared" si="45"/>
        <v>0</v>
      </c>
      <c r="Z72" s="3525">
        <f t="shared" si="45"/>
        <v>0</v>
      </c>
      <c r="AA72" s="3526"/>
      <c r="AB72" s="3526"/>
      <c r="AC72" s="3526"/>
      <c r="AD72" s="3527"/>
      <c r="AE72" s="3527"/>
      <c r="AF72" s="3527"/>
      <c r="AG72" s="3527"/>
      <c r="AH72" s="3527"/>
      <c r="AI72" s="3527"/>
      <c r="AJ72" s="3528"/>
      <c r="AK72" s="3528"/>
      <c r="AL72" s="3528" t="s">
        <v>3132</v>
      </c>
      <c r="AM72" s="3529" t="s">
        <v>3133</v>
      </c>
      <c r="AN72" s="3530">
        <f t="shared" si="30"/>
        <v>916.81685355092498</v>
      </c>
      <c r="AO72" s="3530">
        <f t="shared" si="31"/>
        <v>0</v>
      </c>
      <c r="AP72" s="3530">
        <f t="shared" si="32"/>
        <v>0</v>
      </c>
      <c r="AQ72" s="3530">
        <f t="shared" si="33"/>
        <v>0</v>
      </c>
      <c r="AR72" s="3530">
        <f t="shared" si="34"/>
        <v>0</v>
      </c>
      <c r="AS72" s="3530">
        <f t="shared" si="35"/>
        <v>0</v>
      </c>
      <c r="AT72" s="2049"/>
      <c r="AU72" s="2049"/>
      <c r="AV72" s="2049"/>
      <c r="AW72" s="2049"/>
      <c r="AX72" s="3531" t="s">
        <v>3134</v>
      </c>
      <c r="AY72" s="3532">
        <f t="shared" si="51"/>
        <v>67</v>
      </c>
      <c r="AZ72" s="3532"/>
      <c r="BC72" s="3673"/>
      <c r="BD72" s="3603" t="s">
        <v>3430</v>
      </c>
      <c r="BE72" s="3689">
        <f t="shared" ref="BE72:CB72" si="53">BE63*BE44</f>
        <v>0</v>
      </c>
      <c r="BF72" s="3689">
        <f t="shared" si="53"/>
        <v>0</v>
      </c>
      <c r="BG72" s="3689">
        <f t="shared" si="53"/>
        <v>0</v>
      </c>
      <c r="BH72" s="3689">
        <f t="shared" si="53"/>
        <v>0</v>
      </c>
      <c r="BI72" s="3689">
        <f t="shared" si="53"/>
        <v>0</v>
      </c>
      <c r="BJ72" s="3689">
        <f t="shared" si="53"/>
        <v>0</v>
      </c>
      <c r="BK72" s="3689">
        <f t="shared" si="53"/>
        <v>0</v>
      </c>
      <c r="BL72" s="3689">
        <f t="shared" si="53"/>
        <v>0</v>
      </c>
      <c r="BM72" s="3689">
        <f t="shared" si="53"/>
        <v>0</v>
      </c>
      <c r="BN72" s="3689">
        <f t="shared" si="53"/>
        <v>0</v>
      </c>
      <c r="BO72" s="3689">
        <f t="shared" si="53"/>
        <v>0</v>
      </c>
      <c r="BP72" s="3689">
        <f t="shared" si="53"/>
        <v>0</v>
      </c>
      <c r="BQ72" s="3689">
        <f t="shared" si="53"/>
        <v>0</v>
      </c>
      <c r="BR72" s="3689">
        <f t="shared" si="53"/>
        <v>0</v>
      </c>
      <c r="BS72" s="3689">
        <f t="shared" si="53"/>
        <v>0</v>
      </c>
      <c r="BT72" s="3689">
        <f t="shared" si="53"/>
        <v>0</v>
      </c>
      <c r="BU72" s="3689">
        <f t="shared" si="53"/>
        <v>0</v>
      </c>
      <c r="BV72" s="3689">
        <f t="shared" si="53"/>
        <v>0</v>
      </c>
      <c r="BW72" s="3689">
        <f t="shared" si="53"/>
        <v>0</v>
      </c>
      <c r="BX72" s="3689">
        <f t="shared" si="53"/>
        <v>0</v>
      </c>
      <c r="BY72" s="3689">
        <f t="shared" si="53"/>
        <v>0</v>
      </c>
      <c r="BZ72" s="3689">
        <f t="shared" si="53"/>
        <v>0</v>
      </c>
      <c r="CA72" s="3689">
        <f t="shared" si="53"/>
        <v>0</v>
      </c>
      <c r="CB72" s="3688">
        <f t="shared" si="53"/>
        <v>0</v>
      </c>
    </row>
    <row r="73" spans="18:80" ht="45.75" thickBot="1">
      <c r="R73" s="3521">
        <f t="shared" si="50"/>
        <v>68</v>
      </c>
      <c r="S73" s="3522" t="s">
        <v>3155</v>
      </c>
      <c r="T73" s="3523" t="s">
        <v>3313</v>
      </c>
      <c r="U73" s="3524">
        <v>716783</v>
      </c>
      <c r="V73" s="3524">
        <v>0</v>
      </c>
      <c r="W73" s="3524">
        <v>0</v>
      </c>
      <c r="X73" s="3525">
        <f t="shared" si="45"/>
        <v>1449.7976371465022</v>
      </c>
      <c r="Y73" s="3525">
        <f t="shared" si="45"/>
        <v>0</v>
      </c>
      <c r="Z73" s="3525">
        <f t="shared" si="45"/>
        <v>0</v>
      </c>
      <c r="AA73" s="3538">
        <v>0</v>
      </c>
      <c r="AB73" s="3538">
        <v>0</v>
      </c>
      <c r="AC73" s="3538">
        <v>0</v>
      </c>
      <c r="AD73" s="3539">
        <v>8000</v>
      </c>
      <c r="AE73" s="3539">
        <v>8000</v>
      </c>
      <c r="AF73" s="3539">
        <v>0</v>
      </c>
      <c r="AG73" s="3539">
        <v>0</v>
      </c>
      <c r="AH73" s="3539">
        <v>0</v>
      </c>
      <c r="AI73" s="3539">
        <v>0</v>
      </c>
      <c r="AJ73" s="3540" t="s">
        <v>3210</v>
      </c>
      <c r="AK73" s="3529" t="s">
        <v>3167</v>
      </c>
      <c r="AL73" s="3529" t="s">
        <v>3132</v>
      </c>
      <c r="AM73" s="3529" t="s">
        <v>3195</v>
      </c>
      <c r="AN73" s="3530">
        <f t="shared" si="30"/>
        <v>970.53803223498289</v>
      </c>
      <c r="AO73" s="3530">
        <f t="shared" si="31"/>
        <v>0</v>
      </c>
      <c r="AP73" s="3530">
        <f t="shared" si="32"/>
        <v>0</v>
      </c>
      <c r="AQ73" s="3530">
        <f t="shared" si="33"/>
        <v>0</v>
      </c>
      <c r="AR73" s="3530">
        <f t="shared" si="34"/>
        <v>0</v>
      </c>
      <c r="AS73" s="3530">
        <f t="shared" si="35"/>
        <v>0</v>
      </c>
      <c r="AT73" s="3530">
        <f t="shared" ref="AT73:AT88" si="54">IF($AM73=$AG$129,(AD73)*$AH$129,IF($AM73=$AG$130,(AD73)*$AH$130,IF($AM73=$AG$131,(AD73)*$AH$131,IF($AM73=$AG$134,(AD73)*$AH$134,IF($AM73=$AG$135,(AD73)*$AH$135,IF($AM73=$AG$136,(AD73)*$AH$136,IF(AM73=$AM$10,0,0)))))))</f>
        <v>5355.44</v>
      </c>
      <c r="AU73" s="3530">
        <f t="shared" ref="AU73:AU88" si="55">IF($AM73=$AG$129,(AD73)*$AI$129,IF($AM73=$AG$130,(AD73)*$AI$130,IF($AM73=$AG$131,(AD73)*$AI$131,IF($AM73=$AG$134,(AD73)*$AI$134,IF($AM73=$AG$135,(AD73)*$AI$135,IF($AM73=$AG$136,(AD73)*$AI$136,IF(AM73=$AM$10,0,0)))))))</f>
        <v>0</v>
      </c>
      <c r="AV73" s="3530">
        <f t="shared" ref="AV73:AV122" si="56">IF($AM73=$AG$129,(AE73)*$AH$129,IF($AM73=$AG$130,(AE73)*$AH$130,IF($AM73=$AG$131,(AE73)*$AH$131,IF($AM73=$AG$134,(AE73)*$AH$134,IF($AM73=$AG$135,(AE73)*$AH$135,IF($AM73=$AG$136,(AE73)*$AH$136,IF(AM73=$AM$10,0,0)))))))</f>
        <v>5355.44</v>
      </c>
      <c r="AW73" s="3530">
        <f t="shared" ref="AW73:AW122" si="57">IF($AM73=$AG$129,(AE73)*$AI$129,IF($AM73=$AG$130,(AE73)*$AI$130,IF($AM73=$AG$131,(AE73)*$AI$131,IF($AM73=$AG$134,(AE73)*$AI$134,IF($AM73=$AG$135,(AE73)*$AI$135,IF($AM73=$AG$136,(AE73)*$AI$136,IF(AM73=$AM$10,0,0)))))))</f>
        <v>0</v>
      </c>
      <c r="AX73" s="3550" t="s">
        <v>3314</v>
      </c>
      <c r="AY73" s="3532">
        <f t="shared" si="51"/>
        <v>68</v>
      </c>
      <c r="AZ73" s="3532"/>
      <c r="BC73" s="3671"/>
      <c r="BD73" s="3610"/>
      <c r="BE73" s="3709"/>
      <c r="BF73" s="3709"/>
      <c r="BG73" s="3709"/>
      <c r="BH73" s="3709"/>
      <c r="BI73" s="3709"/>
      <c r="BJ73" s="3709"/>
      <c r="BK73" s="3709"/>
      <c r="BL73" s="3709"/>
      <c r="BM73" s="3709"/>
      <c r="BN73" s="3709"/>
      <c r="BO73" s="3709"/>
      <c r="BP73" s="3709"/>
      <c r="BQ73" s="3709"/>
      <c r="BR73" s="3709"/>
      <c r="BS73" s="3709"/>
      <c r="BT73" s="3709"/>
      <c r="BU73" s="3709"/>
      <c r="BV73" s="3709"/>
      <c r="BW73" s="3709"/>
      <c r="BX73" s="3709"/>
      <c r="BY73" s="3709"/>
      <c r="BZ73" s="3709"/>
      <c r="CA73" s="3709"/>
      <c r="CB73" s="3708"/>
    </row>
    <row r="74" spans="18:80" ht="30">
      <c r="R74" s="3521">
        <f t="shared" si="50"/>
        <v>69</v>
      </c>
      <c r="S74" s="3522" t="s">
        <v>3155</v>
      </c>
      <c r="T74" s="3523" t="s">
        <v>3315</v>
      </c>
      <c r="U74" s="3524">
        <v>700000</v>
      </c>
      <c r="V74" s="3524">
        <v>700000</v>
      </c>
      <c r="W74" s="3524">
        <v>701014</v>
      </c>
      <c r="X74" s="3547" t="s">
        <v>3150</v>
      </c>
      <c r="Y74" s="3547" t="s">
        <v>3150</v>
      </c>
      <c r="Z74" s="3547" t="s">
        <v>3150</v>
      </c>
      <c r="AA74" s="3538">
        <v>0</v>
      </c>
      <c r="AB74" s="3538">
        <v>0</v>
      </c>
      <c r="AC74" s="3538">
        <v>0</v>
      </c>
      <c r="AD74" s="3539">
        <v>0</v>
      </c>
      <c r="AE74" s="3539">
        <v>0</v>
      </c>
      <c r="AF74" s="3539">
        <v>0</v>
      </c>
      <c r="AG74" s="3539">
        <v>0</v>
      </c>
      <c r="AH74" s="3539">
        <v>0</v>
      </c>
      <c r="AI74" s="3539">
        <v>0</v>
      </c>
      <c r="AJ74" s="3540" t="s">
        <v>3161</v>
      </c>
      <c r="AK74" s="3529"/>
      <c r="AL74" s="3529" t="s">
        <v>839</v>
      </c>
      <c r="AM74" s="3529" t="s">
        <v>3152</v>
      </c>
      <c r="AN74" s="3530">
        <f t="shared" si="30"/>
        <v>0</v>
      </c>
      <c r="AO74" s="3530">
        <f t="shared" si="31"/>
        <v>0</v>
      </c>
      <c r="AP74" s="3530">
        <f t="shared" si="32"/>
        <v>0</v>
      </c>
      <c r="AQ74" s="3530">
        <f t="shared" si="33"/>
        <v>0</v>
      </c>
      <c r="AR74" s="3530">
        <f t="shared" si="34"/>
        <v>0</v>
      </c>
      <c r="AS74" s="3530">
        <f t="shared" si="35"/>
        <v>0</v>
      </c>
      <c r="AT74" s="3530">
        <f t="shared" si="54"/>
        <v>0</v>
      </c>
      <c r="AU74" s="3530">
        <f t="shared" si="55"/>
        <v>0</v>
      </c>
      <c r="AV74" s="3530">
        <f t="shared" si="56"/>
        <v>0</v>
      </c>
      <c r="AW74" s="3530">
        <f t="shared" si="57"/>
        <v>0</v>
      </c>
      <c r="AX74" s="3550" t="s">
        <v>3316</v>
      </c>
      <c r="AY74" s="3532">
        <f t="shared" si="51"/>
        <v>69</v>
      </c>
      <c r="AZ74" s="3532"/>
      <c r="BC74" s="3701">
        <v>4</v>
      </c>
      <c r="BD74" s="3707" t="s">
        <v>3351</v>
      </c>
      <c r="BE74" s="3699"/>
      <c r="BF74" s="3699"/>
      <c r="BG74" s="3699"/>
      <c r="BH74" s="3699"/>
      <c r="BI74" s="3699"/>
      <c r="BJ74" s="3699"/>
      <c r="BK74" s="3699"/>
      <c r="BL74" s="3699"/>
      <c r="BM74" s="3699"/>
      <c r="BN74" s="3699"/>
      <c r="BO74" s="3699"/>
      <c r="BP74" s="3699"/>
      <c r="BQ74" s="3699"/>
      <c r="BR74" s="3699"/>
      <c r="BS74" s="3699"/>
      <c r="BT74" s="3699"/>
      <c r="BU74" s="3699"/>
      <c r="BV74" s="3699"/>
      <c r="BW74" s="3699"/>
      <c r="BX74" s="3699"/>
      <c r="BY74" s="3699"/>
      <c r="BZ74" s="3699"/>
      <c r="CA74" s="3699"/>
      <c r="CB74" s="3706"/>
    </row>
    <row r="75" spans="18:80" ht="45">
      <c r="R75" s="3521">
        <f t="shared" si="50"/>
        <v>70</v>
      </c>
      <c r="S75" s="3522" t="s">
        <v>3144</v>
      </c>
      <c r="T75" s="3523" t="s">
        <v>3317</v>
      </c>
      <c r="U75" s="3524">
        <v>99683</v>
      </c>
      <c r="V75" s="3524">
        <v>100106</v>
      </c>
      <c r="W75" s="3524">
        <v>101654</v>
      </c>
      <c r="X75" s="3547" t="s">
        <v>3150</v>
      </c>
      <c r="Y75" s="3547" t="s">
        <v>3150</v>
      </c>
      <c r="Z75" s="3547" t="s">
        <v>3150</v>
      </c>
      <c r="AA75" s="3538">
        <v>0</v>
      </c>
      <c r="AB75" s="3538">
        <v>0</v>
      </c>
      <c r="AC75" s="3538">
        <v>0</v>
      </c>
      <c r="AD75" s="3539">
        <f>936000+6000+942000</f>
        <v>1884000</v>
      </c>
      <c r="AE75" s="3539">
        <f>936000+6000+942000</f>
        <v>1884000</v>
      </c>
      <c r="AF75" s="3539">
        <v>0</v>
      </c>
      <c r="AG75" s="3539">
        <v>0</v>
      </c>
      <c r="AH75" s="3539">
        <f>104000+594000+698000</f>
        <v>1396000</v>
      </c>
      <c r="AI75" s="3539">
        <f>104000+594000+698000</f>
        <v>1396000</v>
      </c>
      <c r="AJ75" s="3540" t="s">
        <v>3151</v>
      </c>
      <c r="AK75" s="3529"/>
      <c r="AL75" s="3529" t="s">
        <v>839</v>
      </c>
      <c r="AM75" s="3529" t="s">
        <v>3152</v>
      </c>
      <c r="AN75" s="3530">
        <f t="shared" si="30"/>
        <v>0</v>
      </c>
      <c r="AO75" s="3530">
        <f t="shared" si="31"/>
        <v>0</v>
      </c>
      <c r="AP75" s="3530">
        <f t="shared" si="32"/>
        <v>0</v>
      </c>
      <c r="AQ75" s="3530">
        <f t="shared" si="33"/>
        <v>0</v>
      </c>
      <c r="AR75" s="3530">
        <f t="shared" si="34"/>
        <v>0</v>
      </c>
      <c r="AS75" s="3530">
        <f t="shared" si="35"/>
        <v>0</v>
      </c>
      <c r="AT75" s="3530">
        <f t="shared" si="54"/>
        <v>0</v>
      </c>
      <c r="AU75" s="3530">
        <f t="shared" si="55"/>
        <v>0</v>
      </c>
      <c r="AV75" s="3530">
        <f t="shared" si="56"/>
        <v>0</v>
      </c>
      <c r="AW75" s="3530">
        <f t="shared" si="57"/>
        <v>0</v>
      </c>
      <c r="AX75" s="3531" t="s">
        <v>3318</v>
      </c>
      <c r="AY75" s="3532">
        <f t="shared" si="51"/>
        <v>70</v>
      </c>
      <c r="AZ75" s="3532"/>
      <c r="BC75" s="3673"/>
      <c r="BD75" s="3603" t="s">
        <v>3433</v>
      </c>
      <c r="CB75" s="3672"/>
    </row>
    <row r="76" spans="18:80" ht="45">
      <c r="R76" s="3521">
        <f t="shared" si="50"/>
        <v>71</v>
      </c>
      <c r="S76" s="3522" t="s">
        <v>3130</v>
      </c>
      <c r="T76" s="3523" t="s">
        <v>3319</v>
      </c>
      <c r="U76" s="3524">
        <v>838800</v>
      </c>
      <c r="V76" s="3524">
        <v>954600</v>
      </c>
      <c r="W76" s="3524">
        <v>909600</v>
      </c>
      <c r="X76" s="3547" t="s">
        <v>3150</v>
      </c>
      <c r="Y76" s="3547" t="s">
        <v>3150</v>
      </c>
      <c r="Z76" s="3547" t="s">
        <v>3150</v>
      </c>
      <c r="AA76" s="3538">
        <v>0</v>
      </c>
      <c r="AB76" s="3538">
        <v>0</v>
      </c>
      <c r="AC76" s="3538">
        <v>0</v>
      </c>
      <c r="AD76" s="3539">
        <v>0</v>
      </c>
      <c r="AE76" s="3539">
        <v>0</v>
      </c>
      <c r="AF76" s="3539">
        <v>0</v>
      </c>
      <c r="AG76" s="3539">
        <v>0</v>
      </c>
      <c r="AH76" s="3539">
        <v>0</v>
      </c>
      <c r="AI76" s="3539">
        <v>0</v>
      </c>
      <c r="AJ76" s="3540" t="s">
        <v>3151</v>
      </c>
      <c r="AK76" s="3529"/>
      <c r="AL76" s="3529" t="s">
        <v>3132</v>
      </c>
      <c r="AM76" s="3529" t="s">
        <v>3152</v>
      </c>
      <c r="AN76" s="3530">
        <f t="shared" si="30"/>
        <v>0</v>
      </c>
      <c r="AO76" s="3530">
        <f t="shared" si="31"/>
        <v>0</v>
      </c>
      <c r="AP76" s="3530">
        <f t="shared" si="32"/>
        <v>0</v>
      </c>
      <c r="AQ76" s="3530">
        <f t="shared" si="33"/>
        <v>0</v>
      </c>
      <c r="AR76" s="3530">
        <f t="shared" si="34"/>
        <v>0</v>
      </c>
      <c r="AS76" s="3530">
        <f t="shared" si="35"/>
        <v>0</v>
      </c>
      <c r="AT76" s="3530">
        <f t="shared" si="54"/>
        <v>0</v>
      </c>
      <c r="AU76" s="3530">
        <f t="shared" si="55"/>
        <v>0</v>
      </c>
      <c r="AV76" s="3530">
        <f t="shared" si="56"/>
        <v>0</v>
      </c>
      <c r="AW76" s="3530">
        <f t="shared" si="57"/>
        <v>0</v>
      </c>
      <c r="AX76" s="3550" t="s">
        <v>3320</v>
      </c>
      <c r="AY76" s="3532">
        <f t="shared" si="51"/>
        <v>71</v>
      </c>
      <c r="AZ76" s="3532"/>
      <c r="BC76" s="3673"/>
      <c r="BD76" s="3603" t="s">
        <v>1522</v>
      </c>
      <c r="BE76" s="3705">
        <v>0.50068184018358375</v>
      </c>
      <c r="BF76" s="3705">
        <v>0.4780881241925608</v>
      </c>
      <c r="BG76" s="3705">
        <v>0.54631407566538637</v>
      </c>
      <c r="BH76" s="3705">
        <v>0.71703415972879792</v>
      </c>
      <c r="BI76" s="3705">
        <v>0.90054534904853789</v>
      </c>
      <c r="BJ76" s="3705">
        <v>0.93359983875447006</v>
      </c>
      <c r="BK76" s="3705">
        <v>0.92288071042120834</v>
      </c>
      <c r="BL76" s="3705">
        <v>0.93511751833144474</v>
      </c>
      <c r="BM76" s="3705">
        <v>0.92189105317830922</v>
      </c>
      <c r="BN76" s="3705">
        <v>0.91070459116489522</v>
      </c>
      <c r="BO76" s="3705">
        <v>0.76087277839720979</v>
      </c>
      <c r="BP76" s="3705">
        <v>0.54691355662496777</v>
      </c>
      <c r="BQ76" s="3705">
        <v>0.50068184018358375</v>
      </c>
      <c r="BR76" s="3705">
        <v>0.4780881241925608</v>
      </c>
      <c r="BS76" s="3705">
        <v>0.54631407566538637</v>
      </c>
      <c r="BT76" s="3705">
        <v>0.71703415972879792</v>
      </c>
      <c r="BU76" s="3705">
        <v>0.90054534904853789</v>
      </c>
      <c r="BV76" s="3705">
        <v>0.93359983875447006</v>
      </c>
      <c r="BW76" s="3705">
        <v>0.92288071042120834</v>
      </c>
      <c r="BX76" s="3705">
        <v>0.93511751833144474</v>
      </c>
      <c r="BY76" s="3705">
        <v>0.92189105317830922</v>
      </c>
      <c r="BZ76" s="3705">
        <v>0.91070459116489522</v>
      </c>
      <c r="CA76" s="3705">
        <v>0.76087277839720979</v>
      </c>
      <c r="CB76" s="3704">
        <v>0.54691355662496777</v>
      </c>
    </row>
    <row r="77" spans="18:80" ht="60">
      <c r="R77" s="3521">
        <f t="shared" si="50"/>
        <v>72</v>
      </c>
      <c r="S77" s="3522" t="s">
        <v>3155</v>
      </c>
      <c r="T77" s="3523" t="s">
        <v>3321</v>
      </c>
      <c r="U77" s="3524">
        <v>5348646</v>
      </c>
      <c r="V77" s="3524">
        <v>4238511</v>
      </c>
      <c r="W77" s="3524">
        <v>4399224</v>
      </c>
      <c r="X77" s="3525">
        <f t="shared" ref="X77:Z80" si="58">U77*$T$4*$T$3</f>
        <v>10818.412731235381</v>
      </c>
      <c r="Y77" s="3525">
        <f t="shared" si="58"/>
        <v>8573.0035907931106</v>
      </c>
      <c r="Z77" s="3525">
        <f t="shared" si="58"/>
        <v>8898.06895598554</v>
      </c>
      <c r="AA77" s="3538">
        <v>11000</v>
      </c>
      <c r="AB77" s="3538">
        <v>11330</v>
      </c>
      <c r="AC77" s="3538">
        <v>11670</v>
      </c>
      <c r="AD77" s="3539">
        <v>292958</v>
      </c>
      <c r="AE77" s="3539">
        <v>301746</v>
      </c>
      <c r="AF77" s="3539">
        <v>20000</v>
      </c>
      <c r="AG77" s="3539">
        <v>20600</v>
      </c>
      <c r="AH77" s="3539">
        <v>0</v>
      </c>
      <c r="AI77" s="3539">
        <v>0</v>
      </c>
      <c r="AJ77" s="3540"/>
      <c r="AK77" s="3529" t="s">
        <v>3167</v>
      </c>
      <c r="AL77" s="3529" t="s">
        <v>839</v>
      </c>
      <c r="AM77" s="3529" t="s">
        <v>839</v>
      </c>
      <c r="AN77" s="3530">
        <f t="shared" si="30"/>
        <v>5162.8583775999996</v>
      </c>
      <c r="AO77" s="3530">
        <f t="shared" si="31"/>
        <v>1634.2877848000001</v>
      </c>
      <c r="AP77" s="3530">
        <f t="shared" si="32"/>
        <v>5317.7441289279996</v>
      </c>
      <c r="AQ77" s="3530">
        <f t="shared" si="33"/>
        <v>1683.3164183440001</v>
      </c>
      <c r="AR77" s="3530">
        <f t="shared" si="34"/>
        <v>5477.3233878719993</v>
      </c>
      <c r="AS77" s="3530">
        <f t="shared" si="35"/>
        <v>1733.8307680559999</v>
      </c>
      <c r="AT77" s="3530">
        <f t="shared" si="54"/>
        <v>137500.06041681278</v>
      </c>
      <c r="AU77" s="3530">
        <f t="shared" si="55"/>
        <v>43525.243714494398</v>
      </c>
      <c r="AV77" s="3530">
        <f t="shared" si="56"/>
        <v>141624.71490975359</v>
      </c>
      <c r="AW77" s="3530">
        <f t="shared" si="57"/>
        <v>44830.891082932802</v>
      </c>
      <c r="AX77" s="3531" t="s">
        <v>3322</v>
      </c>
      <c r="AY77" s="3532">
        <f t="shared" si="51"/>
        <v>72</v>
      </c>
      <c r="AZ77" s="3532"/>
      <c r="BC77" s="3673"/>
      <c r="BD77" s="3603" t="s">
        <v>1521</v>
      </c>
      <c r="BE77" s="3705">
        <v>0.49931815981641625</v>
      </c>
      <c r="BF77" s="3705">
        <v>0.52191187580743914</v>
      </c>
      <c r="BG77" s="3705">
        <v>0.45368592433461374</v>
      </c>
      <c r="BH77" s="3705">
        <v>0.28296584027120203</v>
      </c>
      <c r="BI77" s="3705">
        <v>9.9454650951462109E-2</v>
      </c>
      <c r="BJ77" s="3705">
        <v>6.6400161245529998E-2</v>
      </c>
      <c r="BK77" s="3705">
        <v>7.7119289578791661E-2</v>
      </c>
      <c r="BL77" s="3705">
        <v>6.4882481668555286E-2</v>
      </c>
      <c r="BM77" s="3705">
        <v>7.8108946821690811E-2</v>
      </c>
      <c r="BN77" s="3705">
        <v>8.9295408835104756E-2</v>
      </c>
      <c r="BO77" s="3705">
        <v>0.23912722160279024</v>
      </c>
      <c r="BP77" s="3705">
        <v>0.45308644337503229</v>
      </c>
      <c r="BQ77" s="3705">
        <v>0.49931815981641625</v>
      </c>
      <c r="BR77" s="3705">
        <v>0.52191187580743914</v>
      </c>
      <c r="BS77" s="3705">
        <v>0.45368592433461374</v>
      </c>
      <c r="BT77" s="3705">
        <v>0.28296584027120203</v>
      </c>
      <c r="BU77" s="3705">
        <v>9.9454650951462109E-2</v>
      </c>
      <c r="BV77" s="3705">
        <v>6.6400161245529998E-2</v>
      </c>
      <c r="BW77" s="3705">
        <v>7.7119289578791661E-2</v>
      </c>
      <c r="BX77" s="3705">
        <v>6.4882481668555286E-2</v>
      </c>
      <c r="BY77" s="3705">
        <v>7.8108946821690811E-2</v>
      </c>
      <c r="BZ77" s="3705">
        <v>8.9295408835104756E-2</v>
      </c>
      <c r="CA77" s="3705">
        <v>0.23912722160279024</v>
      </c>
      <c r="CB77" s="3704">
        <v>0.45308644337503229</v>
      </c>
    </row>
    <row r="78" spans="18:80" ht="75">
      <c r="R78" s="3521">
        <f t="shared" si="50"/>
        <v>73</v>
      </c>
      <c r="S78" s="3522" t="s">
        <v>3144</v>
      </c>
      <c r="T78" s="3523" t="s">
        <v>3323</v>
      </c>
      <c r="U78" s="3524">
        <v>659782</v>
      </c>
      <c r="V78" s="3524">
        <v>660002</v>
      </c>
      <c r="W78" s="3524">
        <v>660004</v>
      </c>
      <c r="X78" s="3525">
        <f t="shared" si="58"/>
        <v>1334.5048426536252</v>
      </c>
      <c r="Y78" s="3525">
        <f t="shared" si="58"/>
        <v>1334.9498245800551</v>
      </c>
      <c r="Z78" s="3525">
        <f t="shared" si="58"/>
        <v>1334.9538698702954</v>
      </c>
      <c r="AA78" s="3538">
        <v>0</v>
      </c>
      <c r="AB78" s="3538">
        <v>0</v>
      </c>
      <c r="AC78" s="3538">
        <v>0</v>
      </c>
      <c r="AD78" s="3539">
        <v>1000000</v>
      </c>
      <c r="AE78" s="3539">
        <v>1000000</v>
      </c>
      <c r="AF78" s="3539">
        <v>0</v>
      </c>
      <c r="AG78" s="3539">
        <v>0</v>
      </c>
      <c r="AH78" s="3539">
        <v>0</v>
      </c>
      <c r="AI78" s="3539">
        <v>0</v>
      </c>
      <c r="AJ78" s="3540"/>
      <c r="AK78" s="3529"/>
      <c r="AL78" s="3529" t="s">
        <v>839</v>
      </c>
      <c r="AM78" s="3529" t="s">
        <v>839</v>
      </c>
      <c r="AN78" s="3530">
        <f t="shared" si="30"/>
        <v>626.3508642583671</v>
      </c>
      <c r="AO78" s="3530">
        <f t="shared" si="31"/>
        <v>198.2695421004787</v>
      </c>
      <c r="AP78" s="3530">
        <f t="shared" si="32"/>
        <v>626.55971686443513</v>
      </c>
      <c r="AQ78" s="3530">
        <f t="shared" si="33"/>
        <v>198.33565378473517</v>
      </c>
      <c r="AR78" s="3530">
        <f t="shared" si="34"/>
        <v>626.56161552449032</v>
      </c>
      <c r="AS78" s="3530">
        <f t="shared" si="35"/>
        <v>198.33625480004659</v>
      </c>
      <c r="AT78" s="3530">
        <f t="shared" si="54"/>
        <v>469350.76159999997</v>
      </c>
      <c r="AU78" s="3530">
        <f t="shared" si="55"/>
        <v>148571.61679999999</v>
      </c>
      <c r="AV78" s="3530">
        <f t="shared" si="56"/>
        <v>469350.76159999997</v>
      </c>
      <c r="AW78" s="3530">
        <f t="shared" si="57"/>
        <v>148571.61679999999</v>
      </c>
      <c r="AX78" s="3531" t="s">
        <v>3324</v>
      </c>
      <c r="AY78" s="3532">
        <f t="shared" si="51"/>
        <v>73</v>
      </c>
      <c r="AZ78" s="3532"/>
      <c r="BC78" s="3673"/>
      <c r="CB78" s="3672"/>
    </row>
    <row r="79" spans="18:80" ht="45">
      <c r="R79" s="3521">
        <f t="shared" si="50"/>
        <v>74</v>
      </c>
      <c r="S79" s="3522" t="s">
        <v>3155</v>
      </c>
      <c r="T79" s="3523" t="s">
        <v>3325</v>
      </c>
      <c r="U79" s="3524">
        <v>3343420</v>
      </c>
      <c r="V79" s="3524">
        <v>3343420</v>
      </c>
      <c r="W79" s="3524">
        <v>3343419</v>
      </c>
      <c r="X79" s="3525">
        <f t="shared" si="58"/>
        <v>6762.5521475653832</v>
      </c>
      <c r="Y79" s="3525">
        <f t="shared" si="58"/>
        <v>6762.5521475653832</v>
      </c>
      <c r="Z79" s="3525">
        <f t="shared" si="58"/>
        <v>6762.5501249202634</v>
      </c>
      <c r="AA79" s="3538">
        <v>0</v>
      </c>
      <c r="AB79" s="3538">
        <v>0</v>
      </c>
      <c r="AC79" s="3538">
        <v>0</v>
      </c>
      <c r="AD79" s="3539">
        <v>2720</v>
      </c>
      <c r="AE79" s="3539">
        <v>2720</v>
      </c>
      <c r="AF79" s="3539">
        <v>0</v>
      </c>
      <c r="AG79" s="3539">
        <v>0</v>
      </c>
      <c r="AH79" s="3539">
        <v>0</v>
      </c>
      <c r="AI79" s="3539">
        <v>0</v>
      </c>
      <c r="AJ79" s="3540"/>
      <c r="AK79" s="3529"/>
      <c r="AL79" s="3540" t="s">
        <v>3132</v>
      </c>
      <c r="AM79" s="3540" t="s">
        <v>3133</v>
      </c>
      <c r="AN79" s="3530">
        <f t="shared" si="30"/>
        <v>4355.0835830321066</v>
      </c>
      <c r="AO79" s="3530">
        <f t="shared" si="31"/>
        <v>0</v>
      </c>
      <c r="AP79" s="3530">
        <f t="shared" si="32"/>
        <v>4355.0835830321066</v>
      </c>
      <c r="AQ79" s="3530">
        <f t="shared" si="33"/>
        <v>0</v>
      </c>
      <c r="AR79" s="3530">
        <f t="shared" si="34"/>
        <v>4355.0822804486497</v>
      </c>
      <c r="AS79" s="3530">
        <f t="shared" si="35"/>
        <v>0</v>
      </c>
      <c r="AT79" s="3530">
        <f t="shared" si="54"/>
        <v>1751.68</v>
      </c>
      <c r="AU79" s="3530">
        <f t="shared" si="55"/>
        <v>0</v>
      </c>
      <c r="AV79" s="3530">
        <f t="shared" si="56"/>
        <v>1751.68</v>
      </c>
      <c r="AW79" s="3530">
        <f t="shared" si="57"/>
        <v>0</v>
      </c>
      <c r="AX79" s="3531" t="s">
        <v>3326</v>
      </c>
      <c r="AY79" s="3532">
        <f t="shared" si="51"/>
        <v>74</v>
      </c>
      <c r="AZ79" s="3532"/>
      <c r="BC79" s="3673"/>
      <c r="BD79" s="3603" t="s">
        <v>3428</v>
      </c>
      <c r="CB79" s="3672"/>
    </row>
    <row r="80" spans="18:80" ht="25.5">
      <c r="R80" s="3521">
        <f t="shared" si="50"/>
        <v>75</v>
      </c>
      <c r="S80" s="3522" t="s">
        <v>3155</v>
      </c>
      <c r="T80" s="3523" t="s">
        <v>3328</v>
      </c>
      <c r="U80" s="3524">
        <v>100000</v>
      </c>
      <c r="V80" s="3524">
        <v>1400000</v>
      </c>
      <c r="W80" s="3524">
        <v>500000</v>
      </c>
      <c r="X80" s="3525">
        <f t="shared" si="58"/>
        <v>202.26451201360834</v>
      </c>
      <c r="Y80" s="3525">
        <f t="shared" si="58"/>
        <v>2831.7031681905164</v>
      </c>
      <c r="Z80" s="3525">
        <f t="shared" si="58"/>
        <v>1011.3225600680416</v>
      </c>
      <c r="AA80" s="3538">
        <v>0</v>
      </c>
      <c r="AB80" s="3538">
        <v>0</v>
      </c>
      <c r="AC80" s="3538">
        <v>0</v>
      </c>
      <c r="AD80" s="3539">
        <v>0</v>
      </c>
      <c r="AE80" s="3539">
        <v>0</v>
      </c>
      <c r="AF80" s="3539">
        <v>0</v>
      </c>
      <c r="AG80" s="3539">
        <v>0</v>
      </c>
      <c r="AH80" s="3539">
        <v>0</v>
      </c>
      <c r="AI80" s="3539">
        <v>0</v>
      </c>
      <c r="AJ80" s="3540"/>
      <c r="AK80" s="3529"/>
      <c r="AL80" s="3540" t="s">
        <v>3132</v>
      </c>
      <c r="AM80" s="3540" t="s">
        <v>3133</v>
      </c>
      <c r="AN80" s="3530">
        <f t="shared" si="30"/>
        <v>130.25834573676377</v>
      </c>
      <c r="AO80" s="3530">
        <f t="shared" si="31"/>
        <v>0</v>
      </c>
      <c r="AP80" s="3530">
        <f t="shared" si="32"/>
        <v>1823.6168403146926</v>
      </c>
      <c r="AQ80" s="3530">
        <f t="shared" si="33"/>
        <v>0</v>
      </c>
      <c r="AR80" s="3530">
        <f t="shared" si="34"/>
        <v>651.29172868381886</v>
      </c>
      <c r="AS80" s="3530">
        <f t="shared" si="35"/>
        <v>0</v>
      </c>
      <c r="AT80" s="3530">
        <f t="shared" si="54"/>
        <v>0</v>
      </c>
      <c r="AU80" s="3530">
        <f t="shared" si="55"/>
        <v>0</v>
      </c>
      <c r="AV80" s="3530">
        <f t="shared" si="56"/>
        <v>0</v>
      </c>
      <c r="AW80" s="3530">
        <f t="shared" si="57"/>
        <v>0</v>
      </c>
      <c r="AX80" s="3531" t="s">
        <v>3134</v>
      </c>
      <c r="AY80" s="3532">
        <f t="shared" si="51"/>
        <v>75</v>
      </c>
      <c r="AZ80" s="3532"/>
      <c r="BC80" s="3673"/>
      <c r="BD80" s="3603" t="s">
        <v>1522</v>
      </c>
      <c r="BE80" s="3705">
        <v>7.2460905986869925E-2</v>
      </c>
      <c r="BF80" s="3705">
        <v>8.8252530227728915E-2</v>
      </c>
      <c r="BG80" s="3705">
        <v>8.6818134533904537E-2</v>
      </c>
      <c r="BH80" s="3705">
        <v>0.112972975898062</v>
      </c>
      <c r="BI80" s="3705">
        <v>0.16818966777574407</v>
      </c>
      <c r="BJ80" s="3705">
        <v>0.22451562646695636</v>
      </c>
      <c r="BK80" s="3705">
        <v>0.23768402596931945</v>
      </c>
      <c r="BL80" s="3705">
        <v>0.23235777901240171</v>
      </c>
      <c r="BM80" s="3705">
        <v>0.23092674089537843</v>
      </c>
      <c r="BN80" s="3705">
        <v>0.19903319604706293</v>
      </c>
      <c r="BO80" s="3705">
        <v>0.13102712734310781</v>
      </c>
      <c r="BP80" s="3705">
        <v>8.348100615458294E-2</v>
      </c>
      <c r="BQ80" s="3705">
        <v>7.2460905986869925E-2</v>
      </c>
      <c r="BR80" s="3705">
        <v>8.8252530227728915E-2</v>
      </c>
      <c r="BS80" s="3705">
        <v>8.6818134533904537E-2</v>
      </c>
      <c r="BT80" s="3705">
        <v>0.112972975898062</v>
      </c>
      <c r="BU80" s="3705">
        <v>0.16818966777574407</v>
      </c>
      <c r="BV80" s="3705">
        <v>0.22451562646695636</v>
      </c>
      <c r="BW80" s="3705">
        <v>0.23768402596931945</v>
      </c>
      <c r="BX80" s="3705">
        <v>0.23235777901240171</v>
      </c>
      <c r="BY80" s="3705">
        <v>0.23092674089537843</v>
      </c>
      <c r="BZ80" s="3705">
        <v>0.19903319604706293</v>
      </c>
      <c r="CA80" s="3705">
        <v>0.13102712734310781</v>
      </c>
      <c r="CB80" s="3704">
        <v>8.348100615458294E-2</v>
      </c>
    </row>
    <row r="81" spans="18:80" ht="30">
      <c r="R81" s="3521">
        <f t="shared" si="50"/>
        <v>76</v>
      </c>
      <c r="S81" s="3522" t="s">
        <v>3155</v>
      </c>
      <c r="T81" s="3523" t="s">
        <v>3329</v>
      </c>
      <c r="U81" s="3524">
        <v>500000</v>
      </c>
      <c r="V81" s="3524">
        <v>500000</v>
      </c>
      <c r="W81" s="3524">
        <v>250000</v>
      </c>
      <c r="X81" s="3547" t="s">
        <v>3150</v>
      </c>
      <c r="Y81" s="3547" t="s">
        <v>3150</v>
      </c>
      <c r="Z81" s="3547" t="s">
        <v>3150</v>
      </c>
      <c r="AA81" s="3538">
        <v>0</v>
      </c>
      <c r="AB81" s="3538">
        <v>0</v>
      </c>
      <c r="AC81" s="3538">
        <v>0</v>
      </c>
      <c r="AD81" s="3539">
        <v>0</v>
      </c>
      <c r="AE81" s="3539">
        <v>0</v>
      </c>
      <c r="AF81" s="3539">
        <v>5000</v>
      </c>
      <c r="AG81" s="3539">
        <v>5000</v>
      </c>
      <c r="AH81" s="3539">
        <v>0</v>
      </c>
      <c r="AI81" s="3539">
        <v>0</v>
      </c>
      <c r="AJ81" s="3540" t="s">
        <v>3161</v>
      </c>
      <c r="AK81" s="3529"/>
      <c r="AL81" s="3529" t="s">
        <v>839</v>
      </c>
      <c r="AM81" s="3529" t="s">
        <v>3152</v>
      </c>
      <c r="AN81" s="3530"/>
      <c r="AO81" s="3530"/>
      <c r="AP81" s="3530"/>
      <c r="AQ81" s="3530"/>
      <c r="AR81" s="3530"/>
      <c r="AS81" s="3530"/>
      <c r="AT81" s="3530">
        <f t="shared" si="54"/>
        <v>0</v>
      </c>
      <c r="AU81" s="3530">
        <f t="shared" si="55"/>
        <v>0</v>
      </c>
      <c r="AV81" s="3530">
        <f t="shared" si="56"/>
        <v>0</v>
      </c>
      <c r="AW81" s="3530">
        <f t="shared" si="57"/>
        <v>0</v>
      </c>
      <c r="AX81" s="3531" t="s">
        <v>3330</v>
      </c>
      <c r="AY81" s="3532">
        <f t="shared" si="51"/>
        <v>76</v>
      </c>
      <c r="AZ81" s="3532"/>
      <c r="BC81" s="3673"/>
      <c r="BD81" s="3603" t="s">
        <v>1521</v>
      </c>
      <c r="BE81" s="3705">
        <v>0.25607046185482796</v>
      </c>
      <c r="BF81" s="3705">
        <v>0.29690561454943304</v>
      </c>
      <c r="BG81" s="3705">
        <v>0.29306720915724416</v>
      </c>
      <c r="BH81" s="3705">
        <v>0.3402110190736054</v>
      </c>
      <c r="BI81" s="3705">
        <v>0.36627773363360583</v>
      </c>
      <c r="BJ81" s="3705">
        <v>0.36080384702603835</v>
      </c>
      <c r="BK81" s="3705">
        <v>0.36561032100943597</v>
      </c>
      <c r="BL81" s="3705">
        <v>0.35275261649924727</v>
      </c>
      <c r="BM81" s="3705">
        <v>0.36650197082970848</v>
      </c>
      <c r="BN81" s="3705">
        <v>0.37436577508317115</v>
      </c>
      <c r="BO81" s="3705">
        <v>0.35592108910663278</v>
      </c>
      <c r="BP81" s="3705">
        <v>0.28414947083560765</v>
      </c>
      <c r="BQ81" s="3705">
        <v>0.25607046185482796</v>
      </c>
      <c r="BR81" s="3705">
        <v>0.29690561454943304</v>
      </c>
      <c r="BS81" s="3705">
        <v>0.29306720915724416</v>
      </c>
      <c r="BT81" s="3705">
        <v>0.3402110190736054</v>
      </c>
      <c r="BU81" s="3705">
        <v>0.36627773363360583</v>
      </c>
      <c r="BV81" s="3705">
        <v>0.36080384702603835</v>
      </c>
      <c r="BW81" s="3705">
        <v>0.36561032100943597</v>
      </c>
      <c r="BX81" s="3705">
        <v>0.35275261649924727</v>
      </c>
      <c r="BY81" s="3705">
        <v>0.36650197082970848</v>
      </c>
      <c r="BZ81" s="3705">
        <v>0.37436577508317115</v>
      </c>
      <c r="CA81" s="3705">
        <v>0.35592108910663278</v>
      </c>
      <c r="CB81" s="3704">
        <v>0.28414947083560765</v>
      </c>
    </row>
    <row r="82" spans="18:80" ht="45">
      <c r="R82" s="3521">
        <f t="shared" si="50"/>
        <v>77</v>
      </c>
      <c r="S82" s="3522" t="s">
        <v>3155</v>
      </c>
      <c r="T82" s="3523" t="s">
        <v>3331</v>
      </c>
      <c r="U82" s="3524">
        <v>8250000</v>
      </c>
      <c r="V82" s="3524">
        <v>9040634</v>
      </c>
      <c r="W82" s="3524">
        <v>10000000</v>
      </c>
      <c r="X82" s="3525">
        <f>U82*$T$4*$T$3</f>
        <v>16686.822241122685</v>
      </c>
      <c r="Y82" s="3525">
        <f>V82*$T$4*$T$3</f>
        <v>18285.994243036359</v>
      </c>
      <c r="Z82" s="3525">
        <f>W82*$T$4*$T$3</f>
        <v>20226.451201360833</v>
      </c>
      <c r="AA82" s="3538">
        <v>0</v>
      </c>
      <c r="AB82" s="3538">
        <v>0</v>
      </c>
      <c r="AC82" s="3538">
        <v>10000</v>
      </c>
      <c r="AD82" s="3539">
        <v>0</v>
      </c>
      <c r="AE82" s="3539">
        <v>0</v>
      </c>
      <c r="AF82" s="3539">
        <v>0</v>
      </c>
      <c r="AG82" s="3539">
        <v>0</v>
      </c>
      <c r="AH82" s="3539">
        <v>0</v>
      </c>
      <c r="AI82" s="3539">
        <v>0</v>
      </c>
      <c r="AJ82" s="3540"/>
      <c r="AK82" s="3529" t="s">
        <v>3167</v>
      </c>
      <c r="AL82" s="3540" t="s">
        <v>3132</v>
      </c>
      <c r="AM82" s="3529" t="s">
        <v>3195</v>
      </c>
      <c r="AN82" s="3530">
        <f t="shared" ref="AN82:AN88" si="59">IF(AA82&gt;0,AA82*(VLOOKUP($AM82,$AG$129:$AI$137,2,FALSE)),IF($AM82=$AG$137,$AH$137,X82*(VLOOKUP($AM82,$AG$129:$AI$137,2,FALSE))))</f>
        <v>11170.659412874758</v>
      </c>
      <c r="AO82" s="3530">
        <f t="shared" ref="AO82:AO88" si="60">IF(AA82&gt;0,AA82*(VLOOKUP($AM82,$AG$129:$AI$137,3,FALSE)),IF($AM82=$AG$137,$AH$137,X82*(VLOOKUP($AM82,$AG$129:$AI$137,3,FALSE))))</f>
        <v>0</v>
      </c>
      <c r="AP82" s="3530">
        <f t="shared" ref="AP82:AP88" si="61">IF(AB82&gt;0,AB82*(VLOOKUP($AM82,$AG$129:$AI$137,2,FALSE)),IF($AM82=$AG$137,$AH$137,Y82*(VLOOKUP($AM82,$AG$129:$AI$137,2,FALSE))))</f>
        <v>12241.19312611583</v>
      </c>
      <c r="AQ82" s="3530">
        <f t="shared" ref="AQ82:AQ88" si="62">IF(AB82&gt;0,AB82*(VLOOKUP($AM82,$AG$129:$AI$137,3,FALSE)),IF($AM82=$AG$137,$AH$137,Y82*(VLOOKUP($AM82,$AG$129:$AI$137,3,FALSE))))</f>
        <v>0</v>
      </c>
      <c r="AR82" s="3530">
        <f t="shared" ref="AR82:AR88" si="63">IF(AC82&gt;0,AC82*(VLOOKUP($AM82,$AG$129:$AI$137,2,FALSE)),IF($AM82=$AG$137,$AH$137,Z82*(VLOOKUP($AM82,$AG$129:$AI$137,2,FALSE))))</f>
        <v>6694.2999999999993</v>
      </c>
      <c r="AS82" s="3530">
        <f t="shared" ref="AS82:AS88" si="64">IF(AC82&gt;0,AC82*(VLOOKUP($AM82,$AG$129:$AI$137,3,FALSE)),IF($AM82=$AG$137,$AH$137,Z82*(VLOOKUP($AM82,$AG$129:$AI$137,3,FALSE))))</f>
        <v>0</v>
      </c>
      <c r="AT82" s="3530">
        <f t="shared" si="54"/>
        <v>0</v>
      </c>
      <c r="AU82" s="3530">
        <f t="shared" si="55"/>
        <v>0</v>
      </c>
      <c r="AV82" s="3530">
        <f t="shared" si="56"/>
        <v>0</v>
      </c>
      <c r="AW82" s="3530">
        <f t="shared" si="57"/>
        <v>0</v>
      </c>
      <c r="AX82" s="3531" t="s">
        <v>3332</v>
      </c>
      <c r="AY82" s="3532">
        <f t="shared" si="51"/>
        <v>77</v>
      </c>
      <c r="AZ82" s="3532"/>
      <c r="BC82" s="3673"/>
      <c r="BD82" s="3603" t="s">
        <v>1520</v>
      </c>
      <c r="BE82" s="3705">
        <v>0.6594270522479182</v>
      </c>
      <c r="BF82" s="3705">
        <v>0.60310404320843358</v>
      </c>
      <c r="BG82" s="3705">
        <v>0.60549936060600251</v>
      </c>
      <c r="BH82" s="3705">
        <v>0.53711124215639705</v>
      </c>
      <c r="BI82" s="3705">
        <v>0.44693350382138564</v>
      </c>
      <c r="BJ82" s="3705">
        <v>0.39542635896636746</v>
      </c>
      <c r="BK82" s="3705">
        <v>0.38304187690831931</v>
      </c>
      <c r="BL82" s="3705">
        <v>0.39328090680424438</v>
      </c>
      <c r="BM82" s="3705">
        <v>0.3788746561080279</v>
      </c>
      <c r="BN82" s="3705">
        <v>0.40495334406423711</v>
      </c>
      <c r="BO82" s="3705">
        <v>0.49422715503935838</v>
      </c>
      <c r="BP82" s="3705">
        <v>0.62972410083281249</v>
      </c>
      <c r="BQ82" s="3705">
        <v>0.6594270522479182</v>
      </c>
      <c r="BR82" s="3705">
        <v>0.60310404320843358</v>
      </c>
      <c r="BS82" s="3705">
        <v>0.60549936060600251</v>
      </c>
      <c r="BT82" s="3705">
        <v>0.53711124215639705</v>
      </c>
      <c r="BU82" s="3705">
        <v>0.44693350382138564</v>
      </c>
      <c r="BV82" s="3705">
        <v>0.39542635896636746</v>
      </c>
      <c r="BW82" s="3705">
        <v>0.38304187690831931</v>
      </c>
      <c r="BX82" s="3705">
        <v>0.39328090680424438</v>
      </c>
      <c r="BY82" s="3705">
        <v>0.3788746561080279</v>
      </c>
      <c r="BZ82" s="3705">
        <v>0.40495334406423711</v>
      </c>
      <c r="CA82" s="3705">
        <v>0.49422715503935838</v>
      </c>
      <c r="CB82" s="3704">
        <v>0.62972410083281249</v>
      </c>
    </row>
    <row r="83" spans="18:80" ht="60">
      <c r="R83" s="3521">
        <f t="shared" si="50"/>
        <v>78</v>
      </c>
      <c r="S83" s="3522" t="s">
        <v>3155</v>
      </c>
      <c r="T83" s="3523" t="s">
        <v>3333</v>
      </c>
      <c r="U83" s="3524">
        <v>1133452</v>
      </c>
      <c r="V83" s="3524">
        <v>0</v>
      </c>
      <c r="W83" s="3524">
        <v>0</v>
      </c>
      <c r="X83" s="3547" t="s">
        <v>3150</v>
      </c>
      <c r="Y83" s="3547" t="s">
        <v>3150</v>
      </c>
      <c r="Z83" s="3547" t="s">
        <v>3150</v>
      </c>
      <c r="AA83" s="3538">
        <v>0</v>
      </c>
      <c r="AB83" s="3538">
        <v>0</v>
      </c>
      <c r="AC83" s="3538">
        <v>0</v>
      </c>
      <c r="AD83" s="3539">
        <v>0</v>
      </c>
      <c r="AE83" s="3539">
        <v>0</v>
      </c>
      <c r="AF83" s="3539">
        <v>0</v>
      </c>
      <c r="AG83" s="3539">
        <v>0</v>
      </c>
      <c r="AH83" s="3539">
        <v>0</v>
      </c>
      <c r="AI83" s="3539">
        <v>0</v>
      </c>
      <c r="AJ83" s="3540" t="s">
        <v>3151</v>
      </c>
      <c r="AK83" s="3529"/>
      <c r="AL83" s="3540" t="s">
        <v>3132</v>
      </c>
      <c r="AM83" s="3529" t="s">
        <v>3152</v>
      </c>
      <c r="AN83" s="3530">
        <f t="shared" si="59"/>
        <v>0</v>
      </c>
      <c r="AO83" s="3530">
        <f t="shared" si="60"/>
        <v>0</v>
      </c>
      <c r="AP83" s="3530">
        <f t="shared" si="61"/>
        <v>0</v>
      </c>
      <c r="AQ83" s="3530">
        <f t="shared" si="62"/>
        <v>0</v>
      </c>
      <c r="AR83" s="3530">
        <f t="shared" si="63"/>
        <v>0</v>
      </c>
      <c r="AS83" s="3530">
        <f t="shared" si="64"/>
        <v>0</v>
      </c>
      <c r="AT83" s="3530">
        <f t="shared" si="54"/>
        <v>0</v>
      </c>
      <c r="AU83" s="3530">
        <f t="shared" si="55"/>
        <v>0</v>
      </c>
      <c r="AV83" s="3530">
        <f t="shared" si="56"/>
        <v>0</v>
      </c>
      <c r="AW83" s="3530">
        <f t="shared" si="57"/>
        <v>0</v>
      </c>
      <c r="AX83" s="3531" t="s">
        <v>3334</v>
      </c>
      <c r="AY83" s="3532">
        <f t="shared" si="51"/>
        <v>78</v>
      </c>
      <c r="AZ83" s="3532"/>
      <c r="BC83" s="3673"/>
      <c r="BD83" s="3603" t="s">
        <v>1519</v>
      </c>
      <c r="BE83" s="3705">
        <v>1.2041579910383998E-2</v>
      </c>
      <c r="BF83" s="3705">
        <v>1.1737812014404443E-2</v>
      </c>
      <c r="BG83" s="3705">
        <v>1.4615295702848915E-2</v>
      </c>
      <c r="BH83" s="3705">
        <v>9.7047628719357185E-3</v>
      </c>
      <c r="BI83" s="3705">
        <v>1.8599094769264381E-2</v>
      </c>
      <c r="BJ83" s="3705">
        <v>1.9254167540637818E-2</v>
      </c>
      <c r="BK83" s="3705">
        <v>1.3663776112925258E-2</v>
      </c>
      <c r="BL83" s="3705">
        <v>2.160869768410657E-2</v>
      </c>
      <c r="BM83" s="3705">
        <v>2.3696632166885268E-2</v>
      </c>
      <c r="BN83" s="3705">
        <v>2.1647684805528807E-2</v>
      </c>
      <c r="BO83" s="3705">
        <v>1.8824628510901026E-2</v>
      </c>
      <c r="BP83" s="3705">
        <v>2.6454221769969853E-3</v>
      </c>
      <c r="BQ83" s="3705">
        <v>1.2041579910383998E-2</v>
      </c>
      <c r="BR83" s="3705">
        <v>1.1737812014404443E-2</v>
      </c>
      <c r="BS83" s="3705">
        <v>1.4615295702848915E-2</v>
      </c>
      <c r="BT83" s="3705">
        <v>9.7047628719357185E-3</v>
      </c>
      <c r="BU83" s="3705">
        <v>1.8599094769264381E-2</v>
      </c>
      <c r="BV83" s="3705">
        <v>1.9254167540637818E-2</v>
      </c>
      <c r="BW83" s="3705">
        <v>1.3663776112925258E-2</v>
      </c>
      <c r="BX83" s="3705">
        <v>2.160869768410657E-2</v>
      </c>
      <c r="BY83" s="3705">
        <v>2.3696632166885268E-2</v>
      </c>
      <c r="BZ83" s="3705">
        <v>2.1647684805528807E-2</v>
      </c>
      <c r="CA83" s="3705">
        <v>1.8824628510901026E-2</v>
      </c>
      <c r="CB83" s="3704">
        <v>2.6454221769969853E-3</v>
      </c>
    </row>
    <row r="84" spans="18:80" ht="75">
      <c r="R84" s="3521">
        <f t="shared" si="50"/>
        <v>79</v>
      </c>
      <c r="S84" s="3522" t="s">
        <v>3130</v>
      </c>
      <c r="T84" s="3523" t="s">
        <v>3335</v>
      </c>
      <c r="U84" s="3524">
        <v>185540</v>
      </c>
      <c r="V84" s="3524">
        <v>0</v>
      </c>
      <c r="W84" s="3524">
        <v>0</v>
      </c>
      <c r="X84" s="3525">
        <f>U84*$T$4*$T$3</f>
        <v>375.28157559004887</v>
      </c>
      <c r="Y84" s="3525">
        <f>V84*$T$4*$T$3</f>
        <v>0</v>
      </c>
      <c r="Z84" s="3525">
        <f>W84*$T$4*$T$3</f>
        <v>0</v>
      </c>
      <c r="AA84" s="3538"/>
      <c r="AB84" s="3538"/>
      <c r="AC84" s="3538"/>
      <c r="AD84" s="3539">
        <v>30000</v>
      </c>
      <c r="AE84" s="3539">
        <v>30000</v>
      </c>
      <c r="AF84" s="3539"/>
      <c r="AG84" s="3539"/>
      <c r="AH84" s="3539"/>
      <c r="AI84" s="3539"/>
      <c r="AJ84" s="3540"/>
      <c r="AK84" s="3529" t="s">
        <v>2863</v>
      </c>
      <c r="AL84" s="3529" t="s">
        <v>3132</v>
      </c>
      <c r="AM84" s="3529" t="s">
        <v>3133</v>
      </c>
      <c r="AN84" s="3530">
        <f t="shared" si="59"/>
        <v>241.68133467999149</v>
      </c>
      <c r="AO84" s="3530">
        <f t="shared" si="60"/>
        <v>0</v>
      </c>
      <c r="AP84" s="3530">
        <f t="shared" si="61"/>
        <v>0</v>
      </c>
      <c r="AQ84" s="3530">
        <f t="shared" si="62"/>
        <v>0</v>
      </c>
      <c r="AR84" s="3530">
        <f t="shared" si="63"/>
        <v>0</v>
      </c>
      <c r="AS84" s="3530">
        <f t="shared" si="64"/>
        <v>0</v>
      </c>
      <c r="AT84" s="3530">
        <f t="shared" si="54"/>
        <v>19320</v>
      </c>
      <c r="AU84" s="3530">
        <f t="shared" si="55"/>
        <v>0</v>
      </c>
      <c r="AV84" s="3530">
        <f t="shared" si="56"/>
        <v>19320</v>
      </c>
      <c r="AW84" s="3530">
        <f t="shared" si="57"/>
        <v>0</v>
      </c>
      <c r="AX84" s="3531" t="s">
        <v>3336</v>
      </c>
      <c r="AY84" s="3532">
        <f t="shared" si="51"/>
        <v>79</v>
      </c>
      <c r="AZ84" s="3532"/>
      <c r="BC84" s="3673"/>
      <c r="BD84" s="3603" t="s">
        <v>1518</v>
      </c>
      <c r="BE84" s="3705">
        <v>0</v>
      </c>
      <c r="BF84" s="3705">
        <v>0</v>
      </c>
      <c r="BG84" s="3705">
        <v>0</v>
      </c>
      <c r="BH84" s="3705">
        <v>0</v>
      </c>
      <c r="BI84" s="3705">
        <v>0</v>
      </c>
      <c r="BJ84" s="3705">
        <v>0</v>
      </c>
      <c r="BK84" s="3705">
        <v>0</v>
      </c>
      <c r="BL84" s="3705">
        <v>0</v>
      </c>
      <c r="BM84" s="3705">
        <v>0</v>
      </c>
      <c r="BN84" s="3705">
        <v>0</v>
      </c>
      <c r="BO84" s="3705">
        <v>0</v>
      </c>
      <c r="BP84" s="3705">
        <v>0</v>
      </c>
      <c r="BQ84" s="3705">
        <v>0</v>
      </c>
      <c r="BR84" s="3705">
        <v>0</v>
      </c>
      <c r="BS84" s="3705">
        <v>0</v>
      </c>
      <c r="BT84" s="3705">
        <v>0</v>
      </c>
      <c r="BU84" s="3705">
        <v>0</v>
      </c>
      <c r="BV84" s="3705">
        <v>0</v>
      </c>
      <c r="BW84" s="3705">
        <v>0</v>
      </c>
      <c r="BX84" s="3705">
        <v>0</v>
      </c>
      <c r="BY84" s="3705">
        <v>0</v>
      </c>
      <c r="BZ84" s="3705">
        <v>0</v>
      </c>
      <c r="CA84" s="3705">
        <v>0</v>
      </c>
      <c r="CB84" s="3704">
        <v>0</v>
      </c>
    </row>
    <row r="85" spans="18:80" ht="30">
      <c r="R85" s="3521">
        <f t="shared" si="50"/>
        <v>80</v>
      </c>
      <c r="S85" s="3522" t="s">
        <v>3130</v>
      </c>
      <c r="T85" s="3523" t="s">
        <v>3337</v>
      </c>
      <c r="U85" s="3524">
        <v>250002</v>
      </c>
      <c r="V85" s="3524">
        <v>250000</v>
      </c>
      <c r="W85" s="3524">
        <v>249996</v>
      </c>
      <c r="X85" s="3547" t="s">
        <v>3150</v>
      </c>
      <c r="Y85" s="3547" t="s">
        <v>3150</v>
      </c>
      <c r="Z85" s="3547" t="s">
        <v>3150</v>
      </c>
      <c r="AA85" s="3538">
        <v>0</v>
      </c>
      <c r="AB85" s="3538">
        <v>0</v>
      </c>
      <c r="AC85" s="3538">
        <v>0</v>
      </c>
      <c r="AD85" s="3539">
        <v>0</v>
      </c>
      <c r="AE85" s="3539">
        <v>0</v>
      </c>
      <c r="AF85" s="3539">
        <v>0</v>
      </c>
      <c r="AG85" s="3539">
        <v>0</v>
      </c>
      <c r="AH85" s="3539">
        <v>0</v>
      </c>
      <c r="AI85" s="3539">
        <v>0</v>
      </c>
      <c r="AJ85" s="3540" t="s">
        <v>3151</v>
      </c>
      <c r="AK85" s="3529"/>
      <c r="AL85" s="3529" t="s">
        <v>3132</v>
      </c>
      <c r="AM85" s="3529" t="s">
        <v>3152</v>
      </c>
      <c r="AN85" s="3530">
        <f t="shared" si="59"/>
        <v>0</v>
      </c>
      <c r="AO85" s="3530">
        <f t="shared" si="60"/>
        <v>0</v>
      </c>
      <c r="AP85" s="3530">
        <f t="shared" si="61"/>
        <v>0</v>
      </c>
      <c r="AQ85" s="3530">
        <f t="shared" si="62"/>
        <v>0</v>
      </c>
      <c r="AR85" s="3530">
        <f t="shared" si="63"/>
        <v>0</v>
      </c>
      <c r="AS85" s="3530">
        <f t="shared" si="64"/>
        <v>0</v>
      </c>
      <c r="AT85" s="3530">
        <f t="shared" si="54"/>
        <v>0</v>
      </c>
      <c r="AU85" s="3530">
        <f t="shared" si="55"/>
        <v>0</v>
      </c>
      <c r="AV85" s="3530">
        <f t="shared" si="56"/>
        <v>0</v>
      </c>
      <c r="AW85" s="3530">
        <f t="shared" si="57"/>
        <v>0</v>
      </c>
      <c r="AX85" s="3550" t="s">
        <v>3338</v>
      </c>
      <c r="AY85" s="3532">
        <f t="shared" si="51"/>
        <v>80</v>
      </c>
      <c r="AZ85" s="3532"/>
      <c r="BC85" s="3673"/>
      <c r="CB85" s="3672"/>
    </row>
    <row r="86" spans="18:80" ht="25.5">
      <c r="R86" s="3521">
        <f t="shared" si="50"/>
        <v>81</v>
      </c>
      <c r="S86" s="3522" t="s">
        <v>3155</v>
      </c>
      <c r="T86" s="3523" t="s">
        <v>3339</v>
      </c>
      <c r="U86" s="3524">
        <v>4717625</v>
      </c>
      <c r="V86" s="3524">
        <v>0</v>
      </c>
      <c r="W86" s="3524">
        <v>0</v>
      </c>
      <c r="X86" s="3525">
        <f t="shared" ref="X86:Z88" si="65">U86*$T$4*$T$3</f>
        <v>9542.0811848819903</v>
      </c>
      <c r="Y86" s="3525">
        <f t="shared" si="65"/>
        <v>0</v>
      </c>
      <c r="Z86" s="3525">
        <f t="shared" si="65"/>
        <v>0</v>
      </c>
      <c r="AA86" s="3538">
        <v>0</v>
      </c>
      <c r="AB86" s="3538">
        <v>0</v>
      </c>
      <c r="AC86" s="3538">
        <v>0</v>
      </c>
      <c r="AD86" s="3539">
        <v>0</v>
      </c>
      <c r="AE86" s="3539">
        <v>0</v>
      </c>
      <c r="AF86" s="3539">
        <v>0</v>
      </c>
      <c r="AG86" s="3539">
        <v>0</v>
      </c>
      <c r="AH86" s="3539">
        <v>0</v>
      </c>
      <c r="AI86" s="3539">
        <v>0</v>
      </c>
      <c r="AJ86" s="3540" t="s">
        <v>3151</v>
      </c>
      <c r="AK86" s="3529"/>
      <c r="AL86" s="3529" t="s">
        <v>3132</v>
      </c>
      <c r="AM86" s="3529" t="s">
        <v>3133</v>
      </c>
      <c r="AN86" s="3530">
        <f t="shared" si="59"/>
        <v>6145.1002830640018</v>
      </c>
      <c r="AO86" s="3530">
        <f t="shared" si="60"/>
        <v>0</v>
      </c>
      <c r="AP86" s="3530">
        <f t="shared" si="61"/>
        <v>0</v>
      </c>
      <c r="AQ86" s="3530">
        <f t="shared" si="62"/>
        <v>0</v>
      </c>
      <c r="AR86" s="3530">
        <f t="shared" si="63"/>
        <v>0</v>
      </c>
      <c r="AS86" s="3530">
        <f t="shared" si="64"/>
        <v>0</v>
      </c>
      <c r="AT86" s="3530">
        <f t="shared" si="54"/>
        <v>0</v>
      </c>
      <c r="AU86" s="3530">
        <f t="shared" si="55"/>
        <v>0</v>
      </c>
      <c r="AV86" s="3530">
        <f t="shared" si="56"/>
        <v>0</v>
      </c>
      <c r="AW86" s="3530">
        <f t="shared" si="57"/>
        <v>0</v>
      </c>
      <c r="AX86" s="3531" t="s">
        <v>3134</v>
      </c>
      <c r="AY86" s="3532">
        <f t="shared" si="51"/>
        <v>81</v>
      </c>
      <c r="AZ86" s="3532"/>
      <c r="BC86" s="3673"/>
      <c r="BD86" s="3603" t="s">
        <v>3432</v>
      </c>
      <c r="CB86" s="3672"/>
    </row>
    <row r="87" spans="18:80" ht="30">
      <c r="R87" s="3521">
        <f t="shared" si="50"/>
        <v>82</v>
      </c>
      <c r="S87" s="3522" t="s">
        <v>3340</v>
      </c>
      <c r="T87" s="3523" t="s">
        <v>3341</v>
      </c>
      <c r="U87" s="3524">
        <v>33749995.571428567</v>
      </c>
      <c r="V87" s="3524">
        <v>35249997</v>
      </c>
      <c r="W87" s="3524">
        <v>60249995</v>
      </c>
      <c r="X87" s="3525">
        <f t="shared" si="65"/>
        <v>68264.263847164417</v>
      </c>
      <c r="Y87" s="3525">
        <f t="shared" si="65"/>
        <v>71298.234416861567</v>
      </c>
      <c r="Z87" s="3525">
        <f t="shared" si="65"/>
        <v>121864.35837497341</v>
      </c>
      <c r="AA87" s="3538">
        <v>0</v>
      </c>
      <c r="AB87" s="3538">
        <v>0</v>
      </c>
      <c r="AC87" s="3538">
        <v>0</v>
      </c>
      <c r="AD87" s="3539">
        <v>53000000</v>
      </c>
      <c r="AE87" s="3539">
        <v>53000000</v>
      </c>
      <c r="AF87" s="3539">
        <v>0</v>
      </c>
      <c r="AG87" s="3539">
        <v>0</v>
      </c>
      <c r="AH87" s="3539">
        <v>0</v>
      </c>
      <c r="AI87" s="3539">
        <v>0</v>
      </c>
      <c r="AJ87" s="3540" t="s">
        <v>3201</v>
      </c>
      <c r="AK87" s="3529" t="s">
        <v>3167</v>
      </c>
      <c r="AL87" s="3529" t="s">
        <v>3132</v>
      </c>
      <c r="AM87" s="3529" t="s">
        <v>3195</v>
      </c>
      <c r="AN87" s="3530">
        <f t="shared" si="59"/>
        <v>45698.146147207277</v>
      </c>
      <c r="AO87" s="3530">
        <f t="shared" si="60"/>
        <v>0</v>
      </c>
      <c r="AP87" s="3530">
        <f t="shared" si="61"/>
        <v>47729.177065679636</v>
      </c>
      <c r="AQ87" s="3530">
        <f t="shared" si="62"/>
        <v>0</v>
      </c>
      <c r="AR87" s="3530">
        <f t="shared" si="63"/>
        <v>81579.657426958453</v>
      </c>
      <c r="AS87" s="3530">
        <f t="shared" si="64"/>
        <v>0</v>
      </c>
      <c r="AT87" s="3562">
        <f t="shared" si="54"/>
        <v>35479790</v>
      </c>
      <c r="AU87" s="3562">
        <f t="shared" si="55"/>
        <v>0</v>
      </c>
      <c r="AV87" s="3562">
        <f t="shared" si="56"/>
        <v>35479790</v>
      </c>
      <c r="AW87" s="3562">
        <f t="shared" si="57"/>
        <v>0</v>
      </c>
      <c r="AX87" s="3531" t="s">
        <v>3342</v>
      </c>
      <c r="AY87" s="3532">
        <f t="shared" si="51"/>
        <v>82</v>
      </c>
      <c r="AZ87" s="3532"/>
      <c r="BC87" s="3673"/>
      <c r="BD87" s="3603" t="s">
        <v>1522</v>
      </c>
      <c r="BE87" s="3705">
        <v>2.8590353070704223E-3</v>
      </c>
      <c r="BF87" s="3705">
        <v>3.5968467164206484E-3</v>
      </c>
      <c r="BG87" s="3705">
        <v>3.6093360530081529E-3</v>
      </c>
      <c r="BH87" s="3705">
        <v>4.1521409781408881E-3</v>
      </c>
      <c r="BI87" s="3705">
        <v>6.2428234192736711E-3</v>
      </c>
      <c r="BJ87" s="3705">
        <v>5.8417261412805109E-3</v>
      </c>
      <c r="BK87" s="3705">
        <v>6.3284120577597547E-3</v>
      </c>
      <c r="BL87" s="3705">
        <v>6.1430607663073107E-3</v>
      </c>
      <c r="BM87" s="3705">
        <v>5.4181027046879731E-3</v>
      </c>
      <c r="BN87" s="3705">
        <v>5.3045708656099533E-3</v>
      </c>
      <c r="BO87" s="3705">
        <v>3.8990951603807013E-3</v>
      </c>
      <c r="BP87" s="3705">
        <v>3.2074949834638273E-3</v>
      </c>
      <c r="BQ87" s="3705">
        <v>2.8590353070704223E-3</v>
      </c>
      <c r="BR87" s="3705">
        <v>3.5968467164206484E-3</v>
      </c>
      <c r="BS87" s="3705">
        <v>3.6093360530081529E-3</v>
      </c>
      <c r="BT87" s="3705">
        <v>4.1521409781408881E-3</v>
      </c>
      <c r="BU87" s="3705">
        <v>6.2428234192736711E-3</v>
      </c>
      <c r="BV87" s="3705">
        <v>5.8417261412805109E-3</v>
      </c>
      <c r="BW87" s="3705">
        <v>6.3284120577597547E-3</v>
      </c>
      <c r="BX87" s="3705">
        <v>6.1430607663073107E-3</v>
      </c>
      <c r="BY87" s="3705">
        <v>5.4181027046879731E-3</v>
      </c>
      <c r="BZ87" s="3705">
        <v>5.3045708656099533E-3</v>
      </c>
      <c r="CA87" s="3705">
        <v>3.8990951603807013E-3</v>
      </c>
      <c r="CB87" s="3704">
        <v>3.2074949834638273E-3</v>
      </c>
    </row>
    <row r="88" spans="18:80" ht="60">
      <c r="R88" s="3521">
        <f t="shared" si="50"/>
        <v>83</v>
      </c>
      <c r="S88" s="3522" t="s">
        <v>3155</v>
      </c>
      <c r="T88" s="3523" t="s">
        <v>3343</v>
      </c>
      <c r="U88" s="3524">
        <v>13000004</v>
      </c>
      <c r="V88" s="3524">
        <v>9999994</v>
      </c>
      <c r="W88" s="3524">
        <v>9999994</v>
      </c>
      <c r="X88" s="3525">
        <f t="shared" si="65"/>
        <v>26294.394652349562</v>
      </c>
      <c r="Y88" s="3525">
        <f t="shared" si="65"/>
        <v>20226.439065490111</v>
      </c>
      <c r="Z88" s="3525">
        <f t="shared" si="65"/>
        <v>20226.439065490111</v>
      </c>
      <c r="AA88" s="3538">
        <v>0</v>
      </c>
      <c r="AB88" s="3538">
        <v>0</v>
      </c>
      <c r="AC88" s="3538">
        <v>0</v>
      </c>
      <c r="AD88" s="3539">
        <v>12700000</v>
      </c>
      <c r="AE88" s="3539">
        <v>12700000</v>
      </c>
      <c r="AF88" s="3539">
        <v>0</v>
      </c>
      <c r="AG88" s="3539">
        <v>0</v>
      </c>
      <c r="AH88" s="3539">
        <v>0</v>
      </c>
      <c r="AI88" s="3539">
        <v>0</v>
      </c>
      <c r="AJ88" s="3540"/>
      <c r="AK88" s="3529" t="s">
        <v>3167</v>
      </c>
      <c r="AL88" s="3529" t="s">
        <v>3132</v>
      </c>
      <c r="AM88" s="3529" t="s">
        <v>3195</v>
      </c>
      <c r="AN88" s="3530">
        <f t="shared" si="59"/>
        <v>17602.256612122364</v>
      </c>
      <c r="AO88" s="3530">
        <f t="shared" si="60"/>
        <v>0</v>
      </c>
      <c r="AP88" s="3530">
        <f t="shared" si="61"/>
        <v>13540.185103611044</v>
      </c>
      <c r="AQ88" s="3530">
        <f t="shared" si="62"/>
        <v>0</v>
      </c>
      <c r="AR88" s="3530">
        <f t="shared" si="63"/>
        <v>13540.185103611044</v>
      </c>
      <c r="AS88" s="3530">
        <f t="shared" si="64"/>
        <v>0</v>
      </c>
      <c r="AT88" s="3530">
        <f t="shared" si="54"/>
        <v>8501761</v>
      </c>
      <c r="AU88" s="3530">
        <f t="shared" si="55"/>
        <v>0</v>
      </c>
      <c r="AV88" s="3530">
        <f t="shared" si="56"/>
        <v>8501761</v>
      </c>
      <c r="AW88" s="3530">
        <f t="shared" si="57"/>
        <v>0</v>
      </c>
      <c r="AX88" s="3531" t="s">
        <v>3344</v>
      </c>
      <c r="AY88" s="3532">
        <f t="shared" si="51"/>
        <v>83</v>
      </c>
      <c r="AZ88" s="3532"/>
      <c r="BC88" s="3673"/>
      <c r="BD88" s="3603" t="s">
        <v>1521</v>
      </c>
      <c r="BE88" s="3705">
        <v>1.1436141228281689E-2</v>
      </c>
      <c r="BF88" s="3705">
        <v>1.4387386865682594E-2</v>
      </c>
      <c r="BG88" s="3705">
        <v>1.4437344212032611E-2</v>
      </c>
      <c r="BH88" s="3705">
        <v>1.6608563912563552E-2</v>
      </c>
      <c r="BI88" s="3705">
        <v>2.4971293677094684E-2</v>
      </c>
      <c r="BJ88" s="3705">
        <v>2.3366904565122044E-2</v>
      </c>
      <c r="BK88" s="3705">
        <v>2.5313648231039019E-2</v>
      </c>
      <c r="BL88" s="3705">
        <v>2.4572243065229243E-2</v>
      </c>
      <c r="BM88" s="3705">
        <v>2.1672410818751892E-2</v>
      </c>
      <c r="BN88" s="3705">
        <v>2.1218283462439813E-2</v>
      </c>
      <c r="BO88" s="3705">
        <v>1.5596380641522805E-2</v>
      </c>
      <c r="BP88" s="3705">
        <v>1.2829979933855309E-2</v>
      </c>
      <c r="BQ88" s="3705">
        <v>1.1436141228281689E-2</v>
      </c>
      <c r="BR88" s="3705">
        <v>1.4387386865682594E-2</v>
      </c>
      <c r="BS88" s="3705">
        <v>1.4437344212032611E-2</v>
      </c>
      <c r="BT88" s="3705">
        <v>1.6608563912563552E-2</v>
      </c>
      <c r="BU88" s="3705">
        <v>2.4971293677094684E-2</v>
      </c>
      <c r="BV88" s="3705">
        <v>2.3366904565122044E-2</v>
      </c>
      <c r="BW88" s="3705">
        <v>2.5313648231039019E-2</v>
      </c>
      <c r="BX88" s="3705">
        <v>2.4572243065229243E-2</v>
      </c>
      <c r="BY88" s="3705">
        <v>2.1672410818751892E-2</v>
      </c>
      <c r="BZ88" s="3705">
        <v>2.1218283462439813E-2</v>
      </c>
      <c r="CA88" s="3705">
        <v>1.5596380641522805E-2</v>
      </c>
      <c r="CB88" s="3704">
        <v>1.2829979933855309E-2</v>
      </c>
    </row>
    <row r="89" spans="18:80" ht="30">
      <c r="R89" s="3521">
        <f t="shared" si="50"/>
        <v>84</v>
      </c>
      <c r="S89" s="3522" t="s">
        <v>3155</v>
      </c>
      <c r="T89" s="3523" t="s">
        <v>3345</v>
      </c>
      <c r="U89" s="3524">
        <v>999998</v>
      </c>
      <c r="V89" s="3524">
        <v>999998</v>
      </c>
      <c r="W89" s="3524">
        <v>2000002</v>
      </c>
      <c r="X89" s="3547" t="s">
        <v>3150</v>
      </c>
      <c r="Y89" s="3547" t="s">
        <v>3150</v>
      </c>
      <c r="Z89" s="3547" t="s">
        <v>3150</v>
      </c>
      <c r="AA89" s="3538">
        <v>0</v>
      </c>
      <c r="AB89" s="3538">
        <v>0</v>
      </c>
      <c r="AC89" s="3538">
        <v>0</v>
      </c>
      <c r="AD89" s="3539">
        <v>1058000</v>
      </c>
      <c r="AE89" s="3539">
        <v>949000</v>
      </c>
      <c r="AF89" s="3539">
        <v>0</v>
      </c>
      <c r="AG89" s="3539">
        <v>0</v>
      </c>
      <c r="AH89" s="3539">
        <v>0</v>
      </c>
      <c r="AI89" s="3539">
        <v>0</v>
      </c>
      <c r="AJ89" s="3540" t="s">
        <v>3151</v>
      </c>
      <c r="AK89" s="3529" t="s">
        <v>3167</v>
      </c>
      <c r="AL89" s="3529" t="s">
        <v>880</v>
      </c>
      <c r="AM89" s="3602" t="s">
        <v>880</v>
      </c>
      <c r="AN89" s="3530"/>
      <c r="AO89" s="3530"/>
      <c r="AP89" s="3530"/>
      <c r="AQ89" s="3530"/>
      <c r="AR89" s="3530"/>
      <c r="AS89" s="3530"/>
      <c r="AT89" s="3530">
        <f>AD89</f>
        <v>1058000</v>
      </c>
      <c r="AU89" s="3530">
        <f>AE89</f>
        <v>949000</v>
      </c>
      <c r="AV89" s="3530">
        <f t="shared" si="56"/>
        <v>0</v>
      </c>
      <c r="AW89" s="3530">
        <f t="shared" si="57"/>
        <v>0</v>
      </c>
      <c r="AX89" s="3531" t="s">
        <v>3346</v>
      </c>
      <c r="AY89" s="3532">
        <f t="shared" si="51"/>
        <v>84</v>
      </c>
      <c r="AZ89" s="3532"/>
      <c r="BC89" s="3673"/>
      <c r="BD89" s="3603" t="s">
        <v>1520</v>
      </c>
      <c r="BE89" s="3705">
        <v>0.12865658881816902</v>
      </c>
      <c r="BF89" s="3705">
        <v>0.16185810223892919</v>
      </c>
      <c r="BG89" s="3705">
        <v>0.16242012238536688</v>
      </c>
      <c r="BH89" s="3705">
        <v>0.18684634401633995</v>
      </c>
      <c r="BI89" s="3705">
        <v>0.2809270538673152</v>
      </c>
      <c r="BJ89" s="3705">
        <v>0.26287767635762299</v>
      </c>
      <c r="BK89" s="3705">
        <v>0.28477854259918894</v>
      </c>
      <c r="BL89" s="3705">
        <v>0.27643773448382897</v>
      </c>
      <c r="BM89" s="3705">
        <v>0.2438146217109588</v>
      </c>
      <c r="BN89" s="3705">
        <v>0.23870568895244787</v>
      </c>
      <c r="BO89" s="3705">
        <v>0.17545928221713156</v>
      </c>
      <c r="BP89" s="3705">
        <v>0.14433727425587223</v>
      </c>
      <c r="BQ89" s="3705">
        <v>0.12865658881816902</v>
      </c>
      <c r="BR89" s="3705">
        <v>0.16185810223892919</v>
      </c>
      <c r="BS89" s="3705">
        <v>0.16242012238536688</v>
      </c>
      <c r="BT89" s="3705">
        <v>0.18684634401633995</v>
      </c>
      <c r="BU89" s="3705">
        <v>0.2809270538673152</v>
      </c>
      <c r="BV89" s="3705">
        <v>0.26287767635762299</v>
      </c>
      <c r="BW89" s="3705">
        <v>0.28477854259918894</v>
      </c>
      <c r="BX89" s="3705">
        <v>0.27643773448382897</v>
      </c>
      <c r="BY89" s="3705">
        <v>0.2438146217109588</v>
      </c>
      <c r="BZ89" s="3705">
        <v>0.23870568895244787</v>
      </c>
      <c r="CA89" s="3705">
        <v>0.17545928221713156</v>
      </c>
      <c r="CB89" s="3704">
        <v>0.14433727425587223</v>
      </c>
    </row>
    <row r="90" spans="18:80" ht="60">
      <c r="R90" s="3521">
        <f t="shared" si="50"/>
        <v>85</v>
      </c>
      <c r="S90" s="3522" t="s">
        <v>3130</v>
      </c>
      <c r="T90" s="3523" t="s">
        <v>3347</v>
      </c>
      <c r="U90" s="3524">
        <v>150000</v>
      </c>
      <c r="V90" s="3524">
        <v>149999</v>
      </c>
      <c r="W90" s="3524">
        <v>150000</v>
      </c>
      <c r="X90" s="3547" t="s">
        <v>3150</v>
      </c>
      <c r="Y90" s="3547" t="s">
        <v>3150</v>
      </c>
      <c r="Z90" s="3547" t="s">
        <v>3150</v>
      </c>
      <c r="AA90" s="3607">
        <v>0</v>
      </c>
      <c r="AB90" s="3607">
        <v>0</v>
      </c>
      <c r="AC90" s="3607">
        <v>0</v>
      </c>
      <c r="AD90" s="3608">
        <v>0</v>
      </c>
      <c r="AE90" s="3608">
        <v>0</v>
      </c>
      <c r="AF90" s="3608">
        <v>0</v>
      </c>
      <c r="AG90" s="3608">
        <v>0</v>
      </c>
      <c r="AH90" s="3608">
        <v>0</v>
      </c>
      <c r="AI90" s="3608">
        <v>0</v>
      </c>
      <c r="AJ90" s="3540" t="s">
        <v>3151</v>
      </c>
      <c r="AK90" s="3529"/>
      <c r="AL90" s="3529" t="s">
        <v>880</v>
      </c>
      <c r="AM90" s="3529" t="s">
        <v>3152</v>
      </c>
      <c r="AN90" s="3530">
        <f t="shared" ref="AN90:AN122" si="66">IF(AA90&gt;0,AA90*(VLOOKUP($AM90,$AG$129:$AI$137,2,FALSE)),IF($AM90=$AG$137,$AH$137,X90*(VLOOKUP($AM90,$AG$129:$AI$137,2,FALSE))))</f>
        <v>0</v>
      </c>
      <c r="AO90" s="3530">
        <f t="shared" ref="AO90:AO122" si="67">IF(AA90&gt;0,AA90*(VLOOKUP($AM90,$AG$129:$AI$137,3,FALSE)),IF($AM90=$AG$137,$AH$137,X90*(VLOOKUP($AM90,$AG$129:$AI$137,3,FALSE))))</f>
        <v>0</v>
      </c>
      <c r="AP90" s="3530">
        <f t="shared" ref="AP90:AP122" si="68">IF(AB90&gt;0,AB90*(VLOOKUP($AM90,$AG$129:$AI$137,2,FALSE)),IF($AM90=$AG$137,$AH$137,Y90*(VLOOKUP($AM90,$AG$129:$AI$137,2,FALSE))))</f>
        <v>0</v>
      </c>
      <c r="AQ90" s="3530">
        <f t="shared" ref="AQ90:AQ122" si="69">IF(AB90&gt;0,AB90*(VLOOKUP($AM90,$AG$129:$AI$137,3,FALSE)),IF($AM90=$AG$137,$AH$137,Y90*(VLOOKUP($AM90,$AG$129:$AI$137,3,FALSE))))</f>
        <v>0</v>
      </c>
      <c r="AR90" s="3530">
        <f t="shared" ref="AR90:AR122" si="70">IF(AC90&gt;0,AC90*(VLOOKUP($AM90,$AG$129:$AI$137,2,FALSE)),IF($AM90=$AG$137,$AH$137,Z90*(VLOOKUP($AM90,$AG$129:$AI$137,2,FALSE))))</f>
        <v>0</v>
      </c>
      <c r="AS90" s="3530">
        <f t="shared" ref="AS90:AS122" si="71">IF(AC90&gt;0,AC90*(VLOOKUP($AM90,$AG$129:$AI$137,3,FALSE)),IF($AM90=$AG$137,$AH$137,Z90*(VLOOKUP($AM90,$AG$129:$AI$137,3,FALSE))))</f>
        <v>0</v>
      </c>
      <c r="AT90" s="3609">
        <f t="shared" ref="AT90:AT122" si="72">IF($AM90=$AG$129,(AD90)*$AH$129,IF($AM90=$AG$130,(AD90)*$AH$130,IF($AM90=$AG$131,(AD90)*$AH$131,IF($AM90=$AG$134,(AD90)*$AH$134,IF($AM90=$AG$135,(AD90)*$AH$135,IF($AM90=$AG$136,(AD90)*$AH$136,IF(AM90=$AM$10,0,0)))))))</f>
        <v>0</v>
      </c>
      <c r="AU90" s="3609">
        <f t="shared" ref="AU90:AU122" si="73">IF($AM90=$AG$129,(AD90)*$AI$129,IF($AM90=$AG$130,(AD90)*$AI$130,IF($AM90=$AG$131,(AD90)*$AI$131,IF($AM90=$AG$134,(AD90)*$AI$134,IF($AM90=$AG$135,(AD90)*$AI$135,IF($AM90=$AG$136,(AD90)*$AI$136,IF(AM90=$AM$10,0,0)))))))</f>
        <v>0</v>
      </c>
      <c r="AV90" s="3609">
        <f t="shared" si="56"/>
        <v>0</v>
      </c>
      <c r="AW90" s="3609">
        <f t="shared" si="57"/>
        <v>0</v>
      </c>
      <c r="AX90" s="3531" t="s">
        <v>3348</v>
      </c>
      <c r="AY90" s="3532">
        <f t="shared" si="51"/>
        <v>85</v>
      </c>
      <c r="AZ90" s="3532"/>
      <c r="BC90" s="3673"/>
      <c r="BD90" s="3603" t="s">
        <v>1519</v>
      </c>
      <c r="BE90" s="3705">
        <v>0.21442764803028169</v>
      </c>
      <c r="BF90" s="3705">
        <v>0.26976350373154862</v>
      </c>
      <c r="BG90" s="3705">
        <v>0.27070020397561145</v>
      </c>
      <c r="BH90" s="3705">
        <v>0.3114105733605666</v>
      </c>
      <c r="BI90" s="3705">
        <v>0.46821175644552532</v>
      </c>
      <c r="BJ90" s="3705">
        <v>0.4381294605960383</v>
      </c>
      <c r="BK90" s="3705">
        <v>0.47463090433198157</v>
      </c>
      <c r="BL90" s="3705">
        <v>0.46072955747304828</v>
      </c>
      <c r="BM90" s="3705">
        <v>0.406357702851598</v>
      </c>
      <c r="BN90" s="3705">
        <v>0.39784281492074647</v>
      </c>
      <c r="BO90" s="3705">
        <v>0.29243213702855259</v>
      </c>
      <c r="BP90" s="3705">
        <v>0.24056212375978703</v>
      </c>
      <c r="BQ90" s="3705">
        <v>0.21442764803028169</v>
      </c>
      <c r="BR90" s="3705">
        <v>0.26976350373154862</v>
      </c>
      <c r="BS90" s="3705">
        <v>0.27070020397561145</v>
      </c>
      <c r="BT90" s="3705">
        <v>0.3114105733605666</v>
      </c>
      <c r="BU90" s="3705">
        <v>0.46821175644552532</v>
      </c>
      <c r="BV90" s="3705">
        <v>0.4381294605960383</v>
      </c>
      <c r="BW90" s="3705">
        <v>0.47463090433198157</v>
      </c>
      <c r="BX90" s="3705">
        <v>0.46072955747304828</v>
      </c>
      <c r="BY90" s="3705">
        <v>0.406357702851598</v>
      </c>
      <c r="BZ90" s="3705">
        <v>0.39784281492074647</v>
      </c>
      <c r="CA90" s="3705">
        <v>0.29243213702855259</v>
      </c>
      <c r="CB90" s="3704">
        <v>0.24056212375978703</v>
      </c>
    </row>
    <row r="91" spans="18:80" ht="75">
      <c r="R91" s="3521">
        <f t="shared" si="50"/>
        <v>86</v>
      </c>
      <c r="S91" s="3522" t="s">
        <v>3144</v>
      </c>
      <c r="T91" s="3523" t="s">
        <v>3349</v>
      </c>
      <c r="U91" s="3524">
        <v>5798065</v>
      </c>
      <c r="V91" s="3524">
        <v>3168636</v>
      </c>
      <c r="W91" s="3524">
        <v>2704701</v>
      </c>
      <c r="X91" s="3525">
        <f t="shared" ref="X91:Z113" si="74">U91*$T$4*$T$3</f>
        <v>11727.427878481818</v>
      </c>
      <c r="Y91" s="3525">
        <f t="shared" si="74"/>
        <v>6409.0261428875183</v>
      </c>
      <c r="Z91" s="3525">
        <f t="shared" si="74"/>
        <v>5470.6502790771847</v>
      </c>
      <c r="AA91" s="3607">
        <v>10000</v>
      </c>
      <c r="AB91" s="3607">
        <v>20000</v>
      </c>
      <c r="AC91" s="3607">
        <v>20000</v>
      </c>
      <c r="AD91" s="3608">
        <v>0</v>
      </c>
      <c r="AE91" s="3608">
        <v>0</v>
      </c>
      <c r="AF91" s="3608">
        <v>54081</v>
      </c>
      <c r="AG91" s="3608">
        <v>54081</v>
      </c>
      <c r="AH91" s="3608">
        <v>0</v>
      </c>
      <c r="AI91" s="3608">
        <v>0</v>
      </c>
      <c r="AJ91" s="3540"/>
      <c r="AK91" s="3529"/>
      <c r="AL91" s="3529" t="s">
        <v>839</v>
      </c>
      <c r="AM91" s="3529" t="s">
        <v>839</v>
      </c>
      <c r="AN91" s="3530">
        <f t="shared" si="66"/>
        <v>4693.5076159999999</v>
      </c>
      <c r="AO91" s="3530">
        <f t="shared" si="67"/>
        <v>1485.7161679999999</v>
      </c>
      <c r="AP91" s="3530">
        <f t="shared" si="68"/>
        <v>9387.0152319999997</v>
      </c>
      <c r="AQ91" s="3530">
        <f t="shared" si="69"/>
        <v>2971.4323359999999</v>
      </c>
      <c r="AR91" s="3530">
        <f t="shared" si="70"/>
        <v>9387.0152319999997</v>
      </c>
      <c r="AS91" s="3530">
        <f t="shared" si="71"/>
        <v>2971.4323359999999</v>
      </c>
      <c r="AT91" s="3609">
        <f t="shared" si="72"/>
        <v>0</v>
      </c>
      <c r="AU91" s="3609">
        <f t="shared" si="73"/>
        <v>0</v>
      </c>
      <c r="AV91" s="3609">
        <f t="shared" si="56"/>
        <v>0</v>
      </c>
      <c r="AW91" s="3609">
        <f t="shared" si="57"/>
        <v>0</v>
      </c>
      <c r="AX91" s="3531" t="s">
        <v>3350</v>
      </c>
      <c r="AY91" s="3532">
        <f t="shared" si="51"/>
        <v>86</v>
      </c>
      <c r="AZ91" s="3532"/>
      <c r="BC91" s="3673"/>
      <c r="BD91" s="3603" t="s">
        <v>1518</v>
      </c>
      <c r="BE91" s="3705">
        <v>0.64262058661619725</v>
      </c>
      <c r="BF91" s="3705">
        <v>0.55039416044741896</v>
      </c>
      <c r="BG91" s="3705">
        <v>0.54883299337398084</v>
      </c>
      <c r="BH91" s="3705">
        <v>0.480982377732389</v>
      </c>
      <c r="BI91" s="3705">
        <v>0.21964707259079119</v>
      </c>
      <c r="BJ91" s="3705">
        <v>0.26978423233993615</v>
      </c>
      <c r="BK91" s="3705">
        <v>0.20894849278003069</v>
      </c>
      <c r="BL91" s="3705">
        <v>0.23211740421158622</v>
      </c>
      <c r="BM91" s="3705">
        <v>0.32273716191400331</v>
      </c>
      <c r="BN91" s="3705">
        <v>0.33692864179875598</v>
      </c>
      <c r="BO91" s="3705">
        <v>0.5126131049524123</v>
      </c>
      <c r="BP91" s="3705">
        <v>0.59906312706702158</v>
      </c>
      <c r="BQ91" s="3705">
        <v>0.64262058661619725</v>
      </c>
      <c r="BR91" s="3705">
        <v>0.55039416044741896</v>
      </c>
      <c r="BS91" s="3705">
        <v>0.54883299337398084</v>
      </c>
      <c r="BT91" s="3705">
        <v>0.480982377732389</v>
      </c>
      <c r="BU91" s="3705">
        <v>0.21964707259079119</v>
      </c>
      <c r="BV91" s="3705">
        <v>0.26978423233993615</v>
      </c>
      <c r="BW91" s="3705">
        <v>0.20894849278003069</v>
      </c>
      <c r="BX91" s="3705">
        <v>0.23211740421158622</v>
      </c>
      <c r="BY91" s="3705">
        <v>0.32273716191400331</v>
      </c>
      <c r="BZ91" s="3705">
        <v>0.33692864179875598</v>
      </c>
      <c r="CA91" s="3705">
        <v>0.5126131049524123</v>
      </c>
      <c r="CB91" s="3704">
        <v>0.59906312706702158</v>
      </c>
    </row>
    <row r="92" spans="18:80" ht="25.5">
      <c r="R92" s="3521">
        <f t="shared" si="50"/>
        <v>87</v>
      </c>
      <c r="S92" s="3522" t="s">
        <v>3130</v>
      </c>
      <c r="T92" s="3523" t="s">
        <v>3352</v>
      </c>
      <c r="U92" s="3524">
        <v>0</v>
      </c>
      <c r="V92" s="3524">
        <v>14891744</v>
      </c>
      <c r="W92" s="3524">
        <v>0</v>
      </c>
      <c r="X92" s="3525">
        <f t="shared" si="74"/>
        <v>0</v>
      </c>
      <c r="Y92" s="3525">
        <f t="shared" si="74"/>
        <v>30120.713331915798</v>
      </c>
      <c r="Z92" s="3525">
        <f t="shared" si="74"/>
        <v>0</v>
      </c>
      <c r="AA92" s="3607">
        <v>0</v>
      </c>
      <c r="AB92" s="3607">
        <v>0</v>
      </c>
      <c r="AC92" s="3607">
        <v>0</v>
      </c>
      <c r="AD92" s="3608">
        <v>0</v>
      </c>
      <c r="AE92" s="3608">
        <v>0</v>
      </c>
      <c r="AF92" s="3608">
        <v>0</v>
      </c>
      <c r="AG92" s="3608">
        <v>0</v>
      </c>
      <c r="AH92" s="3608">
        <v>0</v>
      </c>
      <c r="AI92" s="3608">
        <v>0</v>
      </c>
      <c r="AJ92" s="3540"/>
      <c r="AK92" s="3529"/>
      <c r="AL92" s="3529" t="s">
        <v>3132</v>
      </c>
      <c r="AM92" s="3529" t="s">
        <v>3133</v>
      </c>
      <c r="AN92" s="3530">
        <f t="shared" si="66"/>
        <v>0</v>
      </c>
      <c r="AO92" s="3530">
        <f t="shared" si="67"/>
        <v>0</v>
      </c>
      <c r="AP92" s="3530">
        <f t="shared" si="68"/>
        <v>19397.739385753775</v>
      </c>
      <c r="AQ92" s="3530">
        <f t="shared" si="69"/>
        <v>0</v>
      </c>
      <c r="AR92" s="3530">
        <f t="shared" si="70"/>
        <v>0</v>
      </c>
      <c r="AS92" s="3530">
        <f t="shared" si="71"/>
        <v>0</v>
      </c>
      <c r="AT92" s="3609">
        <f t="shared" si="72"/>
        <v>0</v>
      </c>
      <c r="AU92" s="3609">
        <f t="shared" si="73"/>
        <v>0</v>
      </c>
      <c r="AV92" s="3609">
        <f t="shared" si="56"/>
        <v>0</v>
      </c>
      <c r="AW92" s="3609">
        <f t="shared" si="57"/>
        <v>0</v>
      </c>
      <c r="AX92" s="3531" t="s">
        <v>3134</v>
      </c>
      <c r="AY92" s="3532">
        <f t="shared" si="51"/>
        <v>87</v>
      </c>
      <c r="AZ92" s="3532"/>
      <c r="BC92" s="3673"/>
      <c r="CB92" s="3672"/>
    </row>
    <row r="93" spans="18:80">
      <c r="R93" s="3521">
        <f t="shared" si="50"/>
        <v>88</v>
      </c>
      <c r="S93" s="3522" t="s">
        <v>3130</v>
      </c>
      <c r="T93" s="3523" t="s">
        <v>3353</v>
      </c>
      <c r="U93" s="3524">
        <v>868123</v>
      </c>
      <c r="V93" s="3524">
        <v>1813667</v>
      </c>
      <c r="W93" s="3524">
        <v>1450001</v>
      </c>
      <c r="X93" s="3525">
        <f t="shared" si="74"/>
        <v>1755.9047496278968</v>
      </c>
      <c r="Y93" s="3525">
        <f t="shared" si="74"/>
        <v>3668.4047071018495</v>
      </c>
      <c r="Z93" s="3525">
        <f t="shared" si="74"/>
        <v>2932.8374468424408</v>
      </c>
      <c r="AA93" s="3607">
        <v>0</v>
      </c>
      <c r="AB93" s="3607">
        <v>0</v>
      </c>
      <c r="AC93" s="3607">
        <v>0</v>
      </c>
      <c r="AD93" s="3608">
        <v>0</v>
      </c>
      <c r="AE93" s="3608">
        <v>0</v>
      </c>
      <c r="AF93" s="3608">
        <v>0</v>
      </c>
      <c r="AG93" s="3608">
        <v>0</v>
      </c>
      <c r="AH93" s="3608">
        <v>0</v>
      </c>
      <c r="AI93" s="3608">
        <v>0</v>
      </c>
      <c r="AJ93" s="3540"/>
      <c r="AK93" s="3529"/>
      <c r="AL93" s="3529" t="s">
        <v>3132</v>
      </c>
      <c r="AM93" s="3529" t="s">
        <v>3133</v>
      </c>
      <c r="AN93" s="3530">
        <f t="shared" si="66"/>
        <v>1130.8026587603656</v>
      </c>
      <c r="AO93" s="3530">
        <f t="shared" si="67"/>
        <v>0</v>
      </c>
      <c r="AP93" s="3530">
        <f t="shared" si="68"/>
        <v>2362.452631373591</v>
      </c>
      <c r="AQ93" s="3530">
        <f t="shared" si="69"/>
        <v>0</v>
      </c>
      <c r="AR93" s="3530">
        <f t="shared" si="70"/>
        <v>1888.747315766532</v>
      </c>
      <c r="AS93" s="3530">
        <f t="shared" si="71"/>
        <v>0</v>
      </c>
      <c r="AT93" s="3609">
        <f t="shared" si="72"/>
        <v>0</v>
      </c>
      <c r="AU93" s="3609">
        <f t="shared" si="73"/>
        <v>0</v>
      </c>
      <c r="AV93" s="3609">
        <f t="shared" si="56"/>
        <v>0</v>
      </c>
      <c r="AW93" s="3609">
        <f t="shared" si="57"/>
        <v>0</v>
      </c>
      <c r="AX93" s="3531" t="s">
        <v>3134</v>
      </c>
      <c r="AY93" s="3532">
        <f t="shared" si="51"/>
        <v>88</v>
      </c>
      <c r="AZ93" s="3532"/>
      <c r="BC93" s="3673"/>
      <c r="BD93" s="3603" t="s">
        <v>3431</v>
      </c>
      <c r="CB93" s="3672"/>
    </row>
    <row r="94" spans="18:80">
      <c r="R94" s="3521">
        <f t="shared" si="50"/>
        <v>89</v>
      </c>
      <c r="S94" s="3522" t="s">
        <v>3130</v>
      </c>
      <c r="T94" s="3523" t="s">
        <v>3354</v>
      </c>
      <c r="U94" s="3524">
        <v>637698</v>
      </c>
      <c r="V94" s="3524">
        <v>1967828</v>
      </c>
      <c r="W94" s="3524">
        <v>4365255</v>
      </c>
      <c r="X94" s="3525">
        <f t="shared" si="74"/>
        <v>1289.8367478205398</v>
      </c>
      <c r="Y94" s="3525">
        <f t="shared" si="74"/>
        <v>3980.2177014671483</v>
      </c>
      <c r="Z94" s="3525">
        <f t="shared" si="74"/>
        <v>8829.3617238996376</v>
      </c>
      <c r="AA94" s="3607">
        <v>0</v>
      </c>
      <c r="AB94" s="3607">
        <v>0</v>
      </c>
      <c r="AC94" s="3607">
        <v>0</v>
      </c>
      <c r="AD94" s="3608">
        <v>0</v>
      </c>
      <c r="AE94" s="3608">
        <v>0</v>
      </c>
      <c r="AF94" s="3608">
        <v>0</v>
      </c>
      <c r="AG94" s="3608">
        <v>0</v>
      </c>
      <c r="AH94" s="3608">
        <v>0</v>
      </c>
      <c r="AI94" s="3608">
        <v>0</v>
      </c>
      <c r="AJ94" s="3540"/>
      <c r="AK94" s="3529"/>
      <c r="AL94" s="3529" t="s">
        <v>3132</v>
      </c>
      <c r="AM94" s="3529" t="s">
        <v>3133</v>
      </c>
      <c r="AN94" s="3530">
        <f t="shared" si="66"/>
        <v>830.65486559642761</v>
      </c>
      <c r="AO94" s="3530">
        <f t="shared" si="67"/>
        <v>0</v>
      </c>
      <c r="AP94" s="3530">
        <f t="shared" si="68"/>
        <v>2563.2601997448437</v>
      </c>
      <c r="AQ94" s="3530">
        <f t="shared" si="69"/>
        <v>0</v>
      </c>
      <c r="AR94" s="3530">
        <f t="shared" si="70"/>
        <v>5686.1089501913666</v>
      </c>
      <c r="AS94" s="3530">
        <f t="shared" si="71"/>
        <v>0</v>
      </c>
      <c r="AT94" s="3609">
        <f t="shared" si="72"/>
        <v>0</v>
      </c>
      <c r="AU94" s="3609">
        <f t="shared" si="73"/>
        <v>0</v>
      </c>
      <c r="AV94" s="3609">
        <f t="shared" si="56"/>
        <v>0</v>
      </c>
      <c r="AW94" s="3609">
        <f t="shared" si="57"/>
        <v>0</v>
      </c>
      <c r="AX94" s="3531" t="s">
        <v>3134</v>
      </c>
      <c r="AY94" s="3532">
        <f t="shared" si="51"/>
        <v>89</v>
      </c>
      <c r="AZ94" s="3532"/>
      <c r="BC94" s="3673"/>
      <c r="BD94" s="3603" t="s">
        <v>1522</v>
      </c>
      <c r="BE94" s="3705">
        <v>0.14161939139944588</v>
      </c>
      <c r="BF94" s="3705">
        <v>0.14074995319008432</v>
      </c>
      <c r="BG94" s="3705">
        <v>0.1768079648734909</v>
      </c>
      <c r="BH94" s="3705">
        <v>0.21454824164413983</v>
      </c>
      <c r="BI94" s="3705">
        <v>0.27434525755333877</v>
      </c>
      <c r="BJ94" s="3705">
        <v>0.42132241097115136</v>
      </c>
      <c r="BK94" s="3705">
        <v>0.47918816324733166</v>
      </c>
      <c r="BL94" s="3705">
        <v>0.45960702312623047</v>
      </c>
      <c r="BM94" s="3705">
        <v>0.44609248853408484</v>
      </c>
      <c r="BN94" s="3705">
        <v>0.29114628937911879</v>
      </c>
      <c r="BO94" s="3705">
        <v>0.22594116611783113</v>
      </c>
      <c r="BP94" s="3705">
        <v>0.17416868676218009</v>
      </c>
      <c r="BQ94" s="3705">
        <v>0.14161939139944588</v>
      </c>
      <c r="BR94" s="3705">
        <v>0.14074995319008432</v>
      </c>
      <c r="BS94" s="3705">
        <v>0.1768079648734909</v>
      </c>
      <c r="BT94" s="3705">
        <v>0.21454824164413983</v>
      </c>
      <c r="BU94" s="3705">
        <v>0.27434525755333877</v>
      </c>
      <c r="BV94" s="3705">
        <v>0.42132241097115136</v>
      </c>
      <c r="BW94" s="3705">
        <v>0.47918816324733166</v>
      </c>
      <c r="BX94" s="3705">
        <v>0.45960702312623047</v>
      </c>
      <c r="BY94" s="3705">
        <v>0.44609248853408484</v>
      </c>
      <c r="BZ94" s="3705">
        <v>0.29114628937911879</v>
      </c>
      <c r="CA94" s="3705">
        <v>0.22594116611783113</v>
      </c>
      <c r="CB94" s="3704">
        <v>0.17416868676218009</v>
      </c>
    </row>
    <row r="95" spans="18:80">
      <c r="R95" s="3521">
        <f t="shared" si="50"/>
        <v>90</v>
      </c>
      <c r="S95" s="3522" t="s">
        <v>3130</v>
      </c>
      <c r="T95" s="3523" t="s">
        <v>3355</v>
      </c>
      <c r="U95" s="3524">
        <v>7976356</v>
      </c>
      <c r="V95" s="3524">
        <v>6264758</v>
      </c>
      <c r="W95" s="3524">
        <v>8788005</v>
      </c>
      <c r="X95" s="3525">
        <f t="shared" si="74"/>
        <v>16133.337539868169</v>
      </c>
      <c r="Y95" s="3525">
        <f t="shared" si="74"/>
        <v>12671.382197533487</v>
      </c>
      <c r="Z95" s="3525">
        <f t="shared" si="74"/>
        <v>17775.0154289815</v>
      </c>
      <c r="AA95" s="3607">
        <v>0</v>
      </c>
      <c r="AB95" s="3607">
        <v>0</v>
      </c>
      <c r="AC95" s="3607">
        <v>0</v>
      </c>
      <c r="AD95" s="3608">
        <v>0</v>
      </c>
      <c r="AE95" s="3608">
        <v>0</v>
      </c>
      <c r="AF95" s="3608">
        <v>0</v>
      </c>
      <c r="AG95" s="3608">
        <v>0</v>
      </c>
      <c r="AH95" s="3608">
        <v>0</v>
      </c>
      <c r="AI95" s="3608">
        <v>0</v>
      </c>
      <c r="AJ95" s="3540"/>
      <c r="AK95" s="3529"/>
      <c r="AL95" s="3529" t="s">
        <v>3132</v>
      </c>
      <c r="AM95" s="3529" t="s">
        <v>3133</v>
      </c>
      <c r="AN95" s="3530">
        <f t="shared" si="66"/>
        <v>10389.869375675102</v>
      </c>
      <c r="AO95" s="3530">
        <f t="shared" si="67"/>
        <v>0</v>
      </c>
      <c r="AP95" s="3530">
        <f t="shared" si="68"/>
        <v>8160.3701352115659</v>
      </c>
      <c r="AQ95" s="3530">
        <f t="shared" si="69"/>
        <v>0</v>
      </c>
      <c r="AR95" s="3530">
        <f t="shared" si="70"/>
        <v>11447.109936264087</v>
      </c>
      <c r="AS95" s="3530">
        <f t="shared" si="71"/>
        <v>0</v>
      </c>
      <c r="AT95" s="3609">
        <f t="shared" si="72"/>
        <v>0</v>
      </c>
      <c r="AU95" s="3609">
        <f t="shared" si="73"/>
        <v>0</v>
      </c>
      <c r="AV95" s="3609">
        <f t="shared" si="56"/>
        <v>0</v>
      </c>
      <c r="AW95" s="3609">
        <f t="shared" si="57"/>
        <v>0</v>
      </c>
      <c r="AX95" s="3531" t="s">
        <v>3134</v>
      </c>
      <c r="AY95" s="3532">
        <f t="shared" si="51"/>
        <v>90</v>
      </c>
      <c r="AZ95" s="3532"/>
      <c r="BC95" s="3673"/>
      <c r="BD95" s="3603" t="s">
        <v>1521</v>
      </c>
      <c r="BE95" s="3705">
        <v>0.2124290870991688</v>
      </c>
      <c r="BF95" s="3705">
        <v>0.21112492978512648</v>
      </c>
      <c r="BG95" s="3705">
        <v>0.26521194731023634</v>
      </c>
      <c r="BH95" s="3705">
        <v>0.32182236246620971</v>
      </c>
      <c r="BI95" s="3705">
        <v>0.41151788633000819</v>
      </c>
      <c r="BJ95" s="3705">
        <v>0.43048838535243145</v>
      </c>
      <c r="BK95" s="3705">
        <v>0.45798121189465779</v>
      </c>
      <c r="BL95" s="3705">
        <v>0.37359616481838764</v>
      </c>
      <c r="BM95" s="3705">
        <v>0.36664966162100376</v>
      </c>
      <c r="BN95" s="3705">
        <v>0.33096498443262629</v>
      </c>
      <c r="BO95" s="3705">
        <v>0.33891174917674666</v>
      </c>
      <c r="BP95" s="3705">
        <v>0.26125303014327012</v>
      </c>
      <c r="BQ95" s="3705">
        <v>0.2124290870991688</v>
      </c>
      <c r="BR95" s="3705">
        <v>0.21112492978512648</v>
      </c>
      <c r="BS95" s="3705">
        <v>0.26521194731023634</v>
      </c>
      <c r="BT95" s="3705">
        <v>0.32182236246620971</v>
      </c>
      <c r="BU95" s="3705">
        <v>0.41151788633000819</v>
      </c>
      <c r="BV95" s="3705">
        <v>0.43048838535243145</v>
      </c>
      <c r="BW95" s="3705">
        <v>0.45798121189465779</v>
      </c>
      <c r="BX95" s="3705">
        <v>0.37359616481838764</v>
      </c>
      <c r="BY95" s="3705">
        <v>0.36664966162100376</v>
      </c>
      <c r="BZ95" s="3705">
        <v>0.33096498443262629</v>
      </c>
      <c r="CA95" s="3705">
        <v>0.33891174917674666</v>
      </c>
      <c r="CB95" s="3704">
        <v>0.26125303014327012</v>
      </c>
    </row>
    <row r="96" spans="18:80">
      <c r="R96" s="3521">
        <f t="shared" si="50"/>
        <v>91</v>
      </c>
      <c r="S96" s="3522" t="s">
        <v>3130</v>
      </c>
      <c r="T96" s="3523" t="s">
        <v>3356</v>
      </c>
      <c r="U96" s="3524">
        <v>1000000</v>
      </c>
      <c r="V96" s="3524">
        <v>0</v>
      </c>
      <c r="W96" s="3524">
        <v>0</v>
      </c>
      <c r="X96" s="3525">
        <f t="shared" si="74"/>
        <v>2022.6451201360833</v>
      </c>
      <c r="Y96" s="3525">
        <f t="shared" si="74"/>
        <v>0</v>
      </c>
      <c r="Z96" s="3525">
        <f t="shared" si="74"/>
        <v>0</v>
      </c>
      <c r="AA96" s="3607">
        <v>0</v>
      </c>
      <c r="AB96" s="3607">
        <v>0</v>
      </c>
      <c r="AC96" s="3607">
        <v>0</v>
      </c>
      <c r="AD96" s="3608">
        <v>0</v>
      </c>
      <c r="AE96" s="3608">
        <v>0</v>
      </c>
      <c r="AF96" s="3608">
        <v>0</v>
      </c>
      <c r="AG96" s="3608">
        <v>0</v>
      </c>
      <c r="AH96" s="3608">
        <v>0</v>
      </c>
      <c r="AI96" s="3608">
        <v>0</v>
      </c>
      <c r="AJ96" s="3540"/>
      <c r="AK96" s="3529"/>
      <c r="AL96" s="3529" t="s">
        <v>3132</v>
      </c>
      <c r="AM96" s="3529" t="s">
        <v>3133</v>
      </c>
      <c r="AN96" s="3530">
        <f t="shared" si="66"/>
        <v>1302.5834573676377</v>
      </c>
      <c r="AO96" s="3530">
        <f t="shared" si="67"/>
        <v>0</v>
      </c>
      <c r="AP96" s="3530">
        <f t="shared" si="68"/>
        <v>0</v>
      </c>
      <c r="AQ96" s="3530">
        <f t="shared" si="69"/>
        <v>0</v>
      </c>
      <c r="AR96" s="3530">
        <f t="shared" si="70"/>
        <v>0</v>
      </c>
      <c r="AS96" s="3530">
        <f t="shared" si="71"/>
        <v>0</v>
      </c>
      <c r="AT96" s="3609">
        <f t="shared" si="72"/>
        <v>0</v>
      </c>
      <c r="AU96" s="3609">
        <f t="shared" si="73"/>
        <v>0</v>
      </c>
      <c r="AV96" s="3609">
        <f t="shared" si="56"/>
        <v>0</v>
      </c>
      <c r="AW96" s="3609">
        <f t="shared" si="57"/>
        <v>0</v>
      </c>
      <c r="AX96" s="3531" t="s">
        <v>3134</v>
      </c>
      <c r="AY96" s="3532">
        <f t="shared" si="51"/>
        <v>91</v>
      </c>
      <c r="AZ96" s="3532"/>
      <c r="BC96" s="3673"/>
      <c r="BD96" s="3603" t="s">
        <v>1520</v>
      </c>
      <c r="BE96" s="3705">
        <v>0.35404847849861465</v>
      </c>
      <c r="BF96" s="3705">
        <v>0.3518748829752108</v>
      </c>
      <c r="BG96" s="3705">
        <v>0.44201991218372721</v>
      </c>
      <c r="BH96" s="3705">
        <v>0.46362939588965046</v>
      </c>
      <c r="BI96" s="3705">
        <v>0.31413685611665304</v>
      </c>
      <c r="BJ96" s="3705">
        <v>0.14818920367641722</v>
      </c>
      <c r="BK96" s="3705">
        <v>6.2830624858010553E-2</v>
      </c>
      <c r="BL96" s="3705">
        <v>0.16679681205538191</v>
      </c>
      <c r="BM96" s="3705">
        <v>0.18725784984491151</v>
      </c>
      <c r="BN96" s="3705">
        <v>0.36393286172389844</v>
      </c>
      <c r="BO96" s="3705">
        <v>0.30973284840785864</v>
      </c>
      <c r="BP96" s="3705">
        <v>0.43542171690545023</v>
      </c>
      <c r="BQ96" s="3705">
        <v>0.35404847849861465</v>
      </c>
      <c r="BR96" s="3705">
        <v>0.3518748829752108</v>
      </c>
      <c r="BS96" s="3705">
        <v>0.44201991218372721</v>
      </c>
      <c r="BT96" s="3705">
        <v>0.46362939588965046</v>
      </c>
      <c r="BU96" s="3705">
        <v>0.31413685611665304</v>
      </c>
      <c r="BV96" s="3705">
        <v>0.14818920367641722</v>
      </c>
      <c r="BW96" s="3705">
        <v>6.2830624858010553E-2</v>
      </c>
      <c r="BX96" s="3705">
        <v>0.16679681205538191</v>
      </c>
      <c r="BY96" s="3705">
        <v>0.18725784984491151</v>
      </c>
      <c r="BZ96" s="3705">
        <v>0.36393286172389844</v>
      </c>
      <c r="CA96" s="3705">
        <v>0.30973284840785864</v>
      </c>
      <c r="CB96" s="3704">
        <v>0.43542171690545023</v>
      </c>
    </row>
    <row r="97" spans="18:80" ht="45">
      <c r="R97" s="3521">
        <f t="shared" si="50"/>
        <v>92</v>
      </c>
      <c r="S97" s="3522" t="s">
        <v>3130</v>
      </c>
      <c r="T97" s="3523" t="s">
        <v>3357</v>
      </c>
      <c r="U97" s="3524">
        <v>5554098</v>
      </c>
      <c r="V97" s="3524">
        <v>0</v>
      </c>
      <c r="W97" s="3524">
        <v>0</v>
      </c>
      <c r="X97" s="3525">
        <f t="shared" si="74"/>
        <v>11233.969216457581</v>
      </c>
      <c r="Y97" s="3525">
        <f t="shared" si="74"/>
        <v>0</v>
      </c>
      <c r="Z97" s="3525">
        <f t="shared" si="74"/>
        <v>0</v>
      </c>
      <c r="AA97" s="3607">
        <v>50000</v>
      </c>
      <c r="AB97" s="3607">
        <v>0</v>
      </c>
      <c r="AC97" s="3607">
        <v>0</v>
      </c>
      <c r="AD97" s="3608">
        <v>0</v>
      </c>
      <c r="AE97" s="3608">
        <v>0</v>
      </c>
      <c r="AF97" s="3608">
        <v>0</v>
      </c>
      <c r="AG97" s="3608">
        <v>0</v>
      </c>
      <c r="AH97" s="3608">
        <v>0</v>
      </c>
      <c r="AI97" s="3608">
        <v>0</v>
      </c>
      <c r="AK97" s="3529"/>
      <c r="AL97" s="3452" t="s">
        <v>3132</v>
      </c>
      <c r="AM97" s="3452" t="s">
        <v>3133</v>
      </c>
      <c r="AN97" s="3530">
        <f t="shared" si="66"/>
        <v>32200</v>
      </c>
      <c r="AO97" s="3530">
        <f t="shared" si="67"/>
        <v>0</v>
      </c>
      <c r="AP97" s="3530">
        <f t="shared" si="68"/>
        <v>0</v>
      </c>
      <c r="AQ97" s="3530">
        <f t="shared" si="69"/>
        <v>0</v>
      </c>
      <c r="AR97" s="3530">
        <f t="shared" si="70"/>
        <v>0</v>
      </c>
      <c r="AS97" s="3530">
        <f t="shared" si="71"/>
        <v>0</v>
      </c>
      <c r="AT97" s="3609">
        <f t="shared" si="72"/>
        <v>0</v>
      </c>
      <c r="AU97" s="3609">
        <f t="shared" si="73"/>
        <v>0</v>
      </c>
      <c r="AV97" s="3609">
        <f t="shared" si="56"/>
        <v>0</v>
      </c>
      <c r="AW97" s="3609">
        <f t="shared" si="57"/>
        <v>0</v>
      </c>
      <c r="AX97" s="3531" t="s">
        <v>3358</v>
      </c>
      <c r="AY97" s="3532">
        <f t="shared" si="51"/>
        <v>92</v>
      </c>
      <c r="AZ97" s="3532"/>
      <c r="BC97" s="3673"/>
      <c r="BD97" s="3603" t="s">
        <v>1519</v>
      </c>
      <c r="BE97" s="3705">
        <v>0.2919030430027707</v>
      </c>
      <c r="BF97" s="3705">
        <v>0.2962502340495784</v>
      </c>
      <c r="BG97" s="3705">
        <v>0.11596017563254551</v>
      </c>
      <c r="BH97" s="3705">
        <v>0</v>
      </c>
      <c r="BI97" s="3705">
        <v>0</v>
      </c>
      <c r="BJ97" s="3705">
        <v>0</v>
      </c>
      <c r="BK97" s="3705">
        <v>0</v>
      </c>
      <c r="BL97" s="3705">
        <v>0</v>
      </c>
      <c r="BM97" s="3705">
        <v>0</v>
      </c>
      <c r="BN97" s="3705">
        <v>1.3955864464356553E-2</v>
      </c>
      <c r="BO97" s="3705">
        <v>0.12541423629756357</v>
      </c>
      <c r="BP97" s="3705">
        <v>0.1291565661890996</v>
      </c>
      <c r="BQ97" s="3705">
        <v>0.2919030430027707</v>
      </c>
      <c r="BR97" s="3705">
        <v>0.2962502340495784</v>
      </c>
      <c r="BS97" s="3705">
        <v>0.11596017563254551</v>
      </c>
      <c r="BT97" s="3705">
        <v>0</v>
      </c>
      <c r="BU97" s="3705">
        <v>0</v>
      </c>
      <c r="BV97" s="3705">
        <v>0</v>
      </c>
      <c r="BW97" s="3705">
        <v>0</v>
      </c>
      <c r="BX97" s="3705">
        <v>0</v>
      </c>
      <c r="BY97" s="3705">
        <v>0</v>
      </c>
      <c r="BZ97" s="3705">
        <v>1.3955864464356553E-2</v>
      </c>
      <c r="CA97" s="3705">
        <v>0.12541423629756357</v>
      </c>
      <c r="CB97" s="3704">
        <v>0.1291565661890996</v>
      </c>
    </row>
    <row r="98" spans="18:80" ht="25.5">
      <c r="R98" s="3521">
        <f t="shared" si="50"/>
        <v>93</v>
      </c>
      <c r="S98" s="3522" t="s">
        <v>3130</v>
      </c>
      <c r="T98" s="3523" t="s">
        <v>3359</v>
      </c>
      <c r="U98" s="3524">
        <v>0</v>
      </c>
      <c r="V98" s="3524">
        <v>0</v>
      </c>
      <c r="W98" s="3524">
        <v>19500000</v>
      </c>
      <c r="X98" s="3525">
        <f t="shared" si="74"/>
        <v>0</v>
      </c>
      <c r="Y98" s="3525">
        <f t="shared" si="74"/>
        <v>0</v>
      </c>
      <c r="Z98" s="3525">
        <f t="shared" si="74"/>
        <v>39441.579842653628</v>
      </c>
      <c r="AA98" s="3607">
        <v>0</v>
      </c>
      <c r="AB98" s="3607">
        <v>0</v>
      </c>
      <c r="AC98" s="3607">
        <v>0</v>
      </c>
      <c r="AD98" s="3608">
        <v>0</v>
      </c>
      <c r="AE98" s="3608">
        <v>0</v>
      </c>
      <c r="AF98" s="3608">
        <v>0</v>
      </c>
      <c r="AG98" s="3608">
        <v>0</v>
      </c>
      <c r="AH98" s="3608">
        <v>0</v>
      </c>
      <c r="AI98" s="3608">
        <v>0</v>
      </c>
      <c r="AJ98" s="3540"/>
      <c r="AK98" s="3529"/>
      <c r="AL98" s="3529" t="s">
        <v>3132</v>
      </c>
      <c r="AM98" s="3529" t="s">
        <v>3133</v>
      </c>
      <c r="AN98" s="3530">
        <f t="shared" si="66"/>
        <v>0</v>
      </c>
      <c r="AO98" s="3530">
        <f t="shared" si="67"/>
        <v>0</v>
      </c>
      <c r="AP98" s="3530">
        <f t="shared" si="68"/>
        <v>0</v>
      </c>
      <c r="AQ98" s="3530">
        <f t="shared" si="69"/>
        <v>0</v>
      </c>
      <c r="AR98" s="3530">
        <f t="shared" si="70"/>
        <v>25400.377418668937</v>
      </c>
      <c r="AS98" s="3530">
        <f t="shared" si="71"/>
        <v>0</v>
      </c>
      <c r="AT98" s="3609">
        <f t="shared" si="72"/>
        <v>0</v>
      </c>
      <c r="AU98" s="3609">
        <f t="shared" si="73"/>
        <v>0</v>
      </c>
      <c r="AV98" s="3609">
        <f t="shared" si="56"/>
        <v>0</v>
      </c>
      <c r="AW98" s="3609">
        <f t="shared" si="57"/>
        <v>0</v>
      </c>
      <c r="AX98" s="3531" t="s">
        <v>3134</v>
      </c>
      <c r="AY98" s="3532">
        <f t="shared" si="51"/>
        <v>93</v>
      </c>
      <c r="AZ98" s="3532"/>
      <c r="BC98" s="3673"/>
      <c r="CB98" s="3672"/>
    </row>
    <row r="99" spans="18:80" ht="25.5">
      <c r="R99" s="3521">
        <f t="shared" si="50"/>
        <v>94</v>
      </c>
      <c r="S99" s="3522" t="s">
        <v>3130</v>
      </c>
      <c r="T99" s="3523" t="s">
        <v>3360</v>
      </c>
      <c r="U99" s="3524">
        <v>299321</v>
      </c>
      <c r="V99" s="3524">
        <v>0</v>
      </c>
      <c r="W99" s="3524">
        <v>0</v>
      </c>
      <c r="X99" s="3525">
        <f t="shared" si="74"/>
        <v>605.42016000425258</v>
      </c>
      <c r="Y99" s="3525">
        <f t="shared" si="74"/>
        <v>0</v>
      </c>
      <c r="Z99" s="3525">
        <f t="shared" si="74"/>
        <v>0</v>
      </c>
      <c r="AA99" s="3607">
        <v>0</v>
      </c>
      <c r="AB99" s="3607">
        <v>0</v>
      </c>
      <c r="AC99" s="3607">
        <v>0</v>
      </c>
      <c r="AD99" s="3608">
        <v>0</v>
      </c>
      <c r="AE99" s="3608">
        <v>0</v>
      </c>
      <c r="AF99" s="3608">
        <v>0</v>
      </c>
      <c r="AG99" s="3608">
        <v>0</v>
      </c>
      <c r="AH99" s="3608">
        <v>0</v>
      </c>
      <c r="AI99" s="3608">
        <v>0</v>
      </c>
      <c r="AJ99" s="3540"/>
      <c r="AK99" s="3529"/>
      <c r="AL99" s="3529" t="s">
        <v>3132</v>
      </c>
      <c r="AM99" s="3529" t="s">
        <v>3133</v>
      </c>
      <c r="AN99" s="3530">
        <f t="shared" si="66"/>
        <v>389.89058304273868</v>
      </c>
      <c r="AO99" s="3530">
        <f t="shared" si="67"/>
        <v>0</v>
      </c>
      <c r="AP99" s="3530">
        <f t="shared" si="68"/>
        <v>0</v>
      </c>
      <c r="AQ99" s="3530">
        <f t="shared" si="69"/>
        <v>0</v>
      </c>
      <c r="AR99" s="3530">
        <f t="shared" si="70"/>
        <v>0</v>
      </c>
      <c r="AS99" s="3530">
        <f t="shared" si="71"/>
        <v>0</v>
      </c>
      <c r="AT99" s="3609">
        <f t="shared" si="72"/>
        <v>0</v>
      </c>
      <c r="AU99" s="3609">
        <f t="shared" si="73"/>
        <v>0</v>
      </c>
      <c r="AV99" s="3609">
        <f t="shared" si="56"/>
        <v>0</v>
      </c>
      <c r="AW99" s="3609">
        <f t="shared" si="57"/>
        <v>0</v>
      </c>
      <c r="AX99" s="3531" t="s">
        <v>3134</v>
      </c>
      <c r="AY99" s="3532">
        <f t="shared" si="51"/>
        <v>94</v>
      </c>
      <c r="AZ99" s="3532"/>
      <c r="BC99" s="3673"/>
      <c r="BD99" s="3603" t="s">
        <v>3430</v>
      </c>
      <c r="CB99" s="3672"/>
    </row>
    <row r="100" spans="18:80" ht="45">
      <c r="R100" s="3521">
        <f t="shared" si="50"/>
        <v>95</v>
      </c>
      <c r="S100" s="3522" t="s">
        <v>3130</v>
      </c>
      <c r="T100" s="3523" t="s">
        <v>3361</v>
      </c>
      <c r="U100" s="3524">
        <v>0</v>
      </c>
      <c r="V100" s="3524">
        <v>0</v>
      </c>
      <c r="W100" s="3524">
        <v>5000000</v>
      </c>
      <c r="X100" s="3525">
        <f t="shared" si="74"/>
        <v>0</v>
      </c>
      <c r="Y100" s="3525">
        <f t="shared" si="74"/>
        <v>0</v>
      </c>
      <c r="Z100" s="3525">
        <f t="shared" si="74"/>
        <v>10113.225600680416</v>
      </c>
      <c r="AA100" s="3607">
        <v>0</v>
      </c>
      <c r="AB100" s="3607">
        <v>0</v>
      </c>
      <c r="AC100" s="3607">
        <v>0</v>
      </c>
      <c r="AD100" s="3608">
        <v>0</v>
      </c>
      <c r="AE100" s="3608">
        <v>0</v>
      </c>
      <c r="AF100" s="3608">
        <v>0</v>
      </c>
      <c r="AG100" s="3608">
        <v>0</v>
      </c>
      <c r="AH100" s="3608">
        <v>0</v>
      </c>
      <c r="AI100" s="3608">
        <v>0</v>
      </c>
      <c r="AJ100" s="3540"/>
      <c r="AK100" s="3529"/>
      <c r="AL100" s="3529" t="s">
        <v>3132</v>
      </c>
      <c r="AM100" s="3529" t="s">
        <v>3133</v>
      </c>
      <c r="AN100" s="3530">
        <f t="shared" si="66"/>
        <v>0</v>
      </c>
      <c r="AO100" s="3530">
        <f t="shared" si="67"/>
        <v>0</v>
      </c>
      <c r="AP100" s="3530">
        <f t="shared" si="68"/>
        <v>0</v>
      </c>
      <c r="AQ100" s="3530">
        <f t="shared" si="69"/>
        <v>0</v>
      </c>
      <c r="AR100" s="3530">
        <f t="shared" si="70"/>
        <v>6512.9172868381884</v>
      </c>
      <c r="AS100" s="3530">
        <f t="shared" si="71"/>
        <v>0</v>
      </c>
      <c r="AT100" s="3609">
        <f t="shared" si="72"/>
        <v>0</v>
      </c>
      <c r="AU100" s="3609">
        <f t="shared" si="73"/>
        <v>0</v>
      </c>
      <c r="AV100" s="3609">
        <f t="shared" si="56"/>
        <v>0</v>
      </c>
      <c r="AW100" s="3609">
        <f t="shared" si="57"/>
        <v>0</v>
      </c>
      <c r="AX100" s="3531" t="s">
        <v>3362</v>
      </c>
      <c r="AY100" s="3532">
        <f t="shared" si="51"/>
        <v>95</v>
      </c>
      <c r="AZ100" s="3532"/>
      <c r="BC100" s="3673"/>
      <c r="BD100" s="3603" t="s">
        <v>1522</v>
      </c>
      <c r="BE100" s="3705">
        <v>0.19054406874169211</v>
      </c>
      <c r="BF100" s="3705">
        <v>0.17270388154618654</v>
      </c>
      <c r="BG100" s="3705">
        <v>0.20481090427530035</v>
      </c>
      <c r="BH100" s="3705">
        <v>0.2145948773623271</v>
      </c>
      <c r="BI100" s="3705">
        <v>0.25676747666276462</v>
      </c>
      <c r="BJ100" s="3705">
        <v>0.29060080678225081</v>
      </c>
      <c r="BK100" s="3705">
        <v>0.30543525528276461</v>
      </c>
      <c r="BL100" s="3705">
        <v>0.29854549850832013</v>
      </c>
      <c r="BM100" s="3705">
        <v>0.28828723140159979</v>
      </c>
      <c r="BN100" s="3705">
        <v>0.32623412601263896</v>
      </c>
      <c r="BO100" s="3705">
        <v>0.24558697509409513</v>
      </c>
      <c r="BP100" s="3705">
        <v>0.22383489249324834</v>
      </c>
      <c r="BQ100" s="3705">
        <v>0.19054406874169211</v>
      </c>
      <c r="BR100" s="3705">
        <v>0.17270388154618654</v>
      </c>
      <c r="BS100" s="3705">
        <v>0.20481090427530035</v>
      </c>
      <c r="BT100" s="3705">
        <v>0.2145948773623271</v>
      </c>
      <c r="BU100" s="3705">
        <v>0.25676747666276462</v>
      </c>
      <c r="BV100" s="3705">
        <v>0.29060080678225081</v>
      </c>
      <c r="BW100" s="3705">
        <v>0.30543525528276461</v>
      </c>
      <c r="BX100" s="3705">
        <v>0.29854549850832013</v>
      </c>
      <c r="BY100" s="3705">
        <v>0.28828723140159979</v>
      </c>
      <c r="BZ100" s="3705">
        <v>0.32623412601263896</v>
      </c>
      <c r="CA100" s="3705">
        <v>0.24558697509409513</v>
      </c>
      <c r="CB100" s="3704">
        <v>0.22383489249324834</v>
      </c>
    </row>
    <row r="101" spans="18:80" ht="45">
      <c r="R101" s="3521">
        <f t="shared" si="50"/>
        <v>96</v>
      </c>
      <c r="S101" s="3523" t="s">
        <v>3155</v>
      </c>
      <c r="T101" s="3523" t="s">
        <v>3363</v>
      </c>
      <c r="U101" s="3524">
        <v>2074003</v>
      </c>
      <c r="V101" s="3524">
        <v>2079010</v>
      </c>
      <c r="W101" s="3524">
        <v>2085001</v>
      </c>
      <c r="X101" s="3525">
        <f t="shared" si="74"/>
        <v>4194.9720470975972</v>
      </c>
      <c r="Y101" s="3525">
        <f t="shared" si="74"/>
        <v>4205.0994312141183</v>
      </c>
      <c r="Z101" s="3525">
        <f t="shared" si="74"/>
        <v>4217.2170981288536</v>
      </c>
      <c r="AA101" s="3607">
        <v>0</v>
      </c>
      <c r="AB101" s="3607">
        <v>0</v>
      </c>
      <c r="AC101" s="3607">
        <v>0</v>
      </c>
      <c r="AD101" s="3608">
        <v>3900000</v>
      </c>
      <c r="AE101" s="3608">
        <v>5700000</v>
      </c>
      <c r="AF101" s="3608">
        <v>0</v>
      </c>
      <c r="AG101" s="3608">
        <v>0</v>
      </c>
      <c r="AH101" s="3608"/>
      <c r="AI101" s="3608"/>
      <c r="AJ101" s="3540"/>
      <c r="AK101" s="3529"/>
      <c r="AL101" s="3529" t="s">
        <v>839</v>
      </c>
      <c r="AM101" s="3529" t="s">
        <v>839</v>
      </c>
      <c r="AN101" s="3530">
        <f t="shared" si="66"/>
        <v>1968.9133251959681</v>
      </c>
      <c r="AO101" s="3530">
        <f t="shared" si="67"/>
        <v>623.25377946809579</v>
      </c>
      <c r="AP101" s="3530">
        <f t="shared" si="68"/>
        <v>1973.666620644073</v>
      </c>
      <c r="AQ101" s="3530">
        <f t="shared" si="69"/>
        <v>624.75842130024193</v>
      </c>
      <c r="AR101" s="3530">
        <f t="shared" si="70"/>
        <v>1979.3540568393191</v>
      </c>
      <c r="AS101" s="3530">
        <f t="shared" si="71"/>
        <v>626.55876266560801</v>
      </c>
      <c r="AT101" s="3609">
        <f t="shared" si="72"/>
        <v>1830467.9702399997</v>
      </c>
      <c r="AU101" s="3609">
        <f t="shared" si="73"/>
        <v>579429.30552000005</v>
      </c>
      <c r="AV101" s="3609">
        <f t="shared" si="56"/>
        <v>2675299.3411199995</v>
      </c>
      <c r="AW101" s="3609">
        <f t="shared" si="57"/>
        <v>846858.21576000005</v>
      </c>
      <c r="AX101" s="3531" t="s">
        <v>3364</v>
      </c>
      <c r="AY101" s="3532">
        <f t="shared" si="51"/>
        <v>96</v>
      </c>
      <c r="AZ101" s="3532"/>
      <c r="BC101" s="3673"/>
      <c r="BD101" s="3603" t="s">
        <v>1521</v>
      </c>
      <c r="BE101" s="3705">
        <v>0.22258919105371985</v>
      </c>
      <c r="BF101" s="3705">
        <v>0.21889896984366056</v>
      </c>
      <c r="BG101" s="3705">
        <v>0.23354109735735826</v>
      </c>
      <c r="BH101" s="3705">
        <v>0.24546046828822018</v>
      </c>
      <c r="BI101" s="3705">
        <v>0.23848888246794006</v>
      </c>
      <c r="BJ101" s="3705">
        <v>0.22985454320004961</v>
      </c>
      <c r="BK101" s="3705">
        <v>0.22787664536224347</v>
      </c>
      <c r="BL101" s="3705">
        <v>0.21475417733991939</v>
      </c>
      <c r="BM101" s="3705">
        <v>0.22333810060480638</v>
      </c>
      <c r="BN101" s="3705">
        <v>0.25214533550547885</v>
      </c>
      <c r="BO101" s="3705">
        <v>0.2533580711540474</v>
      </c>
      <c r="BP101" s="3705">
        <v>0.25948689548246867</v>
      </c>
      <c r="BQ101" s="3705">
        <v>0.22258919105371985</v>
      </c>
      <c r="BR101" s="3705">
        <v>0.21889896984366056</v>
      </c>
      <c r="BS101" s="3705">
        <v>0.23354109735735826</v>
      </c>
      <c r="BT101" s="3705">
        <v>0.24546046828822018</v>
      </c>
      <c r="BU101" s="3705">
        <v>0.23848888246794006</v>
      </c>
      <c r="BV101" s="3705">
        <v>0.22985454320004961</v>
      </c>
      <c r="BW101" s="3705">
        <v>0.22787664536224347</v>
      </c>
      <c r="BX101" s="3705">
        <v>0.21475417733991939</v>
      </c>
      <c r="BY101" s="3705">
        <v>0.22333810060480638</v>
      </c>
      <c r="BZ101" s="3705">
        <v>0.25214533550547885</v>
      </c>
      <c r="CA101" s="3705">
        <v>0.2533580711540474</v>
      </c>
      <c r="CB101" s="3704">
        <v>0.25948689548246867</v>
      </c>
    </row>
    <row r="102" spans="18:80" ht="45">
      <c r="R102" s="3521">
        <f t="shared" si="50"/>
        <v>97</v>
      </c>
      <c r="S102" s="3523" t="s">
        <v>3155</v>
      </c>
      <c r="T102" s="3523" t="s">
        <v>3365</v>
      </c>
      <c r="U102" s="3524">
        <v>248981</v>
      </c>
      <c r="V102" s="3524">
        <v>248983</v>
      </c>
      <c r="W102" s="3524">
        <v>0</v>
      </c>
      <c r="X102" s="3525">
        <f t="shared" si="74"/>
        <v>503.60020465660216</v>
      </c>
      <c r="Y102" s="3525">
        <f t="shared" si="74"/>
        <v>503.6042499468424</v>
      </c>
      <c r="Z102" s="3525">
        <f t="shared" si="74"/>
        <v>0</v>
      </c>
      <c r="AA102" s="3607">
        <v>0</v>
      </c>
      <c r="AB102" s="3607">
        <v>0</v>
      </c>
      <c r="AC102" s="3607">
        <v>0</v>
      </c>
      <c r="AD102" s="3608">
        <v>0</v>
      </c>
      <c r="AE102" s="3608">
        <v>22100</v>
      </c>
      <c r="AF102" s="3608">
        <v>0</v>
      </c>
      <c r="AG102" s="3608">
        <v>0</v>
      </c>
      <c r="AH102" s="3608">
        <v>0</v>
      </c>
      <c r="AI102" s="3608">
        <v>0</v>
      </c>
      <c r="AJ102" s="3540"/>
      <c r="AK102" s="3529"/>
      <c r="AL102" s="3529" t="s">
        <v>3366</v>
      </c>
      <c r="AM102" s="3529" t="s">
        <v>3366</v>
      </c>
      <c r="AN102" s="3530">
        <f t="shared" si="66"/>
        <v>388.49734188028918</v>
      </c>
      <c r="AO102" s="3530">
        <f t="shared" si="67"/>
        <v>115.10286277631299</v>
      </c>
      <c r="AP102" s="3530">
        <f t="shared" si="68"/>
        <v>388.50046257899209</v>
      </c>
      <c r="AQ102" s="3530">
        <f t="shared" si="69"/>
        <v>115.1037873678503</v>
      </c>
      <c r="AR102" s="3530">
        <f t="shared" si="70"/>
        <v>0</v>
      </c>
      <c r="AS102" s="3530">
        <f t="shared" si="71"/>
        <v>0</v>
      </c>
      <c r="AT102" s="3609">
        <f t="shared" si="72"/>
        <v>0</v>
      </c>
      <c r="AU102" s="3609">
        <f t="shared" si="73"/>
        <v>0</v>
      </c>
      <c r="AV102" s="3609">
        <f t="shared" si="56"/>
        <v>0</v>
      </c>
      <c r="AW102" s="3609">
        <f t="shared" si="57"/>
        <v>0</v>
      </c>
      <c r="AX102" s="3531" t="s">
        <v>3367</v>
      </c>
      <c r="AY102" s="3532">
        <f t="shared" si="51"/>
        <v>97</v>
      </c>
      <c r="AZ102" s="3532"/>
      <c r="BC102" s="3673"/>
      <c r="BD102" s="3603" t="s">
        <v>1520</v>
      </c>
      <c r="BE102" s="3705">
        <v>0.42129980485468743</v>
      </c>
      <c r="BF102" s="3705">
        <v>0.44008382957511699</v>
      </c>
      <c r="BG102" s="3705">
        <v>0.44364833028144302</v>
      </c>
      <c r="BH102" s="3705">
        <v>0.43957781324963408</v>
      </c>
      <c r="BI102" s="3705">
        <v>0.38839044074646167</v>
      </c>
      <c r="BJ102" s="3705">
        <v>0.33722738099761806</v>
      </c>
      <c r="BK102" s="3705">
        <v>0.33523869105028037</v>
      </c>
      <c r="BL102" s="3705">
        <v>0.31928675704616483</v>
      </c>
      <c r="BM102" s="3705">
        <v>0.32292398508744757</v>
      </c>
      <c r="BN102" s="3705">
        <v>0.31152728234431071</v>
      </c>
      <c r="BO102" s="3705">
        <v>0.36880127070344704</v>
      </c>
      <c r="BP102" s="3705">
        <v>0.42252574400093712</v>
      </c>
      <c r="BQ102" s="3705">
        <v>0.42129980485468743</v>
      </c>
      <c r="BR102" s="3705">
        <v>0.44008382957511699</v>
      </c>
      <c r="BS102" s="3705">
        <v>0.44364833028144302</v>
      </c>
      <c r="BT102" s="3705">
        <v>0.43957781324963408</v>
      </c>
      <c r="BU102" s="3705">
        <v>0.38839044074646167</v>
      </c>
      <c r="BV102" s="3705">
        <v>0.33722738099761806</v>
      </c>
      <c r="BW102" s="3705">
        <v>0.33523869105028037</v>
      </c>
      <c r="BX102" s="3705">
        <v>0.31928675704616483</v>
      </c>
      <c r="BY102" s="3705">
        <v>0.32292398508744757</v>
      </c>
      <c r="BZ102" s="3705">
        <v>0.31152728234431071</v>
      </c>
      <c r="CA102" s="3705">
        <v>0.36880127070344704</v>
      </c>
      <c r="CB102" s="3704">
        <v>0.42252574400093712</v>
      </c>
    </row>
    <row r="103" spans="18:80">
      <c r="R103" s="3521">
        <f t="shared" si="50"/>
        <v>98</v>
      </c>
      <c r="S103" s="3523" t="s">
        <v>3155</v>
      </c>
      <c r="T103" s="3523" t="s">
        <v>3368</v>
      </c>
      <c r="U103" s="3524">
        <v>746533</v>
      </c>
      <c r="V103" s="3524">
        <v>750011</v>
      </c>
      <c r="W103" s="3524">
        <v>0</v>
      </c>
      <c r="X103" s="3525">
        <f t="shared" si="74"/>
        <v>1509.9713294705507</v>
      </c>
      <c r="Y103" s="3525">
        <f t="shared" si="74"/>
        <v>1517.006089198384</v>
      </c>
      <c r="Z103" s="3525">
        <f t="shared" si="74"/>
        <v>0</v>
      </c>
      <c r="AA103" s="3607">
        <v>0</v>
      </c>
      <c r="AB103" s="3607">
        <v>0</v>
      </c>
      <c r="AC103" s="3607">
        <v>0</v>
      </c>
      <c r="AD103" s="3608">
        <v>0</v>
      </c>
      <c r="AE103" s="3608">
        <v>0</v>
      </c>
      <c r="AF103" s="3608">
        <v>0</v>
      </c>
      <c r="AG103" s="3608">
        <v>0</v>
      </c>
      <c r="AH103" s="3608">
        <v>0</v>
      </c>
      <c r="AI103" s="3608">
        <v>0</v>
      </c>
      <c r="AJ103" s="3540"/>
      <c r="AK103" s="3529"/>
      <c r="AL103" s="3529" t="s">
        <v>2729</v>
      </c>
      <c r="AM103" s="3529" t="s">
        <v>2729</v>
      </c>
      <c r="AN103" s="3530">
        <f t="shared" si="66"/>
        <v>779.78706341155851</v>
      </c>
      <c r="AO103" s="3530">
        <f t="shared" si="67"/>
        <v>247.60911150638611</v>
      </c>
      <c r="AP103" s="3530">
        <f t="shared" si="68"/>
        <v>783.41998976115769</v>
      </c>
      <c r="AQ103" s="3530">
        <f t="shared" si="69"/>
        <v>248.76269010213366</v>
      </c>
      <c r="AR103" s="3530">
        <f t="shared" si="70"/>
        <v>0</v>
      </c>
      <c r="AS103" s="3530">
        <f t="shared" si="71"/>
        <v>0</v>
      </c>
      <c r="AT103" s="3609">
        <f t="shared" si="72"/>
        <v>0</v>
      </c>
      <c r="AU103" s="3609">
        <f t="shared" si="73"/>
        <v>0</v>
      </c>
      <c r="AV103" s="3609">
        <f t="shared" si="56"/>
        <v>0</v>
      </c>
      <c r="AW103" s="3609">
        <f t="shared" si="57"/>
        <v>0</v>
      </c>
      <c r="AX103" s="3531" t="s">
        <v>3134</v>
      </c>
      <c r="AY103" s="3532">
        <f t="shared" si="51"/>
        <v>98</v>
      </c>
      <c r="AZ103" s="3532"/>
      <c r="BC103" s="3673"/>
      <c r="BD103" s="3603" t="s">
        <v>1519</v>
      </c>
      <c r="BE103" s="3705">
        <v>8.6677348562132453E-2</v>
      </c>
      <c r="BF103" s="3705">
        <v>8.5970491193223808E-2</v>
      </c>
      <c r="BG103" s="3705">
        <v>7.2855986283874033E-2</v>
      </c>
      <c r="BH103" s="3705">
        <v>5.9716929809317872E-2</v>
      </c>
      <c r="BI103" s="3705">
        <v>6.5968652356086913E-2</v>
      </c>
      <c r="BJ103" s="3705">
        <v>7.9998240038719151E-2</v>
      </c>
      <c r="BK103" s="3705">
        <v>8.2751692375548691E-2</v>
      </c>
      <c r="BL103" s="3705">
        <v>9.0900661938620231E-2</v>
      </c>
      <c r="BM103" s="3705">
        <v>8.7875971853326212E-2</v>
      </c>
      <c r="BN103" s="3705">
        <v>8.5450256628483226E-2</v>
      </c>
      <c r="BO103" s="3705">
        <v>6.5191024369382788E-2</v>
      </c>
      <c r="BP103" s="3705">
        <v>6.8194272337353812E-2</v>
      </c>
      <c r="BQ103" s="3705">
        <v>8.6677348562132453E-2</v>
      </c>
      <c r="BR103" s="3705">
        <v>8.5970491193223808E-2</v>
      </c>
      <c r="BS103" s="3705">
        <v>7.2855986283874033E-2</v>
      </c>
      <c r="BT103" s="3705">
        <v>5.9716929809317872E-2</v>
      </c>
      <c r="BU103" s="3705">
        <v>6.5968652356086913E-2</v>
      </c>
      <c r="BV103" s="3705">
        <v>7.9998240038719151E-2</v>
      </c>
      <c r="BW103" s="3705">
        <v>8.2751692375548691E-2</v>
      </c>
      <c r="BX103" s="3705">
        <v>9.0900661938620231E-2</v>
      </c>
      <c r="BY103" s="3705">
        <v>8.7875971853326212E-2</v>
      </c>
      <c r="BZ103" s="3705">
        <v>8.5450256628483226E-2</v>
      </c>
      <c r="CA103" s="3705">
        <v>6.5191024369382788E-2</v>
      </c>
      <c r="CB103" s="3704">
        <v>6.8194272337353812E-2</v>
      </c>
    </row>
    <row r="104" spans="18:80" ht="75">
      <c r="R104" s="3521">
        <f t="shared" si="50"/>
        <v>99</v>
      </c>
      <c r="S104" s="3523" t="s">
        <v>3144</v>
      </c>
      <c r="T104" s="3523" t="s">
        <v>3369</v>
      </c>
      <c r="U104" s="3524">
        <v>113768</v>
      </c>
      <c r="V104" s="3524">
        <v>112898</v>
      </c>
      <c r="W104" s="3524">
        <v>112592</v>
      </c>
      <c r="X104" s="3525">
        <f t="shared" si="74"/>
        <v>230.1122900276419</v>
      </c>
      <c r="Y104" s="3525">
        <f t="shared" si="74"/>
        <v>228.35258877312353</v>
      </c>
      <c r="Z104" s="3525">
        <f t="shared" si="74"/>
        <v>227.73365936636188</v>
      </c>
      <c r="AA104" s="3607">
        <v>0</v>
      </c>
      <c r="AB104" s="3607">
        <v>0</v>
      </c>
      <c r="AC104" s="3607">
        <v>0</v>
      </c>
      <c r="AD104" s="3608">
        <v>22260</v>
      </c>
      <c r="AE104" s="3608">
        <v>22260</v>
      </c>
      <c r="AF104" s="3608">
        <v>0</v>
      </c>
      <c r="AG104" s="3608">
        <v>0</v>
      </c>
      <c r="AH104" s="3608">
        <v>370000</v>
      </c>
      <c r="AI104" s="3608">
        <v>370000</v>
      </c>
      <c r="AJ104" s="3540"/>
      <c r="AK104" s="3529"/>
      <c r="AL104" s="3529" t="s">
        <v>839</v>
      </c>
      <c r="AM104" s="3529" t="s">
        <v>839</v>
      </c>
      <c r="AN104" s="3530">
        <f t="shared" si="66"/>
        <v>108.0033785779938</v>
      </c>
      <c r="AO104" s="3530">
        <f t="shared" si="67"/>
        <v>34.188154974957271</v>
      </c>
      <c r="AP104" s="3530">
        <f t="shared" si="68"/>
        <v>107.17746145399713</v>
      </c>
      <c r="AQ104" s="3530">
        <f t="shared" si="69"/>
        <v>33.926713314488488</v>
      </c>
      <c r="AR104" s="3530">
        <f t="shared" si="70"/>
        <v>106.88696646555691</v>
      </c>
      <c r="AS104" s="3530">
        <f t="shared" si="71"/>
        <v>33.834757971840851</v>
      </c>
      <c r="AT104" s="3609">
        <f t="shared" si="72"/>
        <v>10447.747953216</v>
      </c>
      <c r="AU104" s="3609">
        <f t="shared" si="73"/>
        <v>3307.2041899679998</v>
      </c>
      <c r="AV104" s="3609">
        <f t="shared" si="56"/>
        <v>10447.747953216</v>
      </c>
      <c r="AW104" s="3609">
        <f t="shared" si="57"/>
        <v>3307.2041899679998</v>
      </c>
      <c r="AX104" s="3531" t="s">
        <v>3370</v>
      </c>
      <c r="AY104" s="3532">
        <f t="shared" si="51"/>
        <v>99</v>
      </c>
      <c r="AZ104" s="3532"/>
      <c r="BC104" s="3673"/>
      <c r="BD104" s="3603" t="s">
        <v>1518</v>
      </c>
      <c r="BE104" s="3705">
        <v>7.8889586787768279E-2</v>
      </c>
      <c r="BF104" s="3705">
        <v>8.2342827841812127E-2</v>
      </c>
      <c r="BG104" s="3705">
        <v>4.5143681802024459E-2</v>
      </c>
      <c r="BH104" s="3705">
        <v>4.0649911290500766E-2</v>
      </c>
      <c r="BI104" s="3705">
        <v>5.0384547766746716E-2</v>
      </c>
      <c r="BJ104" s="3705">
        <v>6.2319028981362413E-2</v>
      </c>
      <c r="BK104" s="3705">
        <v>4.8697715929162895E-2</v>
      </c>
      <c r="BL104" s="3705">
        <v>7.6512905166975426E-2</v>
      </c>
      <c r="BM104" s="3705">
        <v>7.7574711052820045E-2</v>
      </c>
      <c r="BN104" s="3705">
        <v>2.4642999509088277E-2</v>
      </c>
      <c r="BO104" s="3705">
        <v>6.7062658679027762E-2</v>
      </c>
      <c r="BP104" s="3705">
        <v>2.595819568599203E-2</v>
      </c>
      <c r="BQ104" s="3705">
        <v>7.8889586787768279E-2</v>
      </c>
      <c r="BR104" s="3705">
        <v>8.2342827841812127E-2</v>
      </c>
      <c r="BS104" s="3705">
        <v>4.5143681802024459E-2</v>
      </c>
      <c r="BT104" s="3705">
        <v>4.0649911290500766E-2</v>
      </c>
      <c r="BU104" s="3705">
        <v>5.0384547766746716E-2</v>
      </c>
      <c r="BV104" s="3705">
        <v>6.2319028981362413E-2</v>
      </c>
      <c r="BW104" s="3705">
        <v>4.8697715929162895E-2</v>
      </c>
      <c r="BX104" s="3705">
        <v>7.6512905166975426E-2</v>
      </c>
      <c r="BY104" s="3705">
        <v>7.7574711052820045E-2</v>
      </c>
      <c r="BZ104" s="3705">
        <v>2.4642999509088277E-2</v>
      </c>
      <c r="CA104" s="3705">
        <v>6.7062658679027762E-2</v>
      </c>
      <c r="CB104" s="3704">
        <v>2.595819568599203E-2</v>
      </c>
    </row>
    <row r="105" spans="18:80" ht="15.75" thickBot="1">
      <c r="R105" s="3521">
        <f t="shared" si="50"/>
        <v>100</v>
      </c>
      <c r="S105" s="3523" t="s">
        <v>3155</v>
      </c>
      <c r="T105" s="3523" t="s">
        <v>3371</v>
      </c>
      <c r="U105" s="3524">
        <v>0</v>
      </c>
      <c r="V105" s="3524">
        <v>38006</v>
      </c>
      <c r="W105" s="3524">
        <v>554008</v>
      </c>
      <c r="X105" s="3525">
        <f t="shared" si="74"/>
        <v>0</v>
      </c>
      <c r="Y105" s="3525">
        <f t="shared" si="74"/>
        <v>76.87265043589197</v>
      </c>
      <c r="Z105" s="3525">
        <f t="shared" si="74"/>
        <v>1120.5615777163512</v>
      </c>
      <c r="AA105" s="3607">
        <v>0</v>
      </c>
      <c r="AB105" s="3607">
        <v>0</v>
      </c>
      <c r="AC105" s="3607">
        <v>0</v>
      </c>
      <c r="AD105" s="3608">
        <v>0</v>
      </c>
      <c r="AE105" s="3608">
        <v>0</v>
      </c>
      <c r="AF105" s="3608">
        <v>0</v>
      </c>
      <c r="AG105" s="3608">
        <v>0</v>
      </c>
      <c r="AH105" s="3608">
        <v>0</v>
      </c>
      <c r="AI105" s="3608">
        <v>0</v>
      </c>
      <c r="AJ105" s="3540"/>
      <c r="AK105" s="3529"/>
      <c r="AL105" s="3529" t="s">
        <v>3132</v>
      </c>
      <c r="AM105" s="3529" t="s">
        <v>3133</v>
      </c>
      <c r="AN105" s="3530">
        <f t="shared" si="66"/>
        <v>0</v>
      </c>
      <c r="AO105" s="3530">
        <f t="shared" si="67"/>
        <v>0</v>
      </c>
      <c r="AP105" s="3530">
        <f t="shared" si="68"/>
        <v>49.505986880714431</v>
      </c>
      <c r="AQ105" s="3530">
        <f t="shared" si="69"/>
        <v>0</v>
      </c>
      <c r="AR105" s="3530">
        <f t="shared" si="70"/>
        <v>721.64165604933021</v>
      </c>
      <c r="AS105" s="3530">
        <f t="shared" si="71"/>
        <v>0</v>
      </c>
      <c r="AT105" s="3609">
        <f t="shared" si="72"/>
        <v>0</v>
      </c>
      <c r="AU105" s="3609">
        <f t="shared" si="73"/>
        <v>0</v>
      </c>
      <c r="AV105" s="3609">
        <f t="shared" si="56"/>
        <v>0</v>
      </c>
      <c r="AW105" s="3609">
        <f t="shared" si="57"/>
        <v>0</v>
      </c>
      <c r="AX105" s="3531" t="s">
        <v>3134</v>
      </c>
      <c r="AY105" s="3532">
        <f t="shared" si="51"/>
        <v>100</v>
      </c>
      <c r="AZ105" s="3532"/>
      <c r="BC105" s="3671"/>
      <c r="BD105" s="3610"/>
      <c r="BE105" s="3703"/>
      <c r="BF105" s="3703"/>
      <c r="BG105" s="3703"/>
      <c r="BH105" s="3703"/>
      <c r="BI105" s="3703"/>
      <c r="BJ105" s="3703"/>
      <c r="BK105" s="3703"/>
      <c r="BL105" s="3703"/>
      <c r="BM105" s="3703"/>
      <c r="BN105" s="3703"/>
      <c r="BO105" s="3703"/>
      <c r="BP105" s="3703"/>
      <c r="BQ105" s="3703"/>
      <c r="BR105" s="3703"/>
      <c r="BS105" s="3703"/>
      <c r="BT105" s="3703"/>
      <c r="BU105" s="3703"/>
      <c r="BV105" s="3703"/>
      <c r="BW105" s="3703"/>
      <c r="BX105" s="3703"/>
      <c r="BY105" s="3703"/>
      <c r="BZ105" s="3703"/>
      <c r="CA105" s="3703"/>
      <c r="CB105" s="3702"/>
    </row>
    <row r="106" spans="18:80" ht="60">
      <c r="R106" s="3521">
        <f t="shared" si="50"/>
        <v>101</v>
      </c>
      <c r="S106" s="3523" t="s">
        <v>3155</v>
      </c>
      <c r="T106" s="3523" t="s">
        <v>3372</v>
      </c>
      <c r="U106" s="3524">
        <v>6000000</v>
      </c>
      <c r="V106" s="3524">
        <v>3200004</v>
      </c>
      <c r="W106" s="3524">
        <v>38700000</v>
      </c>
      <c r="X106" s="3525">
        <f t="shared" si="74"/>
        <v>12135.8707208165</v>
      </c>
      <c r="Y106" s="3525">
        <f t="shared" si="74"/>
        <v>6472.4724750159476</v>
      </c>
      <c r="Z106" s="3525">
        <f t="shared" si="74"/>
        <v>78276.366149266425</v>
      </c>
      <c r="AA106" s="3607">
        <v>0</v>
      </c>
      <c r="AB106" s="3607">
        <v>0</v>
      </c>
      <c r="AC106" s="3607">
        <v>0</v>
      </c>
      <c r="AD106" s="3608">
        <v>180000</v>
      </c>
      <c r="AE106" s="3608">
        <v>180000</v>
      </c>
      <c r="AF106" s="3608">
        <v>0</v>
      </c>
      <c r="AG106" s="3608">
        <v>0</v>
      </c>
      <c r="AH106" s="3608">
        <v>10000</v>
      </c>
      <c r="AI106" s="3608">
        <v>10000</v>
      </c>
      <c r="AJ106" s="3540"/>
      <c r="AK106" s="3529"/>
      <c r="AL106" s="3529" t="s">
        <v>3132</v>
      </c>
      <c r="AM106" s="3529" t="s">
        <v>3133</v>
      </c>
      <c r="AN106" s="3530">
        <f t="shared" si="66"/>
        <v>7815.5007442058259</v>
      </c>
      <c r="AO106" s="3530">
        <f t="shared" si="67"/>
        <v>0</v>
      </c>
      <c r="AP106" s="3530">
        <f t="shared" si="68"/>
        <v>4168.2722739102701</v>
      </c>
      <c r="AQ106" s="3530">
        <f t="shared" si="69"/>
        <v>0</v>
      </c>
      <c r="AR106" s="3530">
        <f t="shared" si="70"/>
        <v>50409.979800127578</v>
      </c>
      <c r="AS106" s="3530">
        <f t="shared" si="71"/>
        <v>0</v>
      </c>
      <c r="AT106" s="3609">
        <f t="shared" si="72"/>
        <v>115920</v>
      </c>
      <c r="AU106" s="3609">
        <f t="shared" si="73"/>
        <v>0</v>
      </c>
      <c r="AV106" s="3609">
        <f t="shared" si="56"/>
        <v>115920</v>
      </c>
      <c r="AW106" s="3609">
        <f t="shared" si="57"/>
        <v>0</v>
      </c>
      <c r="AX106" s="3531" t="s">
        <v>3373</v>
      </c>
      <c r="AY106" s="3532">
        <f t="shared" si="51"/>
        <v>101</v>
      </c>
      <c r="AZ106" s="3532"/>
      <c r="BC106" s="3701">
        <v>5</v>
      </c>
      <c r="BD106" s="3700" t="s">
        <v>3381</v>
      </c>
      <c r="BE106" s="3699"/>
      <c r="BF106" s="3699"/>
      <c r="BG106" s="3699"/>
      <c r="BH106" s="3699"/>
      <c r="BI106" s="3699"/>
      <c r="BJ106" s="3699"/>
      <c r="BK106" s="3698"/>
      <c r="BL106" s="3698"/>
      <c r="BM106" s="3698"/>
      <c r="BN106" s="3698"/>
      <c r="BO106" s="3698"/>
      <c r="BP106" s="3698"/>
      <c r="BQ106" s="3698"/>
      <c r="BR106" s="3698"/>
      <c r="BS106" s="3698"/>
      <c r="BT106" s="3698"/>
      <c r="BU106" s="3698"/>
      <c r="BV106" s="3698"/>
      <c r="BW106" s="3698"/>
      <c r="BX106" s="3698"/>
      <c r="BY106" s="3698"/>
      <c r="BZ106" s="3698"/>
      <c r="CA106" s="3698"/>
      <c r="CB106" s="3697"/>
    </row>
    <row r="107" spans="18:80" ht="25.5">
      <c r="R107" s="3521">
        <f t="shared" si="50"/>
        <v>102</v>
      </c>
      <c r="S107" s="3523" t="s">
        <v>3155</v>
      </c>
      <c r="T107" s="3523" t="s">
        <v>3374</v>
      </c>
      <c r="U107" s="3524">
        <v>8621160</v>
      </c>
      <c r="V107" s="3524">
        <v>7399007</v>
      </c>
      <c r="W107" s="3524">
        <v>1350006</v>
      </c>
      <c r="X107" s="3525">
        <f t="shared" si="74"/>
        <v>17437.547203912396</v>
      </c>
      <c r="Y107" s="3525">
        <f t="shared" si="74"/>
        <v>14965.565402402719</v>
      </c>
      <c r="Z107" s="3525">
        <f t="shared" si="74"/>
        <v>2730.5830480544332</v>
      </c>
      <c r="AA107" s="3607">
        <v>0</v>
      </c>
      <c r="AB107" s="3607">
        <v>0</v>
      </c>
      <c r="AC107" s="3607">
        <v>0</v>
      </c>
      <c r="AD107" s="3608">
        <v>0</v>
      </c>
      <c r="AE107" s="3608">
        <v>0</v>
      </c>
      <c r="AF107" s="3608">
        <v>0</v>
      </c>
      <c r="AG107" s="3608">
        <v>0</v>
      </c>
      <c r="AH107" s="3608">
        <v>0</v>
      </c>
      <c r="AI107" s="3608">
        <v>0</v>
      </c>
      <c r="AJ107" s="3540"/>
      <c r="AK107" s="3529"/>
      <c r="AL107" s="3529" t="s">
        <v>3132</v>
      </c>
      <c r="AM107" s="3529" t="s">
        <v>3195</v>
      </c>
      <c r="AN107" s="3530">
        <f t="shared" si="66"/>
        <v>11673.217224715076</v>
      </c>
      <c r="AO107" s="3530">
        <f t="shared" si="67"/>
        <v>0</v>
      </c>
      <c r="AP107" s="3530">
        <f t="shared" si="68"/>
        <v>10018.398447330452</v>
      </c>
      <c r="AQ107" s="3530">
        <f t="shared" si="69"/>
        <v>0</v>
      </c>
      <c r="AR107" s="3530">
        <f t="shared" si="70"/>
        <v>1827.9342098590791</v>
      </c>
      <c r="AS107" s="3530">
        <f t="shared" si="71"/>
        <v>0</v>
      </c>
      <c r="AT107" s="3609">
        <f t="shared" si="72"/>
        <v>0</v>
      </c>
      <c r="AU107" s="3609">
        <f t="shared" si="73"/>
        <v>0</v>
      </c>
      <c r="AV107" s="3609">
        <f t="shared" si="56"/>
        <v>0</v>
      </c>
      <c r="AW107" s="3609">
        <f t="shared" si="57"/>
        <v>0</v>
      </c>
      <c r="AX107" s="3531" t="s">
        <v>3134</v>
      </c>
      <c r="AY107" s="3532">
        <f t="shared" si="51"/>
        <v>102</v>
      </c>
      <c r="AZ107" s="3532"/>
      <c r="BC107" s="3673"/>
      <c r="BF107" s="3668" t="s">
        <v>3383</v>
      </c>
      <c r="BL107" s="3695"/>
      <c r="BM107" s="3695"/>
      <c r="BN107" s="3695"/>
      <c r="BO107" s="3695"/>
      <c r="BP107" s="3695"/>
      <c r="BQ107" s="3695"/>
      <c r="BR107" s="3695"/>
      <c r="BS107" s="3695"/>
      <c r="BT107" s="3695"/>
      <c r="BU107" s="3695"/>
      <c r="BV107" s="3695"/>
      <c r="BW107" s="3695"/>
      <c r="BX107" s="3695"/>
      <c r="BY107" s="3695"/>
      <c r="BZ107" s="3695"/>
      <c r="CA107" s="3695"/>
      <c r="CB107" s="3694"/>
    </row>
    <row r="108" spans="18:80" ht="45">
      <c r="R108" s="3521">
        <f t="shared" si="50"/>
        <v>103</v>
      </c>
      <c r="S108" s="3523" t="s">
        <v>3155</v>
      </c>
      <c r="T108" s="3523" t="s">
        <v>3375</v>
      </c>
      <c r="U108" s="3524">
        <v>1000000</v>
      </c>
      <c r="V108" s="3524">
        <v>1000000</v>
      </c>
      <c r="W108" s="3524">
        <v>2000000</v>
      </c>
      <c r="X108" s="3525">
        <f t="shared" si="74"/>
        <v>2022.6451201360833</v>
      </c>
      <c r="Y108" s="3525">
        <f t="shared" si="74"/>
        <v>2022.6451201360833</v>
      </c>
      <c r="Z108" s="3525">
        <f t="shared" si="74"/>
        <v>4045.2902402721666</v>
      </c>
      <c r="AA108" s="3607">
        <v>0</v>
      </c>
      <c r="AB108" s="3607">
        <v>0</v>
      </c>
      <c r="AC108" s="3607">
        <v>0</v>
      </c>
      <c r="AD108" s="3608">
        <v>0</v>
      </c>
      <c r="AE108" s="3608">
        <v>0</v>
      </c>
      <c r="AF108" s="3608">
        <v>5000</v>
      </c>
      <c r="AG108" s="3608">
        <v>5000</v>
      </c>
      <c r="AH108" s="3608">
        <v>0</v>
      </c>
      <c r="AI108" s="3608">
        <v>0</v>
      </c>
      <c r="AJ108" s="3540"/>
      <c r="AK108" s="3529"/>
      <c r="AL108" s="3529" t="s">
        <v>3132</v>
      </c>
      <c r="AM108" s="3529" t="s">
        <v>3133</v>
      </c>
      <c r="AN108" s="3530">
        <f t="shared" si="66"/>
        <v>1302.5834573676377</v>
      </c>
      <c r="AO108" s="3530">
        <f t="shared" si="67"/>
        <v>0</v>
      </c>
      <c r="AP108" s="3530">
        <f t="shared" si="68"/>
        <v>1302.5834573676377</v>
      </c>
      <c r="AQ108" s="3530">
        <f t="shared" si="69"/>
        <v>0</v>
      </c>
      <c r="AR108" s="3530">
        <f t="shared" si="70"/>
        <v>2605.1669147352754</v>
      </c>
      <c r="AS108" s="3530">
        <f t="shared" si="71"/>
        <v>0</v>
      </c>
      <c r="AT108" s="3609">
        <f t="shared" si="72"/>
        <v>0</v>
      </c>
      <c r="AU108" s="3609">
        <f t="shared" si="73"/>
        <v>0</v>
      </c>
      <c r="AV108" s="3609">
        <f t="shared" si="56"/>
        <v>0</v>
      </c>
      <c r="AW108" s="3609">
        <f t="shared" si="57"/>
        <v>0</v>
      </c>
      <c r="AX108" s="3531" t="s">
        <v>3376</v>
      </c>
      <c r="AY108" s="3532">
        <f t="shared" si="51"/>
        <v>103</v>
      </c>
      <c r="AZ108" s="3532"/>
      <c r="BC108" s="3673"/>
      <c r="BE108" s="3668" t="s">
        <v>3386</v>
      </c>
      <c r="BF108" s="3668" t="s">
        <v>1522</v>
      </c>
      <c r="BG108" s="3668" t="s">
        <v>1521</v>
      </c>
      <c r="BH108" s="3668" t="s">
        <v>1520</v>
      </c>
      <c r="BI108" s="3668" t="s">
        <v>1519</v>
      </c>
      <c r="BJ108" s="3668" t="s">
        <v>1518</v>
      </c>
      <c r="BL108" s="3695"/>
      <c r="BM108" s="3695"/>
      <c r="BN108" s="3695"/>
      <c r="BO108" s="3695"/>
      <c r="BP108" s="3695"/>
      <c r="BQ108" s="3695"/>
      <c r="BR108" s="3695"/>
      <c r="BS108" s="3695"/>
      <c r="BT108" s="3695"/>
      <c r="BU108" s="3695"/>
      <c r="BV108" s="3695"/>
      <c r="BW108" s="3695"/>
      <c r="BX108" s="3695"/>
      <c r="BY108" s="3695"/>
      <c r="BZ108" s="3695"/>
      <c r="CA108" s="3695"/>
      <c r="CB108" s="3694"/>
    </row>
    <row r="109" spans="18:80" ht="25.5">
      <c r="R109" s="3521">
        <f t="shared" si="50"/>
        <v>104</v>
      </c>
      <c r="S109" s="3523" t="s">
        <v>3155</v>
      </c>
      <c r="T109" s="3523" t="s">
        <v>3377</v>
      </c>
      <c r="U109" s="3524">
        <v>2397000</v>
      </c>
      <c r="V109" s="3524">
        <v>2386000</v>
      </c>
      <c r="W109" s="3524">
        <v>2386000</v>
      </c>
      <c r="X109" s="3525">
        <f t="shared" si="74"/>
        <v>4848.2803529661915</v>
      </c>
      <c r="Y109" s="3525">
        <f t="shared" si="74"/>
        <v>4826.0312566446946</v>
      </c>
      <c r="Z109" s="3525">
        <f t="shared" si="74"/>
        <v>4826.0312566446946</v>
      </c>
      <c r="AA109" s="3607">
        <v>0</v>
      </c>
      <c r="AB109" s="3607">
        <v>0</v>
      </c>
      <c r="AC109" s="3607">
        <v>0</v>
      </c>
      <c r="AD109" s="3608">
        <v>0</v>
      </c>
      <c r="AE109" s="3608">
        <v>0</v>
      </c>
      <c r="AF109" s="3608">
        <v>0</v>
      </c>
      <c r="AG109" s="3608">
        <v>0</v>
      </c>
      <c r="AH109" s="3608">
        <v>0</v>
      </c>
      <c r="AI109" s="3608">
        <v>0</v>
      </c>
      <c r="AJ109" s="3540"/>
      <c r="AK109" s="3529"/>
      <c r="AL109" s="3529" t="s">
        <v>3253</v>
      </c>
      <c r="AM109" s="3529" t="s">
        <v>3253</v>
      </c>
      <c r="AN109" s="3530">
        <f t="shared" si="66"/>
        <v>0</v>
      </c>
      <c r="AO109" s="3530">
        <f t="shared" si="67"/>
        <v>3347.0103416702104</v>
      </c>
      <c r="AP109" s="3530">
        <f t="shared" si="68"/>
        <v>0</v>
      </c>
      <c r="AQ109" s="3530">
        <f t="shared" si="69"/>
        <v>3331.650678024665</v>
      </c>
      <c r="AR109" s="3530">
        <f t="shared" si="70"/>
        <v>0</v>
      </c>
      <c r="AS109" s="3530">
        <f t="shared" si="71"/>
        <v>3331.650678024665</v>
      </c>
      <c r="AT109" s="3609">
        <f t="shared" si="72"/>
        <v>0</v>
      </c>
      <c r="AU109" s="3609">
        <f t="shared" si="73"/>
        <v>0</v>
      </c>
      <c r="AV109" s="3609">
        <f t="shared" si="56"/>
        <v>0</v>
      </c>
      <c r="AW109" s="3609">
        <f t="shared" si="57"/>
        <v>0</v>
      </c>
      <c r="AX109" s="3531" t="s">
        <v>3134</v>
      </c>
      <c r="AY109" s="3532">
        <f t="shared" si="51"/>
        <v>104</v>
      </c>
      <c r="AZ109" s="3532"/>
      <c r="BC109" s="3673"/>
      <c r="BD109" s="3668" t="s">
        <v>3429</v>
      </c>
      <c r="BE109" s="3611">
        <v>9.5</v>
      </c>
      <c r="BF109" s="3612">
        <v>0.50668999999999997</v>
      </c>
      <c r="BG109" s="3612">
        <v>0.65852999999999995</v>
      </c>
      <c r="BH109" s="3613" t="s">
        <v>3388</v>
      </c>
      <c r="BI109" s="3613" t="s">
        <v>3388</v>
      </c>
      <c r="BJ109" s="3613" t="s">
        <v>3388</v>
      </c>
      <c r="BL109" s="3695"/>
      <c r="BM109" s="3695"/>
      <c r="BN109" s="3695"/>
      <c r="BO109" s="3695"/>
      <c r="BP109" s="3695"/>
      <c r="BQ109" s="3695"/>
      <c r="BR109" s="3695"/>
      <c r="BS109" s="3695"/>
      <c r="BT109" s="3695"/>
      <c r="BU109" s="3695"/>
      <c r="BV109" s="3695"/>
      <c r="BW109" s="3695"/>
      <c r="BX109" s="3695"/>
      <c r="BY109" s="3695"/>
      <c r="BZ109" s="3695"/>
      <c r="CA109" s="3695"/>
      <c r="CB109" s="3694"/>
    </row>
    <row r="110" spans="18:80">
      <c r="R110" s="3521">
        <f t="shared" si="50"/>
        <v>105</v>
      </c>
      <c r="S110" s="3523" t="s">
        <v>3155</v>
      </c>
      <c r="T110" s="3523" t="s">
        <v>3378</v>
      </c>
      <c r="U110" s="3524">
        <v>250001</v>
      </c>
      <c r="V110" s="3524">
        <v>250001</v>
      </c>
      <c r="W110" s="3524">
        <v>250001</v>
      </c>
      <c r="X110" s="3525">
        <f t="shared" si="74"/>
        <v>505.66330267914094</v>
      </c>
      <c r="Y110" s="3525">
        <f t="shared" si="74"/>
        <v>505.66330267914094</v>
      </c>
      <c r="Z110" s="3525">
        <f t="shared" si="74"/>
        <v>505.66330267914094</v>
      </c>
      <c r="AA110" s="3607">
        <v>0</v>
      </c>
      <c r="AB110" s="3607">
        <v>0</v>
      </c>
      <c r="AC110" s="3607">
        <v>0</v>
      </c>
      <c r="AD110" s="3608">
        <v>0</v>
      </c>
      <c r="AE110" s="3608">
        <v>0</v>
      </c>
      <c r="AF110" s="3608">
        <v>0</v>
      </c>
      <c r="AG110" s="3608">
        <v>0</v>
      </c>
      <c r="AH110" s="3608">
        <v>0</v>
      </c>
      <c r="AI110" s="3608">
        <v>0</v>
      </c>
      <c r="AJ110" s="3540"/>
      <c r="AK110" s="3529"/>
      <c r="AL110" s="3529" t="s">
        <v>3132</v>
      </c>
      <c r="AM110" s="3529" t="s">
        <v>3195</v>
      </c>
      <c r="AN110" s="3530">
        <f t="shared" si="66"/>
        <v>338.50618471249732</v>
      </c>
      <c r="AO110" s="3530">
        <f t="shared" si="67"/>
        <v>0</v>
      </c>
      <c r="AP110" s="3530">
        <f t="shared" si="68"/>
        <v>338.50618471249732</v>
      </c>
      <c r="AQ110" s="3530">
        <f t="shared" si="69"/>
        <v>0</v>
      </c>
      <c r="AR110" s="3530">
        <f t="shared" si="70"/>
        <v>338.50618471249732</v>
      </c>
      <c r="AS110" s="3530">
        <f t="shared" si="71"/>
        <v>0</v>
      </c>
      <c r="AT110" s="3609">
        <f t="shared" si="72"/>
        <v>0</v>
      </c>
      <c r="AU110" s="3609">
        <f t="shared" si="73"/>
        <v>0</v>
      </c>
      <c r="AV110" s="3609">
        <f t="shared" si="56"/>
        <v>0</v>
      </c>
      <c r="AW110" s="3609">
        <f t="shared" si="57"/>
        <v>0</v>
      </c>
      <c r="AX110" s="3531" t="s">
        <v>3134</v>
      </c>
      <c r="AY110" s="3532">
        <f t="shared" si="51"/>
        <v>105</v>
      </c>
      <c r="AZ110" s="3532"/>
      <c r="BC110" s="3673"/>
      <c r="BD110" s="3668" t="s">
        <v>3428</v>
      </c>
      <c r="BE110" s="3611">
        <v>130.58000000000001</v>
      </c>
      <c r="BF110" s="3612">
        <v>0</v>
      </c>
      <c r="BG110" s="3612">
        <v>0.38763999999999998</v>
      </c>
      <c r="BH110" s="3612">
        <v>0.29547000000000001</v>
      </c>
      <c r="BI110" s="3612">
        <v>0.25211</v>
      </c>
      <c r="BJ110" s="3612">
        <v>0.17685999999999999</v>
      </c>
      <c r="BL110" s="3695"/>
      <c r="BM110" s="3695"/>
      <c r="BN110" s="3695"/>
      <c r="BO110" s="3695"/>
      <c r="BP110" s="3695"/>
      <c r="BQ110" s="3695"/>
      <c r="BR110" s="3695"/>
      <c r="BS110" s="3695"/>
      <c r="BT110" s="3695"/>
      <c r="BU110" s="3695"/>
      <c r="BV110" s="3695"/>
      <c r="BW110" s="3695"/>
      <c r="BX110" s="3695"/>
      <c r="BY110" s="3695"/>
      <c r="BZ110" s="3695"/>
      <c r="CA110" s="3695"/>
      <c r="CB110" s="3694"/>
    </row>
    <row r="111" spans="18:80" ht="25.5">
      <c r="R111" s="3521">
        <f t="shared" si="50"/>
        <v>106</v>
      </c>
      <c r="S111" s="3523" t="s">
        <v>3155</v>
      </c>
      <c r="T111" s="3523" t="s">
        <v>3379</v>
      </c>
      <c r="U111" s="3524">
        <v>412000</v>
      </c>
      <c r="V111" s="3524">
        <v>0</v>
      </c>
      <c r="W111" s="3524">
        <v>0</v>
      </c>
      <c r="X111" s="3525">
        <f t="shared" si="74"/>
        <v>833.32978949606627</v>
      </c>
      <c r="Y111" s="3525">
        <f t="shared" si="74"/>
        <v>0</v>
      </c>
      <c r="Z111" s="3525">
        <f t="shared" si="74"/>
        <v>0</v>
      </c>
      <c r="AA111" s="3607">
        <v>0</v>
      </c>
      <c r="AB111" s="3607">
        <v>0</v>
      </c>
      <c r="AC111" s="3607">
        <v>0</v>
      </c>
      <c r="AD111" s="3608">
        <v>0</v>
      </c>
      <c r="AE111" s="3608">
        <v>0</v>
      </c>
      <c r="AF111" s="3608">
        <v>0</v>
      </c>
      <c r="AG111" s="3608">
        <v>0</v>
      </c>
      <c r="AH111" s="3608">
        <v>0</v>
      </c>
      <c r="AI111" s="3608">
        <v>0</v>
      </c>
      <c r="AJ111" s="3540"/>
      <c r="AK111" s="3529"/>
      <c r="AL111" s="3529" t="s">
        <v>3253</v>
      </c>
      <c r="AM111" s="3529" t="s">
        <v>3253</v>
      </c>
      <c r="AN111" s="3530">
        <f t="shared" si="66"/>
        <v>0</v>
      </c>
      <c r="AO111" s="3530">
        <f t="shared" si="67"/>
        <v>575.28922017860941</v>
      </c>
      <c r="AP111" s="3530">
        <f t="shared" si="68"/>
        <v>0</v>
      </c>
      <c r="AQ111" s="3530">
        <f t="shared" si="69"/>
        <v>0</v>
      </c>
      <c r="AR111" s="3530">
        <f t="shared" si="70"/>
        <v>0</v>
      </c>
      <c r="AS111" s="3530">
        <f t="shared" si="71"/>
        <v>0</v>
      </c>
      <c r="AT111" s="3609">
        <f t="shared" si="72"/>
        <v>0</v>
      </c>
      <c r="AU111" s="3609">
        <f t="shared" si="73"/>
        <v>0</v>
      </c>
      <c r="AV111" s="3609">
        <f t="shared" si="56"/>
        <v>0</v>
      </c>
      <c r="AW111" s="3609">
        <f t="shared" si="57"/>
        <v>0</v>
      </c>
      <c r="AX111" s="3531" t="s">
        <v>3134</v>
      </c>
      <c r="AY111" s="3532">
        <f t="shared" si="51"/>
        <v>106</v>
      </c>
      <c r="AZ111" s="3532"/>
      <c r="BC111" s="3673"/>
      <c r="BD111" s="3603"/>
      <c r="BE111" s="3695"/>
      <c r="BF111" s="3696"/>
      <c r="BG111" s="3695"/>
      <c r="BH111" s="3695"/>
      <c r="BI111" s="3695"/>
      <c r="BJ111" s="3695"/>
      <c r="BK111" s="3695"/>
      <c r="BL111" s="3695"/>
      <c r="BM111" s="3695"/>
      <c r="BN111" s="3695"/>
      <c r="BO111" s="3695"/>
      <c r="BP111" s="3695"/>
      <c r="BQ111" s="3695"/>
      <c r="BR111" s="3695"/>
      <c r="BS111" s="3695"/>
      <c r="BT111" s="3695"/>
      <c r="BU111" s="3695"/>
      <c r="BV111" s="3695"/>
      <c r="BW111" s="3695"/>
      <c r="BX111" s="3695"/>
      <c r="BY111" s="3695"/>
      <c r="BZ111" s="3695"/>
      <c r="CA111" s="3695"/>
      <c r="CB111" s="3694"/>
    </row>
    <row r="112" spans="18:80" ht="25.5">
      <c r="R112" s="3521">
        <f t="shared" si="50"/>
        <v>107</v>
      </c>
      <c r="S112" s="3523" t="s">
        <v>3130</v>
      </c>
      <c r="T112" s="3523" t="s">
        <v>3380</v>
      </c>
      <c r="U112" s="3524">
        <v>1134952</v>
      </c>
      <c r="V112" s="3524"/>
      <c r="W112" s="3524">
        <v>0</v>
      </c>
      <c r="X112" s="3525">
        <f t="shared" si="74"/>
        <v>2295.6051243886877</v>
      </c>
      <c r="Y112" s="3525">
        <f t="shared" si="74"/>
        <v>0</v>
      </c>
      <c r="Z112" s="3525">
        <f t="shared" si="74"/>
        <v>0</v>
      </c>
      <c r="AA112" s="3607"/>
      <c r="AB112" s="3607"/>
      <c r="AC112" s="3607"/>
      <c r="AD112" s="3608"/>
      <c r="AE112" s="3608"/>
      <c r="AF112" s="3608"/>
      <c r="AG112" s="3608"/>
      <c r="AH112" s="3608"/>
      <c r="AI112" s="3608"/>
      <c r="AJ112" s="3540"/>
      <c r="AK112" s="3529"/>
      <c r="AL112" s="3529" t="s">
        <v>3132</v>
      </c>
      <c r="AM112" s="3529" t="s">
        <v>3133</v>
      </c>
      <c r="AN112" s="3530">
        <f t="shared" si="66"/>
        <v>1478.3697001063149</v>
      </c>
      <c r="AO112" s="3530">
        <f t="shared" si="67"/>
        <v>0</v>
      </c>
      <c r="AP112" s="3530">
        <f t="shared" si="68"/>
        <v>0</v>
      </c>
      <c r="AQ112" s="3530">
        <f t="shared" si="69"/>
        <v>0</v>
      </c>
      <c r="AR112" s="3530">
        <f t="shared" si="70"/>
        <v>0</v>
      </c>
      <c r="AS112" s="3530">
        <f t="shared" si="71"/>
        <v>0</v>
      </c>
      <c r="AT112" s="3609">
        <f t="shared" si="72"/>
        <v>0</v>
      </c>
      <c r="AU112" s="3609">
        <f t="shared" si="73"/>
        <v>0</v>
      </c>
      <c r="AV112" s="3609">
        <f t="shared" si="56"/>
        <v>0</v>
      </c>
      <c r="AW112" s="3609">
        <f t="shared" si="57"/>
        <v>0</v>
      </c>
      <c r="AX112" s="3531" t="s">
        <v>3134</v>
      </c>
      <c r="AY112" s="3532">
        <f t="shared" si="51"/>
        <v>107</v>
      </c>
      <c r="AZ112" s="3532"/>
      <c r="BC112" s="3673"/>
      <c r="BD112" s="3693" t="s">
        <v>3398</v>
      </c>
      <c r="CB112" s="3672"/>
    </row>
    <row r="113" spans="18:80" ht="25.5">
      <c r="R113" s="3521">
        <f t="shared" si="50"/>
        <v>108</v>
      </c>
      <c r="S113" s="3523" t="s">
        <v>3130</v>
      </c>
      <c r="T113" s="3523" t="s">
        <v>3382</v>
      </c>
      <c r="U113" s="3524">
        <v>99888</v>
      </c>
      <c r="V113" s="3524">
        <v>3473234</v>
      </c>
      <c r="W113" s="3524">
        <v>0</v>
      </c>
      <c r="X113" s="3525">
        <f t="shared" si="74"/>
        <v>202.03797576015307</v>
      </c>
      <c r="Y113" s="3525">
        <f t="shared" si="74"/>
        <v>7025.1198011907281</v>
      </c>
      <c r="Z113" s="3525">
        <f t="shared" si="74"/>
        <v>0</v>
      </c>
      <c r="AA113" s="3607"/>
      <c r="AB113" s="3607"/>
      <c r="AC113" s="3607"/>
      <c r="AD113" s="3608"/>
      <c r="AE113" s="3608"/>
      <c r="AF113" s="3608"/>
      <c r="AG113" s="3608"/>
      <c r="AH113" s="3608"/>
      <c r="AI113" s="3608"/>
      <c r="AJ113" s="3540"/>
      <c r="AK113" s="3529"/>
      <c r="AL113" s="3529" t="s">
        <v>3132</v>
      </c>
      <c r="AM113" s="3529" t="s">
        <v>3133</v>
      </c>
      <c r="AN113" s="3530">
        <f t="shared" si="66"/>
        <v>130.11245638953858</v>
      </c>
      <c r="AO113" s="3530">
        <f t="shared" si="67"/>
        <v>0</v>
      </c>
      <c r="AP113" s="3530">
        <f t="shared" si="68"/>
        <v>4524.1771519668291</v>
      </c>
      <c r="AQ113" s="3530">
        <f t="shared" si="69"/>
        <v>0</v>
      </c>
      <c r="AR113" s="3530">
        <f t="shared" si="70"/>
        <v>0</v>
      </c>
      <c r="AS113" s="3530">
        <f t="shared" si="71"/>
        <v>0</v>
      </c>
      <c r="AT113" s="3609">
        <f t="shared" si="72"/>
        <v>0</v>
      </c>
      <c r="AU113" s="3609">
        <f t="shared" si="73"/>
        <v>0</v>
      </c>
      <c r="AV113" s="3609">
        <f t="shared" si="56"/>
        <v>0</v>
      </c>
      <c r="AW113" s="3609">
        <f t="shared" si="57"/>
        <v>0</v>
      </c>
      <c r="AX113" s="3531" t="s">
        <v>3134</v>
      </c>
      <c r="AY113" s="3532">
        <f t="shared" si="51"/>
        <v>108</v>
      </c>
      <c r="AZ113" s="3532"/>
      <c r="BC113" s="3692"/>
      <c r="BD113" s="3679" t="s">
        <v>3429</v>
      </c>
      <c r="BE113" s="3691">
        <v>45688</v>
      </c>
      <c r="BF113" s="3691">
        <f t="shared" ref="BF113:CB113" si="75">EOMONTH(BE113,1)</f>
        <v>45716</v>
      </c>
      <c r="BG113" s="3691">
        <f t="shared" si="75"/>
        <v>45747</v>
      </c>
      <c r="BH113" s="3691">
        <f t="shared" si="75"/>
        <v>45777</v>
      </c>
      <c r="BI113" s="3691">
        <f t="shared" si="75"/>
        <v>45808</v>
      </c>
      <c r="BJ113" s="3691">
        <f t="shared" si="75"/>
        <v>45838</v>
      </c>
      <c r="BK113" s="3691">
        <f t="shared" si="75"/>
        <v>45869</v>
      </c>
      <c r="BL113" s="3691">
        <f t="shared" si="75"/>
        <v>45900</v>
      </c>
      <c r="BM113" s="3691">
        <f t="shared" si="75"/>
        <v>45930</v>
      </c>
      <c r="BN113" s="3691">
        <f t="shared" si="75"/>
        <v>45961</v>
      </c>
      <c r="BO113" s="3691">
        <f t="shared" si="75"/>
        <v>45991</v>
      </c>
      <c r="BP113" s="3691">
        <f t="shared" si="75"/>
        <v>46022</v>
      </c>
      <c r="BQ113" s="3691">
        <f t="shared" si="75"/>
        <v>46053</v>
      </c>
      <c r="BR113" s="3691">
        <f t="shared" si="75"/>
        <v>46081</v>
      </c>
      <c r="BS113" s="3691">
        <f t="shared" si="75"/>
        <v>46112</v>
      </c>
      <c r="BT113" s="3691">
        <f t="shared" si="75"/>
        <v>46142</v>
      </c>
      <c r="BU113" s="3691">
        <f t="shared" si="75"/>
        <v>46173</v>
      </c>
      <c r="BV113" s="3691">
        <f t="shared" si="75"/>
        <v>46203</v>
      </c>
      <c r="BW113" s="3691">
        <f t="shared" si="75"/>
        <v>46234</v>
      </c>
      <c r="BX113" s="3691">
        <f t="shared" si="75"/>
        <v>46265</v>
      </c>
      <c r="BY113" s="3691">
        <f t="shared" si="75"/>
        <v>46295</v>
      </c>
      <c r="BZ113" s="3691">
        <f t="shared" si="75"/>
        <v>46326</v>
      </c>
      <c r="CA113" s="3691">
        <f t="shared" si="75"/>
        <v>46356</v>
      </c>
      <c r="CB113" s="3690">
        <f t="shared" si="75"/>
        <v>46387</v>
      </c>
    </row>
    <row r="114" spans="18:80" ht="45">
      <c r="R114" s="3521">
        <f t="shared" si="50"/>
        <v>109</v>
      </c>
      <c r="S114" s="3523" t="s">
        <v>3130</v>
      </c>
      <c r="T114" s="3523" t="s">
        <v>3384</v>
      </c>
      <c r="U114" s="3524">
        <v>0</v>
      </c>
      <c r="V114" s="3524">
        <v>0</v>
      </c>
      <c r="W114" s="3524">
        <v>11076524</v>
      </c>
      <c r="X114" s="3547" t="s">
        <v>3150</v>
      </c>
      <c r="Y114" s="3547" t="s">
        <v>3150</v>
      </c>
      <c r="Z114" s="3547" t="s">
        <v>3150</v>
      </c>
      <c r="AA114" s="3607">
        <v>0</v>
      </c>
      <c r="AB114" s="3607">
        <v>0</v>
      </c>
      <c r="AC114" s="3607">
        <v>0</v>
      </c>
      <c r="AD114" s="3608">
        <v>0</v>
      </c>
      <c r="AE114" s="3608">
        <v>0</v>
      </c>
      <c r="AF114" s="3608">
        <v>0</v>
      </c>
      <c r="AG114" s="3608">
        <v>0</v>
      </c>
      <c r="AH114" s="3608">
        <v>0</v>
      </c>
      <c r="AI114" s="3608">
        <v>0</v>
      </c>
      <c r="AJ114" s="3540" t="s">
        <v>3161</v>
      </c>
      <c r="AK114" s="3529"/>
      <c r="AL114" s="3529" t="s">
        <v>3132</v>
      </c>
      <c r="AM114" s="3529" t="s">
        <v>3152</v>
      </c>
      <c r="AN114" s="3530">
        <f t="shared" si="66"/>
        <v>0</v>
      </c>
      <c r="AO114" s="3530">
        <f t="shared" si="67"/>
        <v>0</v>
      </c>
      <c r="AP114" s="3530">
        <f t="shared" si="68"/>
        <v>0</v>
      </c>
      <c r="AQ114" s="3530">
        <f t="shared" si="69"/>
        <v>0</v>
      </c>
      <c r="AR114" s="3530">
        <f t="shared" si="70"/>
        <v>0</v>
      </c>
      <c r="AS114" s="3530">
        <f t="shared" si="71"/>
        <v>0</v>
      </c>
      <c r="AT114" s="3609">
        <f t="shared" si="72"/>
        <v>0</v>
      </c>
      <c r="AU114" s="3609">
        <f t="shared" si="73"/>
        <v>0</v>
      </c>
      <c r="AV114" s="3609">
        <f t="shared" si="56"/>
        <v>0</v>
      </c>
      <c r="AW114" s="3609">
        <f t="shared" si="57"/>
        <v>0</v>
      </c>
      <c r="AX114" s="3531" t="s">
        <v>3385</v>
      </c>
      <c r="AY114" s="3532">
        <f t="shared" si="51"/>
        <v>109</v>
      </c>
      <c r="AZ114" s="3532"/>
      <c r="BC114" s="3673"/>
      <c r="BD114" s="3668" t="s">
        <v>3386</v>
      </c>
      <c r="BE114" s="3689">
        <f t="shared" ref="BE114:CB114" si="76">BE39*$BE$109</f>
        <v>5801.5330581828312</v>
      </c>
      <c r="BF114" s="3689">
        <f t="shared" si="76"/>
        <v>5858.7539884153957</v>
      </c>
      <c r="BG114" s="3689">
        <f t="shared" si="76"/>
        <v>5915.9749186479603</v>
      </c>
      <c r="BH114" s="3689">
        <f t="shared" si="76"/>
        <v>5973.1958488805249</v>
      </c>
      <c r="BI114" s="3689">
        <f t="shared" si="76"/>
        <v>6030.4167791130894</v>
      </c>
      <c r="BJ114" s="3689">
        <f t="shared" si="76"/>
        <v>6087.6377093453775</v>
      </c>
      <c r="BK114" s="3689">
        <f t="shared" si="76"/>
        <v>6144.8586395779421</v>
      </c>
      <c r="BL114" s="3689">
        <f t="shared" si="76"/>
        <v>6202.0795698105067</v>
      </c>
      <c r="BM114" s="3689">
        <f t="shared" si="76"/>
        <v>6259.3005000430712</v>
      </c>
      <c r="BN114" s="3689">
        <f t="shared" si="76"/>
        <v>6316.5214302756358</v>
      </c>
      <c r="BO114" s="3689">
        <f t="shared" si="76"/>
        <v>6373.7423605082004</v>
      </c>
      <c r="BP114" s="3689">
        <f t="shared" si="76"/>
        <v>6430.9632907407649</v>
      </c>
      <c r="BQ114" s="3689">
        <f t="shared" si="76"/>
        <v>6488.1842209733295</v>
      </c>
      <c r="BR114" s="3689">
        <f t="shared" si="76"/>
        <v>6545.4051512058941</v>
      </c>
      <c r="BS114" s="3689">
        <f t="shared" si="76"/>
        <v>6602.6260814384586</v>
      </c>
      <c r="BT114" s="3689">
        <f t="shared" si="76"/>
        <v>6659.8470116710232</v>
      </c>
      <c r="BU114" s="3689">
        <f t="shared" si="76"/>
        <v>6717.0679419035878</v>
      </c>
      <c r="BV114" s="3689">
        <f t="shared" si="76"/>
        <v>6774.2888721361523</v>
      </c>
      <c r="BW114" s="3689">
        <f t="shared" si="76"/>
        <v>6831.5098023687169</v>
      </c>
      <c r="BX114" s="3689">
        <f t="shared" si="76"/>
        <v>6888.7307326012815</v>
      </c>
      <c r="BY114" s="3689">
        <f t="shared" si="76"/>
        <v>6945.9516628338461</v>
      </c>
      <c r="BZ114" s="3689">
        <f t="shared" si="76"/>
        <v>7003.1725930664106</v>
      </c>
      <c r="CA114" s="3689">
        <f t="shared" si="76"/>
        <v>7060.3935232989752</v>
      </c>
      <c r="CB114" s="3688">
        <f t="shared" si="76"/>
        <v>7117.6144535315398</v>
      </c>
    </row>
    <row r="115" spans="18:80">
      <c r="R115" s="3521">
        <f t="shared" si="50"/>
        <v>110</v>
      </c>
      <c r="S115" s="3523" t="s">
        <v>3130</v>
      </c>
      <c r="T115" s="3523" t="s">
        <v>3387</v>
      </c>
      <c r="U115" s="3524">
        <v>2008437</v>
      </c>
      <c r="V115" s="3524">
        <v>0</v>
      </c>
      <c r="W115" s="3524">
        <v>0</v>
      </c>
      <c r="X115" s="3525">
        <f t="shared" ref="X115:Z122" si="77">U115*$T$4*$T$3</f>
        <v>4062.3552971507547</v>
      </c>
      <c r="Y115" s="3525">
        <f t="shared" si="77"/>
        <v>0</v>
      </c>
      <c r="Z115" s="3525">
        <f t="shared" si="77"/>
        <v>0</v>
      </c>
      <c r="AA115" s="3607"/>
      <c r="AB115" s="3607"/>
      <c r="AC115" s="3607"/>
      <c r="AD115" s="3608"/>
      <c r="AE115" s="3608"/>
      <c r="AF115" s="3608"/>
      <c r="AG115" s="3608"/>
      <c r="AH115" s="3608"/>
      <c r="AI115" s="3608"/>
      <c r="AJ115" s="3540"/>
      <c r="AK115" s="3529"/>
      <c r="AL115" s="3529" t="s">
        <v>3132</v>
      </c>
      <c r="AM115" s="3529" t="s">
        <v>3133</v>
      </c>
      <c r="AN115" s="3530">
        <f t="shared" si="66"/>
        <v>2616.156811365086</v>
      </c>
      <c r="AO115" s="3530">
        <f t="shared" si="67"/>
        <v>0</v>
      </c>
      <c r="AP115" s="3530">
        <f t="shared" si="68"/>
        <v>0</v>
      </c>
      <c r="AQ115" s="3530">
        <f t="shared" si="69"/>
        <v>0</v>
      </c>
      <c r="AR115" s="3530">
        <f t="shared" si="70"/>
        <v>0</v>
      </c>
      <c r="AS115" s="3530">
        <f t="shared" si="71"/>
        <v>0</v>
      </c>
      <c r="AT115" s="3609">
        <f t="shared" si="72"/>
        <v>0</v>
      </c>
      <c r="AU115" s="3609">
        <f t="shared" si="73"/>
        <v>0</v>
      </c>
      <c r="AV115" s="3609">
        <f t="shared" si="56"/>
        <v>0</v>
      </c>
      <c r="AW115" s="3609">
        <f t="shared" si="57"/>
        <v>0</v>
      </c>
      <c r="AX115" s="3531" t="s">
        <v>3134</v>
      </c>
      <c r="AY115" s="3532">
        <f t="shared" si="51"/>
        <v>110</v>
      </c>
      <c r="AZ115" s="3532"/>
      <c r="BC115" s="3673"/>
      <c r="BD115" s="3668" t="s">
        <v>3410</v>
      </c>
      <c r="BE115" s="3689">
        <f t="shared" ref="BE115:CB115" si="78">BE67*BE76*$BF$109</f>
        <v>19777.457175348496</v>
      </c>
      <c r="BF115" s="3689">
        <f t="shared" si="78"/>
        <v>16707.654285163513</v>
      </c>
      <c r="BG115" s="3689">
        <f t="shared" si="78"/>
        <v>14727.856073935978</v>
      </c>
      <c r="BH115" s="3689">
        <f t="shared" si="78"/>
        <v>12368.237679100805</v>
      </c>
      <c r="BI115" s="3689">
        <f t="shared" si="78"/>
        <v>8216.1680689650821</v>
      </c>
      <c r="BJ115" s="3689">
        <f t="shared" si="78"/>
        <v>5327.4192500021554</v>
      </c>
      <c r="BK115" s="3689">
        <f t="shared" si="78"/>
        <v>3911.2489852732342</v>
      </c>
      <c r="BL115" s="3689">
        <f t="shared" si="78"/>
        <v>4076.4544569107511</v>
      </c>
      <c r="BM115" s="3689">
        <f t="shared" si="78"/>
        <v>5691.2358164776806</v>
      </c>
      <c r="BN115" s="3689">
        <f t="shared" si="78"/>
        <v>14781.181823888175</v>
      </c>
      <c r="BO115" s="3689">
        <f t="shared" si="78"/>
        <v>24195.628924882436</v>
      </c>
      <c r="BP115" s="3689">
        <f t="shared" si="78"/>
        <v>26410.142830224329</v>
      </c>
      <c r="BQ115" s="3689">
        <f t="shared" si="78"/>
        <v>22116.515770866528</v>
      </c>
      <c r="BR115" s="3689">
        <f t="shared" si="78"/>
        <v>18679.11355591489</v>
      </c>
      <c r="BS115" s="3689">
        <f t="shared" si="78"/>
        <v>16509.104767493332</v>
      </c>
      <c r="BT115" s="3689">
        <f t="shared" si="78"/>
        <v>13827.255592043774</v>
      </c>
      <c r="BU115" s="3689">
        <f t="shared" si="78"/>
        <v>9191.7327201024964</v>
      </c>
      <c r="BV115" s="3689">
        <f t="shared" si="78"/>
        <v>5958.7289146345311</v>
      </c>
      <c r="BW115" s="3689">
        <f t="shared" si="78"/>
        <v>4373.4553047919635</v>
      </c>
      <c r="BX115" s="3689">
        <f t="shared" si="78"/>
        <v>4468.1456715489394</v>
      </c>
      <c r="BY115" s="3689">
        <f t="shared" si="78"/>
        <v>6109.885903819777</v>
      </c>
      <c r="BZ115" s="3689">
        <f t="shared" si="78"/>
        <v>16273.805142883548</v>
      </c>
      <c r="CA115" s="3689">
        <f t="shared" si="78"/>
        <v>26845.337913625648</v>
      </c>
      <c r="CB115" s="3688">
        <f t="shared" si="78"/>
        <v>29209.440465354735</v>
      </c>
    </row>
    <row r="116" spans="18:80" ht="25.5">
      <c r="R116" s="3521">
        <f t="shared" si="50"/>
        <v>111</v>
      </c>
      <c r="S116" s="3523" t="s">
        <v>3130</v>
      </c>
      <c r="T116" s="3523" t="s">
        <v>3389</v>
      </c>
      <c r="U116" s="3524">
        <v>498893</v>
      </c>
      <c r="V116" s="3524">
        <v>0</v>
      </c>
      <c r="W116" s="3524">
        <v>0</v>
      </c>
      <c r="X116" s="3525">
        <f t="shared" si="77"/>
        <v>1009.0834919200508</v>
      </c>
      <c r="Y116" s="3525">
        <f t="shared" si="77"/>
        <v>0</v>
      </c>
      <c r="Z116" s="3525">
        <f t="shared" si="77"/>
        <v>0</v>
      </c>
      <c r="AA116" s="3607">
        <v>0</v>
      </c>
      <c r="AB116" s="3607">
        <v>0</v>
      </c>
      <c r="AC116" s="3607">
        <v>0</v>
      </c>
      <c r="AD116" s="3608">
        <v>0</v>
      </c>
      <c r="AE116" s="3608">
        <v>0</v>
      </c>
      <c r="AF116" s="3608">
        <v>0</v>
      </c>
      <c r="AG116" s="3608">
        <v>0</v>
      </c>
      <c r="AH116" s="3608">
        <v>0</v>
      </c>
      <c r="AI116" s="3608">
        <v>0</v>
      </c>
      <c r="AJ116" s="3540"/>
      <c r="AK116" s="3529"/>
      <c r="AL116" s="3529" t="s">
        <v>3132</v>
      </c>
      <c r="AM116" s="3529" t="s">
        <v>3133</v>
      </c>
      <c r="AN116" s="3530">
        <f t="shared" si="66"/>
        <v>649.84976879651276</v>
      </c>
      <c r="AO116" s="3530">
        <f t="shared" si="67"/>
        <v>0</v>
      </c>
      <c r="AP116" s="3530">
        <f t="shared" si="68"/>
        <v>0</v>
      </c>
      <c r="AQ116" s="3530">
        <f t="shared" si="69"/>
        <v>0</v>
      </c>
      <c r="AR116" s="3530">
        <f t="shared" si="70"/>
        <v>0</v>
      </c>
      <c r="AS116" s="3530">
        <f t="shared" si="71"/>
        <v>0</v>
      </c>
      <c r="AT116" s="3609">
        <f t="shared" si="72"/>
        <v>0</v>
      </c>
      <c r="AU116" s="3609">
        <f t="shared" si="73"/>
        <v>0</v>
      </c>
      <c r="AV116" s="3609">
        <f t="shared" si="56"/>
        <v>0</v>
      </c>
      <c r="AW116" s="3609">
        <f t="shared" si="57"/>
        <v>0</v>
      </c>
      <c r="AX116" s="3531" t="s">
        <v>3390</v>
      </c>
      <c r="AY116" s="3532">
        <f t="shared" si="51"/>
        <v>111</v>
      </c>
      <c r="AZ116" s="3532"/>
      <c r="BC116" s="3673"/>
      <c r="BD116" s="3668" t="s">
        <v>3411</v>
      </c>
      <c r="BE116" s="3689">
        <f t="shared" ref="BE116:CB116" si="79">BE67*BE77*$BG$109</f>
        <v>25634.166784201989</v>
      </c>
      <c r="BF116" s="3689">
        <f t="shared" si="79"/>
        <v>23704.889477695739</v>
      </c>
      <c r="BG116" s="3689">
        <f t="shared" si="79"/>
        <v>15895.920350866278</v>
      </c>
      <c r="BH116" s="3689">
        <f t="shared" si="79"/>
        <v>6343.5916412226379</v>
      </c>
      <c r="BI116" s="3689">
        <f t="shared" si="79"/>
        <v>1179.2939099084037</v>
      </c>
      <c r="BJ116" s="3689">
        <f t="shared" si="79"/>
        <v>492.44583987163583</v>
      </c>
      <c r="BK116" s="3689">
        <f t="shared" si="79"/>
        <v>424.78204003504669</v>
      </c>
      <c r="BL116" s="3689">
        <f t="shared" si="79"/>
        <v>367.60133979558395</v>
      </c>
      <c r="BM116" s="3689">
        <f t="shared" si="79"/>
        <v>626.70187509391621</v>
      </c>
      <c r="BN116" s="3689">
        <f t="shared" si="79"/>
        <v>1883.6230427216028</v>
      </c>
      <c r="BO116" s="3689">
        <f t="shared" si="79"/>
        <v>9882.9618246320879</v>
      </c>
      <c r="BP116" s="3689">
        <f t="shared" si="79"/>
        <v>28435.859561755577</v>
      </c>
      <c r="BQ116" s="3689">
        <f t="shared" si="79"/>
        <v>28665.892128057971</v>
      </c>
      <c r="BR116" s="3689">
        <f t="shared" si="79"/>
        <v>26502.004101047707</v>
      </c>
      <c r="BS116" s="3689">
        <f t="shared" si="79"/>
        <v>17818.439637837102</v>
      </c>
      <c r="BT116" s="3689">
        <f t="shared" si="79"/>
        <v>7091.9127906923331</v>
      </c>
      <c r="BU116" s="3689">
        <f t="shared" si="79"/>
        <v>1319.3199466388312</v>
      </c>
      <c r="BV116" s="3689">
        <f t="shared" si="79"/>
        <v>550.80164095090049</v>
      </c>
      <c r="BW116" s="3689">
        <f t="shared" si="79"/>
        <v>474.98005710363799</v>
      </c>
      <c r="BX116" s="3689">
        <f t="shared" si="79"/>
        <v>402.92277336221201</v>
      </c>
      <c r="BY116" s="3689">
        <f t="shared" si="79"/>
        <v>672.80237122621384</v>
      </c>
      <c r="BZ116" s="3689">
        <f t="shared" si="79"/>
        <v>2073.833792529138</v>
      </c>
      <c r="CA116" s="3689">
        <f t="shared" si="79"/>
        <v>10965.263626475453</v>
      </c>
      <c r="CB116" s="3688">
        <f t="shared" si="79"/>
        <v>31449.869555409467</v>
      </c>
    </row>
    <row r="117" spans="18:80" ht="25.5">
      <c r="R117" s="3521">
        <f t="shared" si="50"/>
        <v>112</v>
      </c>
      <c r="S117" s="3523" t="s">
        <v>3130</v>
      </c>
      <c r="T117" s="3523" t="s">
        <v>3391</v>
      </c>
      <c r="U117" s="3524">
        <v>1312654</v>
      </c>
      <c r="V117" s="3524">
        <v>0</v>
      </c>
      <c r="W117" s="3524">
        <v>0</v>
      </c>
      <c r="X117" s="3525">
        <f t="shared" si="77"/>
        <v>2655.0332075271103</v>
      </c>
      <c r="Y117" s="3525">
        <f t="shared" si="77"/>
        <v>0</v>
      </c>
      <c r="Z117" s="3525">
        <f t="shared" si="77"/>
        <v>0</v>
      </c>
      <c r="AA117" s="3607">
        <v>0</v>
      </c>
      <c r="AB117" s="3607">
        <v>0</v>
      </c>
      <c r="AC117" s="3607">
        <v>0</v>
      </c>
      <c r="AD117" s="3608">
        <v>0</v>
      </c>
      <c r="AE117" s="3608">
        <v>0</v>
      </c>
      <c r="AF117" s="3608">
        <v>0</v>
      </c>
      <c r="AG117" s="3608">
        <v>0</v>
      </c>
      <c r="AH117" s="3608">
        <v>0</v>
      </c>
      <c r="AI117" s="3608">
        <v>0</v>
      </c>
      <c r="AJ117" s="3540"/>
      <c r="AK117" s="3529"/>
      <c r="AL117" s="3529" t="s">
        <v>3132</v>
      </c>
      <c r="AM117" s="3529" t="s">
        <v>3133</v>
      </c>
      <c r="AN117" s="3530">
        <f t="shared" si="66"/>
        <v>1709.841385647459</v>
      </c>
      <c r="AO117" s="3530">
        <f t="shared" si="67"/>
        <v>0</v>
      </c>
      <c r="AP117" s="3530">
        <f t="shared" si="68"/>
        <v>0</v>
      </c>
      <c r="AQ117" s="3530">
        <f t="shared" si="69"/>
        <v>0</v>
      </c>
      <c r="AR117" s="3530">
        <f t="shared" si="70"/>
        <v>0</v>
      </c>
      <c r="AS117" s="3530">
        <f t="shared" si="71"/>
        <v>0</v>
      </c>
      <c r="AT117" s="3609">
        <f t="shared" si="72"/>
        <v>0</v>
      </c>
      <c r="AU117" s="3609">
        <f t="shared" si="73"/>
        <v>0</v>
      </c>
      <c r="AV117" s="3609">
        <f t="shared" si="56"/>
        <v>0</v>
      </c>
      <c r="AW117" s="3609">
        <f t="shared" si="57"/>
        <v>0</v>
      </c>
      <c r="AX117" s="3531" t="s">
        <v>3390</v>
      </c>
      <c r="AY117" s="3532">
        <f t="shared" si="51"/>
        <v>112</v>
      </c>
      <c r="AZ117" s="3532"/>
      <c r="BC117" s="3673"/>
      <c r="BD117" s="3687" t="s">
        <v>24</v>
      </c>
      <c r="BE117" s="3686">
        <f t="shared" ref="BE117:CB117" si="80">SUM(BE114:BE116)</f>
        <v>51213.15701773332</v>
      </c>
      <c r="BF117" s="3686">
        <f t="shared" si="80"/>
        <v>46271.297751274644</v>
      </c>
      <c r="BG117" s="3686">
        <f t="shared" si="80"/>
        <v>36539.751343450218</v>
      </c>
      <c r="BH117" s="3686">
        <f t="shared" si="80"/>
        <v>24685.025169203967</v>
      </c>
      <c r="BI117" s="3686">
        <f t="shared" si="80"/>
        <v>15425.878757986575</v>
      </c>
      <c r="BJ117" s="3686">
        <f t="shared" si="80"/>
        <v>11907.50279921917</v>
      </c>
      <c r="BK117" s="3686">
        <f t="shared" si="80"/>
        <v>10480.889664886223</v>
      </c>
      <c r="BL117" s="3686">
        <f t="shared" si="80"/>
        <v>10646.135366516843</v>
      </c>
      <c r="BM117" s="3686">
        <f t="shared" si="80"/>
        <v>12577.23819161467</v>
      </c>
      <c r="BN117" s="3686">
        <f t="shared" si="80"/>
        <v>22981.326296885414</v>
      </c>
      <c r="BO117" s="3686">
        <f t="shared" si="80"/>
        <v>40452.333110022722</v>
      </c>
      <c r="BP117" s="3686">
        <f t="shared" si="80"/>
        <v>61276.965682720671</v>
      </c>
      <c r="BQ117" s="3686">
        <f t="shared" si="80"/>
        <v>57270.592119897832</v>
      </c>
      <c r="BR117" s="3686">
        <f t="shared" si="80"/>
        <v>51726.522808168491</v>
      </c>
      <c r="BS117" s="3686">
        <f t="shared" si="80"/>
        <v>40930.170486768897</v>
      </c>
      <c r="BT117" s="3686">
        <f t="shared" si="80"/>
        <v>27579.015394407128</v>
      </c>
      <c r="BU117" s="3686">
        <f t="shared" si="80"/>
        <v>17228.120608644917</v>
      </c>
      <c r="BV117" s="3686">
        <f t="shared" si="80"/>
        <v>13283.819427721584</v>
      </c>
      <c r="BW117" s="3686">
        <f t="shared" si="80"/>
        <v>11679.945164264318</v>
      </c>
      <c r="BX117" s="3686">
        <f t="shared" si="80"/>
        <v>11759.799177512434</v>
      </c>
      <c r="BY117" s="3686">
        <f t="shared" si="80"/>
        <v>13728.639937879838</v>
      </c>
      <c r="BZ117" s="3686">
        <f t="shared" si="80"/>
        <v>25350.811528479095</v>
      </c>
      <c r="CA117" s="3686">
        <f t="shared" si="80"/>
        <v>44870.995063400078</v>
      </c>
      <c r="CB117" s="3685">
        <f t="shared" si="80"/>
        <v>67776.924474295753</v>
      </c>
    </row>
    <row r="118" spans="18:80">
      <c r="R118" s="3521">
        <f t="shared" si="50"/>
        <v>113</v>
      </c>
      <c r="S118" s="3523" t="s">
        <v>3130</v>
      </c>
      <c r="T118" s="3523" t="s">
        <v>3392</v>
      </c>
      <c r="U118" s="3524">
        <v>194036</v>
      </c>
      <c r="V118" s="3524">
        <v>0</v>
      </c>
      <c r="W118" s="3524">
        <v>0</v>
      </c>
      <c r="X118" s="3525">
        <f t="shared" si="77"/>
        <v>392.46596853072504</v>
      </c>
      <c r="Y118" s="3525">
        <f t="shared" si="77"/>
        <v>0</v>
      </c>
      <c r="Z118" s="3525">
        <f t="shared" si="77"/>
        <v>0</v>
      </c>
      <c r="AA118" s="3607">
        <v>0</v>
      </c>
      <c r="AB118" s="3607">
        <v>0</v>
      </c>
      <c r="AC118" s="3607">
        <v>0</v>
      </c>
      <c r="AD118" s="3608">
        <v>0</v>
      </c>
      <c r="AE118" s="3608">
        <v>0</v>
      </c>
      <c r="AF118" s="3608">
        <v>0</v>
      </c>
      <c r="AG118" s="3608">
        <v>0</v>
      </c>
      <c r="AH118" s="3608">
        <v>0</v>
      </c>
      <c r="AI118" s="3608">
        <v>0</v>
      </c>
      <c r="AJ118" s="3540"/>
      <c r="AK118" s="3529"/>
      <c r="AL118" s="3529" t="s">
        <v>3132</v>
      </c>
      <c r="AM118" s="3529" t="s">
        <v>3133</v>
      </c>
      <c r="AN118" s="3530">
        <f t="shared" si="66"/>
        <v>252.74808373378693</v>
      </c>
      <c r="AO118" s="3530">
        <f t="shared" si="67"/>
        <v>0</v>
      </c>
      <c r="AP118" s="3530">
        <f t="shared" si="68"/>
        <v>0</v>
      </c>
      <c r="AQ118" s="3530">
        <f t="shared" si="69"/>
        <v>0</v>
      </c>
      <c r="AR118" s="3530">
        <f t="shared" si="70"/>
        <v>0</v>
      </c>
      <c r="AS118" s="3530">
        <f t="shared" si="71"/>
        <v>0</v>
      </c>
      <c r="AT118" s="3609">
        <f t="shared" si="72"/>
        <v>0</v>
      </c>
      <c r="AU118" s="3609">
        <f t="shared" si="73"/>
        <v>0</v>
      </c>
      <c r="AV118" s="3609">
        <f t="shared" si="56"/>
        <v>0</v>
      </c>
      <c r="AW118" s="3609">
        <f t="shared" si="57"/>
        <v>0</v>
      </c>
      <c r="AX118" s="3531" t="s">
        <v>3390</v>
      </c>
      <c r="AY118" s="3532">
        <f t="shared" si="51"/>
        <v>113</v>
      </c>
      <c r="AZ118" s="3532"/>
      <c r="BC118" s="3673"/>
      <c r="BE118" s="3689"/>
      <c r="BF118" s="3689"/>
      <c r="BG118" s="3689"/>
      <c r="BH118" s="3689"/>
      <c r="BI118" s="3689"/>
      <c r="BJ118" s="3689"/>
      <c r="BK118" s="3689"/>
      <c r="BL118" s="3689"/>
      <c r="BM118" s="3689"/>
      <c r="BN118" s="3689"/>
      <c r="BO118" s="3689"/>
      <c r="BP118" s="3689"/>
      <c r="BQ118" s="3689"/>
      <c r="BR118" s="3689"/>
      <c r="BS118" s="3689"/>
      <c r="BT118" s="3689"/>
      <c r="BU118" s="3689"/>
      <c r="BV118" s="3689"/>
      <c r="BW118" s="3689"/>
      <c r="BX118" s="3689"/>
      <c r="BY118" s="3689"/>
      <c r="BZ118" s="3689"/>
      <c r="CA118" s="3689"/>
      <c r="CB118" s="3688"/>
    </row>
    <row r="119" spans="18:80">
      <c r="R119" s="3521">
        <f t="shared" si="50"/>
        <v>114</v>
      </c>
      <c r="S119" s="3523" t="s">
        <v>3130</v>
      </c>
      <c r="T119" s="3523" t="s">
        <v>3393</v>
      </c>
      <c r="U119" s="3524">
        <v>1614227</v>
      </c>
      <c r="V119" s="3524">
        <v>0</v>
      </c>
      <c r="W119" s="3524">
        <v>0</v>
      </c>
      <c r="X119" s="3525">
        <f t="shared" si="77"/>
        <v>3265.0083643419093</v>
      </c>
      <c r="Y119" s="3525">
        <f t="shared" si="77"/>
        <v>0</v>
      </c>
      <c r="Z119" s="3525">
        <f t="shared" si="77"/>
        <v>0</v>
      </c>
      <c r="AA119" s="3607">
        <v>0</v>
      </c>
      <c r="AB119" s="3607">
        <v>0</v>
      </c>
      <c r="AC119" s="3607">
        <v>0</v>
      </c>
      <c r="AD119" s="3608">
        <v>0</v>
      </c>
      <c r="AE119" s="3608">
        <v>0</v>
      </c>
      <c r="AF119" s="3608">
        <v>0</v>
      </c>
      <c r="AG119" s="3608">
        <v>0</v>
      </c>
      <c r="AH119" s="3608">
        <v>0</v>
      </c>
      <c r="AI119" s="3608">
        <v>0</v>
      </c>
      <c r="AJ119" s="3540"/>
      <c r="AK119" s="3529"/>
      <c r="AL119" s="3529" t="s">
        <v>3132</v>
      </c>
      <c r="AM119" s="3529" t="s">
        <v>3133</v>
      </c>
      <c r="AN119" s="3530">
        <f t="shared" si="66"/>
        <v>2102.6653866361899</v>
      </c>
      <c r="AO119" s="3530">
        <f t="shared" si="67"/>
        <v>0</v>
      </c>
      <c r="AP119" s="3530">
        <f t="shared" si="68"/>
        <v>0</v>
      </c>
      <c r="AQ119" s="3530">
        <f t="shared" si="69"/>
        <v>0</v>
      </c>
      <c r="AR119" s="3530">
        <f t="shared" si="70"/>
        <v>0</v>
      </c>
      <c r="AS119" s="3530">
        <f t="shared" si="71"/>
        <v>0</v>
      </c>
      <c r="AT119" s="3609">
        <f t="shared" si="72"/>
        <v>0</v>
      </c>
      <c r="AU119" s="3609">
        <f t="shared" si="73"/>
        <v>0</v>
      </c>
      <c r="AV119" s="3609">
        <f t="shared" si="56"/>
        <v>0</v>
      </c>
      <c r="AW119" s="3609">
        <f t="shared" si="57"/>
        <v>0</v>
      </c>
      <c r="AX119" s="3531" t="s">
        <v>3390</v>
      </c>
      <c r="AY119" s="3532">
        <f t="shared" si="51"/>
        <v>114</v>
      </c>
      <c r="AZ119" s="3532"/>
      <c r="BC119" s="3692"/>
      <c r="BD119" s="3679" t="s">
        <v>3428</v>
      </c>
      <c r="BE119" s="3691">
        <v>45688</v>
      </c>
      <c r="BF119" s="3691">
        <f t="shared" ref="BF119:CB119" si="81">EOMONTH(BE119,1)</f>
        <v>45716</v>
      </c>
      <c r="BG119" s="3691">
        <f t="shared" si="81"/>
        <v>45747</v>
      </c>
      <c r="BH119" s="3691">
        <f t="shared" si="81"/>
        <v>45777</v>
      </c>
      <c r="BI119" s="3691">
        <f t="shared" si="81"/>
        <v>45808</v>
      </c>
      <c r="BJ119" s="3691">
        <f t="shared" si="81"/>
        <v>45838</v>
      </c>
      <c r="BK119" s="3691">
        <f t="shared" si="81"/>
        <v>45869</v>
      </c>
      <c r="BL119" s="3691">
        <f t="shared" si="81"/>
        <v>45900</v>
      </c>
      <c r="BM119" s="3691">
        <f t="shared" si="81"/>
        <v>45930</v>
      </c>
      <c r="BN119" s="3691">
        <f t="shared" si="81"/>
        <v>45961</v>
      </c>
      <c r="BO119" s="3691">
        <f t="shared" si="81"/>
        <v>45991</v>
      </c>
      <c r="BP119" s="3691">
        <f t="shared" si="81"/>
        <v>46022</v>
      </c>
      <c r="BQ119" s="3691">
        <f t="shared" si="81"/>
        <v>46053</v>
      </c>
      <c r="BR119" s="3691">
        <f t="shared" si="81"/>
        <v>46081</v>
      </c>
      <c r="BS119" s="3691">
        <f t="shared" si="81"/>
        <v>46112</v>
      </c>
      <c r="BT119" s="3691">
        <f t="shared" si="81"/>
        <v>46142</v>
      </c>
      <c r="BU119" s="3691">
        <f t="shared" si="81"/>
        <v>46173</v>
      </c>
      <c r="BV119" s="3691">
        <f t="shared" si="81"/>
        <v>46203</v>
      </c>
      <c r="BW119" s="3691">
        <f t="shared" si="81"/>
        <v>46234</v>
      </c>
      <c r="BX119" s="3691">
        <f t="shared" si="81"/>
        <v>46265</v>
      </c>
      <c r="BY119" s="3691">
        <f t="shared" si="81"/>
        <v>46295</v>
      </c>
      <c r="BZ119" s="3691">
        <f t="shared" si="81"/>
        <v>46326</v>
      </c>
      <c r="CA119" s="3691">
        <f t="shared" si="81"/>
        <v>46356</v>
      </c>
      <c r="CB119" s="3690">
        <f t="shared" si="81"/>
        <v>46387</v>
      </c>
    </row>
    <row r="120" spans="18:80" ht="75">
      <c r="R120" s="3521">
        <f t="shared" si="50"/>
        <v>115</v>
      </c>
      <c r="S120" s="3523" t="s">
        <v>3155</v>
      </c>
      <c r="T120" s="3523" t="s">
        <v>3394</v>
      </c>
      <c r="U120" s="3524">
        <v>25772370</v>
      </c>
      <c r="V120" s="3524">
        <v>44265853</v>
      </c>
      <c r="W120" s="3524">
        <v>34666286</v>
      </c>
      <c r="X120" s="3525">
        <f t="shared" si="77"/>
        <v>52128.358414841583</v>
      </c>
      <c r="Y120" s="3525">
        <f t="shared" si="77"/>
        <v>89534.111559111203</v>
      </c>
      <c r="Z120" s="3525">
        <f t="shared" si="77"/>
        <v>70117.594211141826</v>
      </c>
      <c r="AA120" s="3607">
        <v>0</v>
      </c>
      <c r="AB120" s="3607">
        <v>0</v>
      </c>
      <c r="AC120" s="3607">
        <v>0</v>
      </c>
      <c r="AD120" s="3608">
        <v>1951000</v>
      </c>
      <c r="AE120" s="3608">
        <v>1951000</v>
      </c>
      <c r="AF120" s="3608">
        <v>0</v>
      </c>
      <c r="AG120" s="3608">
        <v>0</v>
      </c>
      <c r="AH120" s="3608">
        <v>0</v>
      </c>
      <c r="AI120" s="3608">
        <v>0</v>
      </c>
      <c r="AJ120" s="3540"/>
      <c r="AK120" s="3529" t="s">
        <v>3167</v>
      </c>
      <c r="AL120" s="3529" t="s">
        <v>3132</v>
      </c>
      <c r="AM120" s="3529" t="s">
        <v>3195</v>
      </c>
      <c r="AN120" s="3530">
        <f t="shared" si="66"/>
        <v>34896.286973647402</v>
      </c>
      <c r="AO120" s="3530">
        <f t="shared" si="67"/>
        <v>0</v>
      </c>
      <c r="AP120" s="3530">
        <f t="shared" si="68"/>
        <v>59936.82030101581</v>
      </c>
      <c r="AQ120" s="3530">
        <f t="shared" si="69"/>
        <v>0</v>
      </c>
      <c r="AR120" s="3530">
        <f t="shared" si="70"/>
        <v>46938.821092764672</v>
      </c>
      <c r="AS120" s="3530">
        <f t="shared" si="71"/>
        <v>0</v>
      </c>
      <c r="AT120" s="3609">
        <f t="shared" si="72"/>
        <v>1306057.93</v>
      </c>
      <c r="AU120" s="3609">
        <f t="shared" si="73"/>
        <v>0</v>
      </c>
      <c r="AV120" s="3609">
        <f t="shared" si="56"/>
        <v>1306057.93</v>
      </c>
      <c r="AW120" s="3609">
        <f t="shared" si="57"/>
        <v>0</v>
      </c>
      <c r="AX120" s="3531" t="s">
        <v>3395</v>
      </c>
      <c r="AY120" s="3532">
        <f t="shared" si="51"/>
        <v>115</v>
      </c>
      <c r="AZ120" s="3532"/>
      <c r="BC120" s="3673"/>
      <c r="BD120" s="3668" t="s">
        <v>3386</v>
      </c>
      <c r="BE120" s="3689">
        <f t="shared" ref="BE120:CB120" si="82">BE40*$BE$110</f>
        <v>0</v>
      </c>
      <c r="BF120" s="3689">
        <f t="shared" si="82"/>
        <v>0</v>
      </c>
      <c r="BG120" s="3689">
        <f t="shared" si="82"/>
        <v>0</v>
      </c>
      <c r="BH120" s="3689">
        <f t="shared" si="82"/>
        <v>0</v>
      </c>
      <c r="BI120" s="3689">
        <f t="shared" si="82"/>
        <v>0</v>
      </c>
      <c r="BJ120" s="3689">
        <f t="shared" si="82"/>
        <v>0</v>
      </c>
      <c r="BK120" s="3689">
        <f t="shared" si="82"/>
        <v>0</v>
      </c>
      <c r="BL120" s="3689">
        <f t="shared" si="82"/>
        <v>0</v>
      </c>
      <c r="BM120" s="3689">
        <f t="shared" si="82"/>
        <v>0</v>
      </c>
      <c r="BN120" s="3689">
        <f t="shared" si="82"/>
        <v>0</v>
      </c>
      <c r="BO120" s="3689">
        <f t="shared" si="82"/>
        <v>0</v>
      </c>
      <c r="BP120" s="3689">
        <f t="shared" si="82"/>
        <v>0</v>
      </c>
      <c r="BQ120" s="3689">
        <f t="shared" si="82"/>
        <v>0</v>
      </c>
      <c r="BR120" s="3689">
        <f t="shared" si="82"/>
        <v>0</v>
      </c>
      <c r="BS120" s="3689">
        <f t="shared" si="82"/>
        <v>0</v>
      </c>
      <c r="BT120" s="3689">
        <f t="shared" si="82"/>
        <v>0</v>
      </c>
      <c r="BU120" s="3689">
        <f t="shared" si="82"/>
        <v>0</v>
      </c>
      <c r="BV120" s="3689">
        <f t="shared" si="82"/>
        <v>0</v>
      </c>
      <c r="BW120" s="3689">
        <f t="shared" si="82"/>
        <v>0</v>
      </c>
      <c r="BX120" s="3689">
        <f t="shared" si="82"/>
        <v>0</v>
      </c>
      <c r="BY120" s="3689">
        <f t="shared" si="82"/>
        <v>0</v>
      </c>
      <c r="BZ120" s="3689">
        <f t="shared" si="82"/>
        <v>0</v>
      </c>
      <c r="CA120" s="3689">
        <f t="shared" si="82"/>
        <v>0</v>
      </c>
      <c r="CB120" s="3688">
        <f t="shared" si="82"/>
        <v>0</v>
      </c>
    </row>
    <row r="121" spans="18:80" ht="38.25">
      <c r="R121" s="3521">
        <f t="shared" si="50"/>
        <v>116</v>
      </c>
      <c r="S121" s="3523" t="s">
        <v>3155</v>
      </c>
      <c r="T121" s="3523" t="s">
        <v>3396</v>
      </c>
      <c r="U121" s="3524">
        <v>0</v>
      </c>
      <c r="V121" s="3524">
        <v>0</v>
      </c>
      <c r="W121" s="3524">
        <v>3950000</v>
      </c>
      <c r="X121" s="3525">
        <f t="shared" si="77"/>
        <v>0</v>
      </c>
      <c r="Y121" s="3525">
        <f t="shared" si="77"/>
        <v>0</v>
      </c>
      <c r="Z121" s="3525">
        <f t="shared" si="77"/>
        <v>7989.4482245375284</v>
      </c>
      <c r="AA121" s="3607">
        <v>0</v>
      </c>
      <c r="AB121" s="3607">
        <v>0</v>
      </c>
      <c r="AC121" s="3607">
        <v>0</v>
      </c>
      <c r="AD121" s="3608">
        <v>0</v>
      </c>
      <c r="AE121" s="3608">
        <v>0</v>
      </c>
      <c r="AF121" s="3608">
        <v>0</v>
      </c>
      <c r="AG121" s="3608">
        <v>0</v>
      </c>
      <c r="AH121" s="3608">
        <v>0</v>
      </c>
      <c r="AI121" s="3608">
        <v>0</v>
      </c>
      <c r="AJ121" s="3540"/>
      <c r="AK121" s="3529"/>
      <c r="AL121" s="3529" t="s">
        <v>3132</v>
      </c>
      <c r="AM121" s="3529" t="s">
        <v>3133</v>
      </c>
      <c r="AN121" s="3530">
        <f t="shared" si="66"/>
        <v>0</v>
      </c>
      <c r="AO121" s="3530">
        <f t="shared" si="67"/>
        <v>0</v>
      </c>
      <c r="AP121" s="3530">
        <f t="shared" si="68"/>
        <v>0</v>
      </c>
      <c r="AQ121" s="3530">
        <f t="shared" si="69"/>
        <v>0</v>
      </c>
      <c r="AR121" s="3530">
        <f t="shared" si="70"/>
        <v>5145.2046566021681</v>
      </c>
      <c r="AS121" s="3530">
        <f t="shared" si="71"/>
        <v>0</v>
      </c>
      <c r="AT121" s="3609">
        <f t="shared" si="72"/>
        <v>0</v>
      </c>
      <c r="AU121" s="3609">
        <f t="shared" si="73"/>
        <v>0</v>
      </c>
      <c r="AV121" s="3609">
        <f t="shared" si="56"/>
        <v>0</v>
      </c>
      <c r="AW121" s="3609">
        <f t="shared" si="57"/>
        <v>0</v>
      </c>
      <c r="AX121" s="3531" t="s">
        <v>3397</v>
      </c>
      <c r="AY121" s="3532">
        <f t="shared" si="51"/>
        <v>116</v>
      </c>
      <c r="AZ121" s="3532"/>
      <c r="BC121" s="3673"/>
      <c r="BD121" s="3668" t="s">
        <v>3410</v>
      </c>
      <c r="BE121" s="3684">
        <f t="shared" ref="BE121:CB121" si="83">BE$68*BE80*$BF$110</f>
        <v>0</v>
      </c>
      <c r="BF121" s="3684">
        <f t="shared" si="83"/>
        <v>0</v>
      </c>
      <c r="BG121" s="3684">
        <f t="shared" si="83"/>
        <v>0</v>
      </c>
      <c r="BH121" s="3684">
        <f t="shared" si="83"/>
        <v>0</v>
      </c>
      <c r="BI121" s="3684">
        <f t="shared" si="83"/>
        <v>0</v>
      </c>
      <c r="BJ121" s="3684">
        <f t="shared" si="83"/>
        <v>0</v>
      </c>
      <c r="BK121" s="3684">
        <f t="shared" si="83"/>
        <v>0</v>
      </c>
      <c r="BL121" s="3684">
        <f t="shared" si="83"/>
        <v>0</v>
      </c>
      <c r="BM121" s="3684">
        <f t="shared" si="83"/>
        <v>0</v>
      </c>
      <c r="BN121" s="3684">
        <f t="shared" si="83"/>
        <v>0</v>
      </c>
      <c r="BO121" s="3684">
        <f t="shared" si="83"/>
        <v>0</v>
      </c>
      <c r="BP121" s="3684">
        <f t="shared" si="83"/>
        <v>0</v>
      </c>
      <c r="BQ121" s="3684">
        <f t="shared" si="83"/>
        <v>0</v>
      </c>
      <c r="BR121" s="3684">
        <f t="shared" si="83"/>
        <v>0</v>
      </c>
      <c r="BS121" s="3684">
        <f t="shared" si="83"/>
        <v>0</v>
      </c>
      <c r="BT121" s="3684">
        <f t="shared" si="83"/>
        <v>0</v>
      </c>
      <c r="BU121" s="3684">
        <f t="shared" si="83"/>
        <v>0</v>
      </c>
      <c r="BV121" s="3684">
        <f t="shared" si="83"/>
        <v>0</v>
      </c>
      <c r="BW121" s="3684">
        <f t="shared" si="83"/>
        <v>0</v>
      </c>
      <c r="BX121" s="3684">
        <f t="shared" si="83"/>
        <v>0</v>
      </c>
      <c r="BY121" s="3684">
        <f t="shared" si="83"/>
        <v>0</v>
      </c>
      <c r="BZ121" s="3684">
        <f t="shared" si="83"/>
        <v>0</v>
      </c>
      <c r="CA121" s="3684">
        <f t="shared" si="83"/>
        <v>0</v>
      </c>
      <c r="CB121" s="3683">
        <f t="shared" si="83"/>
        <v>0</v>
      </c>
    </row>
    <row r="122" spans="18:80" ht="25.5">
      <c r="R122" s="3521">
        <f t="shared" si="50"/>
        <v>117</v>
      </c>
      <c r="S122" s="3523" t="s">
        <v>3144</v>
      </c>
      <c r="T122" s="3523" t="s">
        <v>3399</v>
      </c>
      <c r="U122" s="3524">
        <v>485512</v>
      </c>
      <c r="V122" s="3524">
        <v>1014488</v>
      </c>
      <c r="W122" s="3524">
        <v>1220271</v>
      </c>
      <c r="X122" s="3525">
        <f t="shared" si="77"/>
        <v>982.01847756750999</v>
      </c>
      <c r="Y122" s="3525">
        <f t="shared" si="77"/>
        <v>2051.9492026366147</v>
      </c>
      <c r="Z122" s="3525">
        <f t="shared" si="77"/>
        <v>2468.1751833935782</v>
      </c>
      <c r="AA122" s="3607">
        <v>0</v>
      </c>
      <c r="AB122" s="3607">
        <v>0</v>
      </c>
      <c r="AC122" s="3607">
        <v>0</v>
      </c>
      <c r="AD122" s="3608">
        <v>0</v>
      </c>
      <c r="AE122" s="3608">
        <v>0</v>
      </c>
      <c r="AF122" s="3608">
        <v>0</v>
      </c>
      <c r="AG122" s="3608">
        <v>0</v>
      </c>
      <c r="AH122" s="3608">
        <v>0</v>
      </c>
      <c r="AI122" s="3608">
        <v>0</v>
      </c>
      <c r="AJ122" s="3540"/>
      <c r="AK122" s="3529"/>
      <c r="AL122" s="3529" t="s">
        <v>839</v>
      </c>
      <c r="AM122" s="3529" t="s">
        <v>839</v>
      </c>
      <c r="AN122" s="3530">
        <f t="shared" si="66"/>
        <v>460.91112035158329</v>
      </c>
      <c r="AO122" s="3530">
        <f t="shared" si="67"/>
        <v>145.90007293967949</v>
      </c>
      <c r="AP122" s="3530">
        <f t="shared" si="68"/>
        <v>963.08392102200776</v>
      </c>
      <c r="AQ122" s="3530">
        <f t="shared" si="69"/>
        <v>304.8614106271927</v>
      </c>
      <c r="AR122" s="3530">
        <f t="shared" si="70"/>
        <v>1158.4399020879955</v>
      </c>
      <c r="AS122" s="3530">
        <f t="shared" si="71"/>
        <v>366.70077754242044</v>
      </c>
      <c r="AT122" s="3609">
        <f t="shared" si="72"/>
        <v>0</v>
      </c>
      <c r="AU122" s="3609">
        <f t="shared" si="73"/>
        <v>0</v>
      </c>
      <c r="AV122" s="3609">
        <f t="shared" si="56"/>
        <v>0</v>
      </c>
      <c r="AW122" s="3609">
        <f t="shared" si="57"/>
        <v>0</v>
      </c>
      <c r="AX122" s="3531" t="s">
        <v>3134</v>
      </c>
      <c r="AY122" s="3532">
        <f t="shared" si="51"/>
        <v>117</v>
      </c>
      <c r="AZ122" s="3532"/>
      <c r="BC122" s="3673"/>
      <c r="BD122" s="3668" t="s">
        <v>3411</v>
      </c>
      <c r="BE122" s="3684">
        <f t="shared" ref="BE122:CB122" si="84">BE$68*BE81*$BG$110</f>
        <v>0</v>
      </c>
      <c r="BF122" s="3684">
        <f t="shared" si="84"/>
        <v>0</v>
      </c>
      <c r="BG122" s="3684">
        <f t="shared" si="84"/>
        <v>0</v>
      </c>
      <c r="BH122" s="3684">
        <f t="shared" si="84"/>
        <v>0</v>
      </c>
      <c r="BI122" s="3684">
        <f t="shared" si="84"/>
        <v>0</v>
      </c>
      <c r="BJ122" s="3684">
        <f t="shared" si="84"/>
        <v>0</v>
      </c>
      <c r="BK122" s="3684">
        <f t="shared" si="84"/>
        <v>0</v>
      </c>
      <c r="BL122" s="3684">
        <f t="shared" si="84"/>
        <v>0</v>
      </c>
      <c r="BM122" s="3684">
        <f t="shared" si="84"/>
        <v>0</v>
      </c>
      <c r="BN122" s="3684">
        <f t="shared" si="84"/>
        <v>0</v>
      </c>
      <c r="BO122" s="3684">
        <f t="shared" si="84"/>
        <v>0</v>
      </c>
      <c r="BP122" s="3684">
        <f t="shared" si="84"/>
        <v>0</v>
      </c>
      <c r="BQ122" s="3684">
        <f t="shared" si="84"/>
        <v>0</v>
      </c>
      <c r="BR122" s="3684">
        <f t="shared" si="84"/>
        <v>0</v>
      </c>
      <c r="BS122" s="3684">
        <f t="shared" si="84"/>
        <v>0</v>
      </c>
      <c r="BT122" s="3684">
        <f t="shared" si="84"/>
        <v>0</v>
      </c>
      <c r="BU122" s="3684">
        <f t="shared" si="84"/>
        <v>0</v>
      </c>
      <c r="BV122" s="3684">
        <f t="shared" si="84"/>
        <v>0</v>
      </c>
      <c r="BW122" s="3684">
        <f t="shared" si="84"/>
        <v>0</v>
      </c>
      <c r="BX122" s="3684">
        <f t="shared" si="84"/>
        <v>0</v>
      </c>
      <c r="BY122" s="3684">
        <f t="shared" si="84"/>
        <v>0</v>
      </c>
      <c r="BZ122" s="3684">
        <f t="shared" si="84"/>
        <v>0</v>
      </c>
      <c r="CA122" s="3684">
        <f t="shared" si="84"/>
        <v>0</v>
      </c>
      <c r="CB122" s="3683">
        <f t="shared" si="84"/>
        <v>0</v>
      </c>
    </row>
    <row r="123" spans="18:80">
      <c r="R123" s="2688"/>
      <c r="S123" s="3614"/>
      <c r="T123" s="2688"/>
      <c r="U123" s="3615">
        <f t="shared" ref="U123:AI123" si="85">SUM(U6:U122)</f>
        <v>409247187.57142854</v>
      </c>
      <c r="V123" s="3615">
        <f t="shared" si="85"/>
        <v>457512047</v>
      </c>
      <c r="W123" s="3615">
        <f t="shared" si="85"/>
        <v>551511322</v>
      </c>
      <c r="X123" s="3616">
        <f t="shared" si="85"/>
        <v>541247.17354576103</v>
      </c>
      <c r="Y123" s="3616">
        <f t="shared" si="85"/>
        <v>650248.29056453321</v>
      </c>
      <c r="Z123" s="3616">
        <f t="shared" si="85"/>
        <v>811419.68647405924</v>
      </c>
      <c r="AA123" s="3617">
        <f t="shared" si="85"/>
        <v>609174</v>
      </c>
      <c r="AB123" s="3617">
        <f t="shared" si="85"/>
        <v>696605</v>
      </c>
      <c r="AC123" s="3617">
        <f t="shared" si="85"/>
        <v>1067991</v>
      </c>
      <c r="AD123" s="3618">
        <f t="shared" si="85"/>
        <v>158279926.33333334</v>
      </c>
      <c r="AE123" s="3618">
        <f t="shared" si="85"/>
        <v>160781859.33333334</v>
      </c>
      <c r="AF123" s="3618">
        <f t="shared" si="85"/>
        <v>3602994</v>
      </c>
      <c r="AG123" s="3618">
        <f t="shared" si="85"/>
        <v>979594</v>
      </c>
      <c r="AH123" s="3618">
        <f t="shared" si="85"/>
        <v>8881101</v>
      </c>
      <c r="AI123" s="3618">
        <f t="shared" si="85"/>
        <v>9246942</v>
      </c>
      <c r="AJ123" s="3614"/>
      <c r="AK123" s="3619"/>
      <c r="AL123" s="3619"/>
      <c r="AM123" s="3619" t="s">
        <v>24</v>
      </c>
      <c r="AN123" s="3620">
        <f t="shared" ref="AN123:AW123" si="86">SUM(AN6:AN122)</f>
        <v>559337.92574495065</v>
      </c>
      <c r="AO123" s="3621">
        <f t="shared" si="86"/>
        <v>186710.32165398271</v>
      </c>
      <c r="AP123" s="3620">
        <f t="shared" si="86"/>
        <v>714945.78031786077</v>
      </c>
      <c r="AQ123" s="3621">
        <f t="shared" si="86"/>
        <v>183992.89129313678</v>
      </c>
      <c r="AR123" s="3620">
        <f t="shared" si="86"/>
        <v>945719.19548597082</v>
      </c>
      <c r="AS123" s="3621">
        <f t="shared" si="86"/>
        <v>217764.76932557541</v>
      </c>
      <c r="AT123" s="3622">
        <f t="shared" si="86"/>
        <v>88574486.149120972</v>
      </c>
      <c r="AU123" s="3622">
        <f t="shared" si="86"/>
        <v>14949847.837270435</v>
      </c>
      <c r="AV123" s="3622">
        <f t="shared" si="86"/>
        <v>88550559.012291655</v>
      </c>
      <c r="AW123" s="3622">
        <f t="shared" si="86"/>
        <v>14604625.363600751</v>
      </c>
      <c r="AX123" s="3614"/>
      <c r="AY123" s="2136"/>
      <c r="AZ123" s="2136"/>
      <c r="BC123" s="3673"/>
      <c r="BD123" s="3668" t="s">
        <v>3412</v>
      </c>
      <c r="BE123" s="3684">
        <f t="shared" ref="BE123:CB123" si="87">BE$68*BE82*$BH$110</f>
        <v>0</v>
      </c>
      <c r="BF123" s="3684">
        <f t="shared" si="87"/>
        <v>0</v>
      </c>
      <c r="BG123" s="3684">
        <f t="shared" si="87"/>
        <v>0</v>
      </c>
      <c r="BH123" s="3684">
        <f t="shared" si="87"/>
        <v>0</v>
      </c>
      <c r="BI123" s="3684">
        <f t="shared" si="87"/>
        <v>0</v>
      </c>
      <c r="BJ123" s="3684">
        <f t="shared" si="87"/>
        <v>0</v>
      </c>
      <c r="BK123" s="3684">
        <f t="shared" si="87"/>
        <v>0</v>
      </c>
      <c r="BL123" s="3684">
        <f t="shared" si="87"/>
        <v>0</v>
      </c>
      <c r="BM123" s="3684">
        <f t="shared" si="87"/>
        <v>0</v>
      </c>
      <c r="BN123" s="3684">
        <f t="shared" si="87"/>
        <v>0</v>
      </c>
      <c r="BO123" s="3684">
        <f t="shared" si="87"/>
        <v>0</v>
      </c>
      <c r="BP123" s="3684">
        <f t="shared" si="87"/>
        <v>0</v>
      </c>
      <c r="BQ123" s="3684">
        <f t="shared" si="87"/>
        <v>0</v>
      </c>
      <c r="BR123" s="3684">
        <f t="shared" si="87"/>
        <v>0</v>
      </c>
      <c r="BS123" s="3684">
        <f t="shared" si="87"/>
        <v>0</v>
      </c>
      <c r="BT123" s="3684">
        <f t="shared" si="87"/>
        <v>0</v>
      </c>
      <c r="BU123" s="3684">
        <f t="shared" si="87"/>
        <v>0</v>
      </c>
      <c r="BV123" s="3684">
        <f t="shared" si="87"/>
        <v>0</v>
      </c>
      <c r="BW123" s="3684">
        <f t="shared" si="87"/>
        <v>0</v>
      </c>
      <c r="BX123" s="3684">
        <f t="shared" si="87"/>
        <v>0</v>
      </c>
      <c r="BY123" s="3684">
        <f t="shared" si="87"/>
        <v>0</v>
      </c>
      <c r="BZ123" s="3684">
        <f t="shared" si="87"/>
        <v>0</v>
      </c>
      <c r="CA123" s="3684">
        <f t="shared" si="87"/>
        <v>0</v>
      </c>
      <c r="CB123" s="3683">
        <f t="shared" si="87"/>
        <v>0</v>
      </c>
    </row>
    <row r="124" spans="18:80" ht="25.5">
      <c r="S124" s="3991" t="s">
        <v>3400</v>
      </c>
      <c r="T124" s="3991"/>
      <c r="U124" s="3991"/>
      <c r="V124" s="3991"/>
      <c r="W124" s="3991"/>
      <c r="X124" s="3619" t="s">
        <v>24</v>
      </c>
      <c r="AA124" s="3541"/>
      <c r="AB124" s="3541"/>
      <c r="AC124" s="3541"/>
      <c r="AD124" s="3541"/>
      <c r="AF124" s="3541"/>
      <c r="AG124" s="3541"/>
      <c r="AN124" s="3623" t="s">
        <v>3401</v>
      </c>
      <c r="AO124" s="3577" t="s">
        <v>3176</v>
      </c>
      <c r="AP124" s="3623" t="s">
        <v>3402</v>
      </c>
      <c r="AQ124" s="3577" t="s">
        <v>3403</v>
      </c>
      <c r="AR124" s="3623" t="s">
        <v>3404</v>
      </c>
      <c r="AS124" s="3577" t="s">
        <v>3405</v>
      </c>
      <c r="AT124" s="3578" t="s">
        <v>3406</v>
      </c>
      <c r="AU124" s="3578" t="s">
        <v>3407</v>
      </c>
      <c r="AV124" s="3578" t="s">
        <v>3408</v>
      </c>
      <c r="AW124" s="3578" t="s">
        <v>3409</v>
      </c>
      <c r="BC124" s="3673"/>
      <c r="BD124" s="3668" t="s">
        <v>3427</v>
      </c>
      <c r="BE124" s="3684">
        <f t="shared" ref="BE124:CB124" si="88">BE$68*BE83*$BI$110</f>
        <v>0</v>
      </c>
      <c r="BF124" s="3684">
        <f t="shared" si="88"/>
        <v>0</v>
      </c>
      <c r="BG124" s="3684">
        <f t="shared" si="88"/>
        <v>0</v>
      </c>
      <c r="BH124" s="3684">
        <f t="shared" si="88"/>
        <v>0</v>
      </c>
      <c r="BI124" s="3684">
        <f t="shared" si="88"/>
        <v>0</v>
      </c>
      <c r="BJ124" s="3684">
        <f t="shared" si="88"/>
        <v>0</v>
      </c>
      <c r="BK124" s="3684">
        <f t="shared" si="88"/>
        <v>0</v>
      </c>
      <c r="BL124" s="3684">
        <f t="shared" si="88"/>
        <v>0</v>
      </c>
      <c r="BM124" s="3684">
        <f t="shared" si="88"/>
        <v>0</v>
      </c>
      <c r="BN124" s="3684">
        <f t="shared" si="88"/>
        <v>0</v>
      </c>
      <c r="BO124" s="3684">
        <f t="shared" si="88"/>
        <v>0</v>
      </c>
      <c r="BP124" s="3684">
        <f t="shared" si="88"/>
        <v>0</v>
      </c>
      <c r="BQ124" s="3684">
        <f t="shared" si="88"/>
        <v>0</v>
      </c>
      <c r="BR124" s="3684">
        <f t="shared" si="88"/>
        <v>0</v>
      </c>
      <c r="BS124" s="3684">
        <f t="shared" si="88"/>
        <v>0</v>
      </c>
      <c r="BT124" s="3684">
        <f t="shared" si="88"/>
        <v>0</v>
      </c>
      <c r="BU124" s="3684">
        <f t="shared" si="88"/>
        <v>0</v>
      </c>
      <c r="BV124" s="3684">
        <f t="shared" si="88"/>
        <v>0</v>
      </c>
      <c r="BW124" s="3684">
        <f t="shared" si="88"/>
        <v>0</v>
      </c>
      <c r="BX124" s="3684">
        <f t="shared" si="88"/>
        <v>0</v>
      </c>
      <c r="BY124" s="3684">
        <f t="shared" si="88"/>
        <v>0</v>
      </c>
      <c r="BZ124" s="3684">
        <f t="shared" si="88"/>
        <v>0</v>
      </c>
      <c r="CA124" s="3684">
        <f t="shared" si="88"/>
        <v>0</v>
      </c>
      <c r="CB124" s="3683">
        <f t="shared" si="88"/>
        <v>0</v>
      </c>
    </row>
    <row r="125" spans="18:80" ht="15.75" thickBot="1">
      <c r="S125" s="3532"/>
      <c r="AA125" s="3541"/>
      <c r="AB125" s="3541"/>
      <c r="AC125" s="3541"/>
      <c r="AD125" s="3541"/>
      <c r="AF125" s="3541"/>
      <c r="AG125" s="3541"/>
      <c r="AN125" s="3541"/>
      <c r="AO125" s="3541"/>
      <c r="AP125" s="3541"/>
      <c r="AQ125" s="3541"/>
      <c r="AR125" s="3541"/>
      <c r="AS125" s="3541"/>
      <c r="AT125" s="3541"/>
      <c r="AU125" s="3541"/>
      <c r="AV125" s="3541"/>
      <c r="AW125" s="3541"/>
      <c r="BC125" s="3673"/>
      <c r="BD125" s="3668" t="s">
        <v>3426</v>
      </c>
      <c r="BE125" s="3684">
        <f t="shared" ref="BE125:CB125" si="89">BE$68*BE84*$BJ$110</f>
        <v>0</v>
      </c>
      <c r="BF125" s="3684">
        <f t="shared" si="89"/>
        <v>0</v>
      </c>
      <c r="BG125" s="3684">
        <f t="shared" si="89"/>
        <v>0</v>
      </c>
      <c r="BH125" s="3684">
        <f t="shared" si="89"/>
        <v>0</v>
      </c>
      <c r="BI125" s="3684">
        <f t="shared" si="89"/>
        <v>0</v>
      </c>
      <c r="BJ125" s="3684">
        <f t="shared" si="89"/>
        <v>0</v>
      </c>
      <c r="BK125" s="3684">
        <f t="shared" si="89"/>
        <v>0</v>
      </c>
      <c r="BL125" s="3684">
        <f t="shared" si="89"/>
        <v>0</v>
      </c>
      <c r="BM125" s="3684">
        <f t="shared" si="89"/>
        <v>0</v>
      </c>
      <c r="BN125" s="3684">
        <f t="shared" si="89"/>
        <v>0</v>
      </c>
      <c r="BO125" s="3684">
        <f t="shared" si="89"/>
        <v>0</v>
      </c>
      <c r="BP125" s="3684">
        <f t="shared" si="89"/>
        <v>0</v>
      </c>
      <c r="BQ125" s="3684">
        <f t="shared" si="89"/>
        <v>0</v>
      </c>
      <c r="BR125" s="3684">
        <f t="shared" si="89"/>
        <v>0</v>
      </c>
      <c r="BS125" s="3684">
        <f t="shared" si="89"/>
        <v>0</v>
      </c>
      <c r="BT125" s="3684">
        <f t="shared" si="89"/>
        <v>0</v>
      </c>
      <c r="BU125" s="3684">
        <f t="shared" si="89"/>
        <v>0</v>
      </c>
      <c r="BV125" s="3684">
        <f t="shared" si="89"/>
        <v>0</v>
      </c>
      <c r="BW125" s="3684">
        <f t="shared" si="89"/>
        <v>0</v>
      </c>
      <c r="BX125" s="3684">
        <f t="shared" si="89"/>
        <v>0</v>
      </c>
      <c r="BY125" s="3684">
        <f t="shared" si="89"/>
        <v>0</v>
      </c>
      <c r="BZ125" s="3684">
        <f t="shared" si="89"/>
        <v>0</v>
      </c>
      <c r="CA125" s="3684">
        <f t="shared" si="89"/>
        <v>0</v>
      </c>
      <c r="CB125" s="3683">
        <f t="shared" si="89"/>
        <v>0</v>
      </c>
    </row>
    <row r="126" spans="18:80">
      <c r="W126" s="3624"/>
      <c r="X126" s="3524"/>
      <c r="Y126" s="3524"/>
      <c r="Z126" s="3524"/>
      <c r="AA126" s="3541"/>
      <c r="AB126" s="3541"/>
      <c r="AC126" s="3541"/>
      <c r="AG126" s="3625"/>
      <c r="AH126" s="3626" t="s">
        <v>794</v>
      </c>
      <c r="AI126" s="3627"/>
      <c r="AO126" s="3628" t="s">
        <v>3186</v>
      </c>
      <c r="AP126" s="3583" t="s">
        <v>3187</v>
      </c>
      <c r="AR126" s="3628" t="s">
        <v>3188</v>
      </c>
      <c r="AS126" s="3583" t="s">
        <v>3189</v>
      </c>
      <c r="BC126" s="3673"/>
      <c r="BD126" s="3687" t="s">
        <v>24</v>
      </c>
      <c r="BE126" s="3686">
        <f t="shared" ref="BE126:CB126" si="90">SUM(BE120:BE125)</f>
        <v>0</v>
      </c>
      <c r="BF126" s="3686">
        <f t="shared" si="90"/>
        <v>0</v>
      </c>
      <c r="BG126" s="3686">
        <f t="shared" si="90"/>
        <v>0</v>
      </c>
      <c r="BH126" s="3686">
        <f t="shared" si="90"/>
        <v>0</v>
      </c>
      <c r="BI126" s="3686">
        <f t="shared" si="90"/>
        <v>0</v>
      </c>
      <c r="BJ126" s="3686">
        <f t="shared" si="90"/>
        <v>0</v>
      </c>
      <c r="BK126" s="3686">
        <f t="shared" si="90"/>
        <v>0</v>
      </c>
      <c r="BL126" s="3686">
        <f t="shared" si="90"/>
        <v>0</v>
      </c>
      <c r="BM126" s="3686">
        <f t="shared" si="90"/>
        <v>0</v>
      </c>
      <c r="BN126" s="3686">
        <f t="shared" si="90"/>
        <v>0</v>
      </c>
      <c r="BO126" s="3686">
        <f t="shared" si="90"/>
        <v>0</v>
      </c>
      <c r="BP126" s="3686">
        <f t="shared" si="90"/>
        <v>0</v>
      </c>
      <c r="BQ126" s="3686">
        <f t="shared" si="90"/>
        <v>0</v>
      </c>
      <c r="BR126" s="3686">
        <f t="shared" si="90"/>
        <v>0</v>
      </c>
      <c r="BS126" s="3686">
        <f t="shared" si="90"/>
        <v>0</v>
      </c>
      <c r="BT126" s="3686">
        <f t="shared" si="90"/>
        <v>0</v>
      </c>
      <c r="BU126" s="3686">
        <f t="shared" si="90"/>
        <v>0</v>
      </c>
      <c r="BV126" s="3686">
        <f t="shared" si="90"/>
        <v>0</v>
      </c>
      <c r="BW126" s="3686">
        <f t="shared" si="90"/>
        <v>0</v>
      </c>
      <c r="BX126" s="3686">
        <f t="shared" si="90"/>
        <v>0</v>
      </c>
      <c r="BY126" s="3686">
        <f t="shared" si="90"/>
        <v>0</v>
      </c>
      <c r="BZ126" s="3686">
        <f t="shared" si="90"/>
        <v>0</v>
      </c>
      <c r="CA126" s="3686">
        <f t="shared" si="90"/>
        <v>0</v>
      </c>
      <c r="CB126" s="3685">
        <f t="shared" si="90"/>
        <v>0</v>
      </c>
    </row>
    <row r="127" spans="18:80">
      <c r="W127" s="3624"/>
      <c r="X127" s="3524"/>
      <c r="Y127" s="3524"/>
      <c r="Z127" s="3524"/>
      <c r="AA127" s="3541"/>
      <c r="AB127" s="3541"/>
      <c r="AC127" s="3541"/>
      <c r="AG127" s="3564"/>
      <c r="AI127" s="3629"/>
      <c r="AO127" s="3630"/>
      <c r="AP127" s="3631"/>
      <c r="AR127" s="3630"/>
      <c r="AS127" s="3631"/>
      <c r="BC127" s="3673"/>
      <c r="BE127" s="3684"/>
      <c r="BF127" s="3684"/>
      <c r="BG127" s="3684"/>
      <c r="BH127" s="3684"/>
      <c r="BI127" s="3684"/>
      <c r="BJ127" s="3684"/>
      <c r="BK127" s="3684"/>
      <c r="BL127" s="3684"/>
      <c r="BM127" s="3684"/>
      <c r="BN127" s="3684"/>
      <c r="BO127" s="3684"/>
      <c r="BP127" s="3684"/>
      <c r="BQ127" s="3684"/>
      <c r="BR127" s="3684"/>
      <c r="BS127" s="3684"/>
      <c r="BT127" s="3684"/>
      <c r="BU127" s="3684"/>
      <c r="BV127" s="3684"/>
      <c r="BW127" s="3684"/>
      <c r="BX127" s="3684"/>
      <c r="BY127" s="3684"/>
      <c r="BZ127" s="3684"/>
      <c r="CA127" s="3684"/>
      <c r="CB127" s="3683"/>
    </row>
    <row r="128" spans="18:80" ht="15.75" thickBot="1">
      <c r="V128" s="3532"/>
      <c r="W128" s="3532"/>
      <c r="X128" s="3532"/>
      <c r="Y128" s="3532"/>
      <c r="Z128" s="3532"/>
      <c r="AC128" s="3516"/>
      <c r="AG128" s="3564"/>
      <c r="AH128" s="3452" t="s">
        <v>2148</v>
      </c>
      <c r="AI128" s="3632" t="s">
        <v>2149</v>
      </c>
      <c r="AO128" s="3630"/>
      <c r="AP128" s="3631"/>
      <c r="AR128" s="3630"/>
      <c r="AS128" s="3631"/>
      <c r="BC128" s="3673"/>
      <c r="BD128" s="3667" t="s">
        <v>24</v>
      </c>
      <c r="BE128" s="3682">
        <f t="shared" ref="BE128:CB128" si="91">BE126+BE117</f>
        <v>51213.15701773332</v>
      </c>
      <c r="BF128" s="3682">
        <f t="shared" si="91"/>
        <v>46271.297751274644</v>
      </c>
      <c r="BG128" s="3682">
        <f t="shared" si="91"/>
        <v>36539.751343450218</v>
      </c>
      <c r="BH128" s="3682">
        <f t="shared" si="91"/>
        <v>24685.025169203967</v>
      </c>
      <c r="BI128" s="3682">
        <f t="shared" si="91"/>
        <v>15425.878757986575</v>
      </c>
      <c r="BJ128" s="3682">
        <f t="shared" si="91"/>
        <v>11907.50279921917</v>
      </c>
      <c r="BK128" s="3682">
        <f t="shared" si="91"/>
        <v>10480.889664886223</v>
      </c>
      <c r="BL128" s="3682">
        <f t="shared" si="91"/>
        <v>10646.135366516843</v>
      </c>
      <c r="BM128" s="3682">
        <f t="shared" si="91"/>
        <v>12577.23819161467</v>
      </c>
      <c r="BN128" s="3682">
        <f t="shared" si="91"/>
        <v>22981.326296885414</v>
      </c>
      <c r="BO128" s="3682">
        <f t="shared" si="91"/>
        <v>40452.333110022722</v>
      </c>
      <c r="BP128" s="3682">
        <f t="shared" si="91"/>
        <v>61276.965682720671</v>
      </c>
      <c r="BQ128" s="3682">
        <f t="shared" si="91"/>
        <v>57270.592119897832</v>
      </c>
      <c r="BR128" s="3682">
        <f t="shared" si="91"/>
        <v>51726.522808168491</v>
      </c>
      <c r="BS128" s="3682">
        <f t="shared" si="91"/>
        <v>40930.170486768897</v>
      </c>
      <c r="BT128" s="3682">
        <f t="shared" si="91"/>
        <v>27579.015394407128</v>
      </c>
      <c r="BU128" s="3682">
        <f t="shared" si="91"/>
        <v>17228.120608644917</v>
      </c>
      <c r="BV128" s="3682">
        <f t="shared" si="91"/>
        <v>13283.819427721584</v>
      </c>
      <c r="BW128" s="3682">
        <f t="shared" si="91"/>
        <v>11679.945164264318</v>
      </c>
      <c r="BX128" s="3682">
        <f t="shared" si="91"/>
        <v>11759.799177512434</v>
      </c>
      <c r="BY128" s="3682">
        <f t="shared" si="91"/>
        <v>13728.639937879838</v>
      </c>
      <c r="BZ128" s="3682">
        <f t="shared" si="91"/>
        <v>25350.811528479095</v>
      </c>
      <c r="CA128" s="3682">
        <f t="shared" si="91"/>
        <v>44870.995063400078</v>
      </c>
      <c r="CB128" s="3681">
        <f t="shared" si="91"/>
        <v>67776.924474295753</v>
      </c>
    </row>
    <row r="129" spans="19:80" ht="16.5" thickTop="1" thickBot="1">
      <c r="AB129" s="3516"/>
      <c r="AC129" s="3516"/>
      <c r="AG129" s="3564" t="s">
        <v>3133</v>
      </c>
      <c r="AH129" s="3452">
        <v>0.64400000000000002</v>
      </c>
      <c r="AI129" s="3632">
        <v>0</v>
      </c>
      <c r="AO129" s="3633">
        <f>AN123+(AP123/2)</f>
        <v>916810.8159038811</v>
      </c>
      <c r="AP129" s="3585">
        <f>AO123+(AQ123/2)</f>
        <v>278706.76730055112</v>
      </c>
      <c r="AR129" s="3633">
        <f>(AP123+AR123)/2</f>
        <v>830332.4879019158</v>
      </c>
      <c r="AS129" s="3585">
        <f>(AQ123+AS123)/2</f>
        <v>200878.8303093561</v>
      </c>
      <c r="BC129" s="3673"/>
      <c r="CB129" s="3672"/>
    </row>
    <row r="130" spans="19:80">
      <c r="S130" s="3452"/>
      <c r="AB130" s="3634"/>
      <c r="AC130" s="3634"/>
      <c r="AD130" s="3588"/>
      <c r="AE130" s="3635"/>
      <c r="AG130" s="3564" t="s">
        <v>3195</v>
      </c>
      <c r="AH130" s="3452">
        <v>0.66942999999999997</v>
      </c>
      <c r="AI130" s="3632">
        <v>0</v>
      </c>
      <c r="BC130" s="3673"/>
      <c r="BD130" s="3679" t="s">
        <v>3418</v>
      </c>
      <c r="CB130" s="3672"/>
    </row>
    <row r="131" spans="19:80">
      <c r="S131" s="3452"/>
      <c r="U131" s="2141"/>
      <c r="V131" s="2141"/>
      <c r="W131" s="2141"/>
      <c r="AG131" s="3564" t="s">
        <v>839</v>
      </c>
      <c r="AH131" s="3636">
        <v>0.46935076159999994</v>
      </c>
      <c r="AI131" s="3637">
        <f>0.20708*0.71746</f>
        <v>0.1485716168</v>
      </c>
      <c r="AP131" s="3586" t="s">
        <v>3197</v>
      </c>
      <c r="AS131" s="3587" t="s">
        <v>3198</v>
      </c>
      <c r="AT131" s="3586" t="s">
        <v>3413</v>
      </c>
      <c r="BC131" s="3673"/>
      <c r="BD131" s="3679" t="str">
        <f>BD113</f>
        <v>WA101</v>
      </c>
      <c r="CB131" s="3672"/>
    </row>
    <row r="132" spans="19:80" ht="45">
      <c r="S132" s="3452"/>
      <c r="U132" s="2141"/>
      <c r="V132" s="2141"/>
      <c r="W132" s="2141"/>
      <c r="AG132" s="3564" t="s">
        <v>2729</v>
      </c>
      <c r="AH132" s="3636">
        <v>0.51642507920000003</v>
      </c>
      <c r="AI132" s="3637">
        <v>0.1639826576</v>
      </c>
      <c r="AP132" s="3588">
        <f>AO129+AP129</f>
        <v>1195517.5832044322</v>
      </c>
      <c r="AS132" s="3588">
        <f>AR129+AS129</f>
        <v>1031211.3182112719</v>
      </c>
      <c r="AT132" s="3588">
        <f>AP132+AS132</f>
        <v>2226728.9014157038</v>
      </c>
      <c r="BC132" s="3673"/>
      <c r="BD132" s="3678" t="s">
        <v>1046</v>
      </c>
      <c r="BE132" s="3680" t="s">
        <v>3419</v>
      </c>
      <c r="BF132" s="3680" t="s">
        <v>3420</v>
      </c>
      <c r="BG132" s="3680" t="s">
        <v>3421</v>
      </c>
      <c r="CB132" s="3672"/>
    </row>
    <row r="133" spans="19:80">
      <c r="U133" s="2141"/>
      <c r="V133" s="2141"/>
      <c r="W133" s="2141"/>
      <c r="AG133" s="3564" t="s">
        <v>3366</v>
      </c>
      <c r="AH133" s="2845">
        <v>0.77144000000000001</v>
      </c>
      <c r="AI133" s="3638">
        <v>0.22856000000000001</v>
      </c>
      <c r="AN133" s="3639"/>
      <c r="AP133" s="3588"/>
      <c r="AS133" s="3588"/>
      <c r="AT133" s="3588"/>
      <c r="BC133" s="3673"/>
      <c r="BD133" s="3668" t="s">
        <v>3422</v>
      </c>
      <c r="BE133" s="3676">
        <f>SUM(BE117:BP117)</f>
        <v>344457.50115151441</v>
      </c>
      <c r="BF133" s="3674">
        <f>AVERAGE(BE39:BP39)</f>
        <v>643.81559731176583</v>
      </c>
      <c r="BG133" s="3674">
        <f>BE133/BF133</f>
        <v>535.02509505794387</v>
      </c>
      <c r="CB133" s="3672"/>
    </row>
    <row r="134" spans="19:80" ht="18.75">
      <c r="T134" s="3640"/>
      <c r="X134" s="3641"/>
      <c r="Y134" s="3642"/>
      <c r="Z134" s="3642"/>
      <c r="AG134" s="3564" t="s">
        <v>3206</v>
      </c>
      <c r="AH134" s="3452">
        <v>1</v>
      </c>
      <c r="AI134" s="3629">
        <v>0</v>
      </c>
      <c r="AO134" s="3643" t="s">
        <v>3186</v>
      </c>
      <c r="AP134" s="3643" t="s">
        <v>3187</v>
      </c>
      <c r="AQ134" s="3643"/>
      <c r="AR134" s="3643" t="s">
        <v>3188</v>
      </c>
      <c r="AS134" s="3643" t="s">
        <v>3189</v>
      </c>
      <c r="BC134" s="3673"/>
      <c r="BD134" s="3668" t="s">
        <v>3423</v>
      </c>
      <c r="BE134" s="3676">
        <f>SUM(BQ117:CB117)</f>
        <v>383185.35619144031</v>
      </c>
      <c r="BF134" s="3674">
        <f>AVERAGE(BQ39:CB39)</f>
        <v>716.09466707920365</v>
      </c>
      <c r="BG134" s="3674">
        <f>BE134/BF134</f>
        <v>535.10432880944506</v>
      </c>
      <c r="CB134" s="3672"/>
    </row>
    <row r="135" spans="19:80">
      <c r="W135" s="3644"/>
      <c r="X135" s="3645"/>
      <c r="Y135" s="3645"/>
      <c r="Z135" s="3645"/>
      <c r="AG135" s="3564" t="s">
        <v>3414</v>
      </c>
      <c r="AH135" s="3452">
        <v>0</v>
      </c>
      <c r="AI135" s="3629">
        <v>1</v>
      </c>
      <c r="AM135" s="3530"/>
      <c r="AN135" s="3644" t="s">
        <v>3415</v>
      </c>
      <c r="AO135" s="3524">
        <f>+SUMIF($AM$6:$AM$122,AG129,AN6:AN122)+(SUMIF($AM$6:$AM$122,AG129,AP6:AP122)/2)</f>
        <v>141319.12008415372</v>
      </c>
      <c r="AP135" s="3524">
        <f>+SUMIF($AM$6:$AM$122,AG129,AO6:AO122)+(SUMIF($AM$6:$AM$122,AG129,AQ6:AQ122)/2)</f>
        <v>0</v>
      </c>
      <c r="AQ135" s="3644"/>
      <c r="AR135" s="3524">
        <f>(SUMIF($AM$6:$AM$122,AG129,AR6:AR122)/2)</f>
        <v>108927.66579760262</v>
      </c>
      <c r="AS135" s="3524">
        <f>(SUMIF($AM$6:$AM$122,AG129,AS6:AS122)/2)</f>
        <v>0</v>
      </c>
      <c r="BC135" s="3673"/>
      <c r="BE135" s="3674">
        <f>SUM(BE133:BE134)-SUM(BE117:CB117)</f>
        <v>0</v>
      </c>
      <c r="BF135" s="3674"/>
      <c r="BG135" s="3674"/>
      <c r="CB135" s="3672"/>
    </row>
    <row r="136" spans="19:80">
      <c r="S136" s="2141"/>
      <c r="V136" s="3524"/>
      <c r="X136" s="3588"/>
      <c r="Y136" s="3588"/>
      <c r="Z136" s="3588"/>
      <c r="AA136" s="3588"/>
      <c r="AD136" s="3646"/>
      <c r="AG136" s="3564" t="s">
        <v>3253</v>
      </c>
      <c r="AH136" s="3452">
        <v>0</v>
      </c>
      <c r="AI136" s="3629">
        <v>0.69035000000000002</v>
      </c>
      <c r="AM136" s="3530"/>
      <c r="AN136" s="3644" t="s">
        <v>3416</v>
      </c>
      <c r="AO136" s="3524">
        <f>SUMIF($AM$6:$AM$122,AG134,AN$6:AN$122)+SUMIF($AM$6:$AM$122,AG130,AN$6:AN$122)+(SUMIF($AM$6:$AM$122,AG134,AP$6:AP$122)/2)+(SUMIF($AM$6:$AM$122,AG130,AP$6:AP$122)/2)</f>
        <v>496210.40005456761</v>
      </c>
      <c r="AP136" s="3524">
        <f>SUMIF($AM$6:$AM$122,AG134,AO$6:AO$122)+SUMIF($AM$6:$AM$122,AG130,AO$6:AO$122)+(SUMIF($AM$6:$AM$122,AG134,AQ$6:AQ$122)/2)+(SUMIF($AM$6:$AM$122,AG130,AQ$6:AQ$122)/2)</f>
        <v>0</v>
      </c>
      <c r="AQ136" s="3644"/>
      <c r="AR136" s="3524">
        <f>+(SUMIF($AM$6:$AM$122,AG134,AR$6:AR$122)/2)+(SUMIF($AM$6:$AM$122,AG130,AR$6:AR$122)/2)</f>
        <v>241238.6011871798</v>
      </c>
      <c r="AS136" s="3524">
        <f>+(SUMIF($AM$6:$AM$122,AG134,AS$6:AS$122)/2)+(SUMIF($AM$6:$AM$122,AG130,AS$6:AS$122)/2)</f>
        <v>0</v>
      </c>
      <c r="AX136" s="2141"/>
      <c r="BC136" s="3673"/>
      <c r="BD136" s="3679" t="str">
        <f>BD119</f>
        <v>WA111</v>
      </c>
      <c r="BE136" s="3674"/>
      <c r="BF136" s="3674"/>
      <c r="BG136" s="3674"/>
      <c r="CB136" s="3672"/>
    </row>
    <row r="137" spans="19:80" ht="45">
      <c r="S137" s="2141"/>
      <c r="T137" s="3647"/>
      <c r="U137" s="3644"/>
      <c r="V137" s="3524"/>
      <c r="X137" s="3588"/>
      <c r="Y137" s="3588"/>
      <c r="Z137" s="3588"/>
      <c r="AA137" s="3588"/>
      <c r="AD137" s="3646"/>
      <c r="AG137" s="3648" t="s">
        <v>3152</v>
      </c>
      <c r="AH137" s="3649">
        <v>0</v>
      </c>
      <c r="AI137" s="3650">
        <v>0</v>
      </c>
      <c r="AN137" s="3644" t="s">
        <v>3417</v>
      </c>
      <c r="AO137" s="3524">
        <f>SUMIF($AM$6:$AM$122,AG135,AN$6:AN$122)+SUMIF($AM$6:$AM$122,AG136,AN$6:AN$122)+(SUMIF($AM$6:$AM$122,AG135,AP$6:AP$122)/2)+(SUMIF($AM$6:$AM$122,AG136,AP$6:AP$122)/2)</f>
        <v>0</v>
      </c>
      <c r="AP137" s="3524">
        <f>SUMIF($AM$6:$AM$122,AG135,AO$6:AO$122)+SUMIF($AM$6:$AM$122,AG136,AO$6:AO$122)+(SUMIF($AM$6:$AM$122,AG135,AQ$6:AQ$122)/2)+(SUMIF($AM$6:$AM$122,AG136,AQ$6:AQ$122)/2)</f>
        <v>190311.74223066663</v>
      </c>
      <c r="AQ137" s="3644"/>
      <c r="AR137" s="3524">
        <f>(SUMIF($AM$6:$AM$122,AG135,AR$6:AR$122)/2)+(SUMIF($AM$6:$AM$122,AG136,AR$6:AR$122)/2)</f>
        <v>0</v>
      </c>
      <c r="AS137" s="3524">
        <f>(SUMIF($AM$6:$AM$122,AG135,AS$6:AS$122)/2)+(SUMIF($AM$6:$AM$122,AG136,AS$6:AS$122)/2)</f>
        <v>70044.168103423348</v>
      </c>
      <c r="AX137" s="2141"/>
      <c r="BC137" s="3673"/>
      <c r="BD137" s="3678" t="s">
        <v>1046</v>
      </c>
      <c r="BE137" s="3677" t="s">
        <v>3419</v>
      </c>
      <c r="BF137" s="3677" t="s">
        <v>3425</v>
      </c>
      <c r="BG137" s="3677" t="s">
        <v>3421</v>
      </c>
      <c r="CB137" s="3672"/>
    </row>
    <row r="138" spans="19:80">
      <c r="S138" s="2141"/>
      <c r="V138" s="3651"/>
      <c r="W138" s="3652"/>
      <c r="X138" s="3652"/>
      <c r="Y138" s="3651"/>
      <c r="Z138" s="3651"/>
      <c r="AN138" s="3644" t="s">
        <v>1712</v>
      </c>
      <c r="AO138" s="3653">
        <f>AO129-AO135-AO136-AO137</f>
        <v>279281.29576515977</v>
      </c>
      <c r="AP138" s="3653">
        <f>AP129-AP137</f>
        <v>88395.02506988449</v>
      </c>
      <c r="AQ138" s="3644"/>
      <c r="AR138" s="3653">
        <f>AR129-AR135-AR136-AR137</f>
        <v>480166.22091713338</v>
      </c>
      <c r="AS138" s="3653">
        <f>AS129-AS135-AS136-AS137</f>
        <v>130834.66220593275</v>
      </c>
      <c r="AX138" s="2141"/>
      <c r="BC138" s="3673"/>
      <c r="BD138" s="3668" t="str">
        <f>BD133</f>
        <v>12 ME 12.2025</v>
      </c>
      <c r="BE138" s="3676">
        <f>SUM(BE126:BP126)</f>
        <v>0</v>
      </c>
      <c r="BF138" s="3674">
        <f>AVERAGE(BE40:BP40)</f>
        <v>0</v>
      </c>
      <c r="BG138" s="3674" t="e">
        <f>BE138/BF138</f>
        <v>#DIV/0!</v>
      </c>
      <c r="CB138" s="3672"/>
    </row>
    <row r="139" spans="19:80">
      <c r="S139" s="2141"/>
      <c r="V139" s="3651"/>
      <c r="W139" s="3651"/>
      <c r="X139" s="3654"/>
      <c r="Y139" s="3655"/>
      <c r="Z139" s="3655"/>
      <c r="AA139" s="3516"/>
      <c r="AO139" s="3524">
        <f>SUM(AO135:AO138)</f>
        <v>916810.8159038811</v>
      </c>
      <c r="AP139" s="3524">
        <f>SUM(AP135:AP138)</f>
        <v>278706.76730055112</v>
      </c>
      <c r="AR139" s="3524">
        <f>SUM(AR135:AR138)</f>
        <v>830332.4879019158</v>
      </c>
      <c r="AS139" s="3524">
        <f>SUM(AS135:AS138)</f>
        <v>200878.8303093561</v>
      </c>
      <c r="AX139" s="2141"/>
      <c r="BC139" s="3673"/>
      <c r="BD139" s="3668" t="str">
        <f>BD134</f>
        <v>12 ME 12.2026</v>
      </c>
      <c r="BE139" s="3676">
        <f>SUM(BQ126:CB126)</f>
        <v>0</v>
      </c>
      <c r="BF139" s="3674">
        <f>AVERAGE(BQ40:CB40)</f>
        <v>0</v>
      </c>
      <c r="BG139" s="3674" t="e">
        <f>BE139/BF139</f>
        <v>#DIV/0!</v>
      </c>
      <c r="CB139" s="3672"/>
    </row>
    <row r="140" spans="19:80">
      <c r="S140" s="2141"/>
      <c r="V140" s="3651"/>
      <c r="W140" s="3656"/>
      <c r="X140" s="3657"/>
      <c r="Y140" s="3657"/>
      <c r="Z140" s="3657"/>
      <c r="AO140" s="3524"/>
      <c r="AX140" s="2141"/>
      <c r="BC140" s="3673"/>
      <c r="BE140" s="3674">
        <f>SUM(BE138:BE139)-SUM(BE126:CB126)</f>
        <v>0</v>
      </c>
      <c r="BF140" s="3674"/>
      <c r="BG140" s="3674"/>
      <c r="CB140" s="3672"/>
    </row>
    <row r="141" spans="19:80">
      <c r="S141" s="2141"/>
      <c r="V141" s="3652"/>
      <c r="W141" s="3651"/>
      <c r="X141" s="3658"/>
      <c r="Y141" s="3658"/>
      <c r="Z141" s="3659"/>
      <c r="AA141" s="3660"/>
      <c r="AB141" s="3524"/>
      <c r="AC141" s="3524"/>
      <c r="AO141" s="3661"/>
      <c r="AP141" s="3661"/>
      <c r="AQ141" s="3458"/>
      <c r="AR141" s="3662"/>
      <c r="AS141" s="3661"/>
      <c r="AX141" s="2141"/>
      <c r="BC141" s="3673"/>
      <c r="BD141" s="3679" t="s">
        <v>3424</v>
      </c>
      <c r="BE141" s="3674"/>
      <c r="BF141" s="3674"/>
      <c r="BG141" s="3674"/>
      <c r="CB141" s="3672"/>
    </row>
    <row r="142" spans="19:80" ht="45">
      <c r="S142" s="2141"/>
      <c r="V142" s="3652"/>
      <c r="W142" s="3651"/>
      <c r="X142" s="3658"/>
      <c r="Y142" s="3658"/>
      <c r="Z142" s="3659"/>
      <c r="AA142" s="3524"/>
      <c r="AB142" s="3524"/>
      <c r="AC142" s="3524"/>
      <c r="AO142" s="3458"/>
      <c r="AP142" s="3458"/>
      <c r="AQ142" s="3458"/>
      <c r="AR142" s="3663"/>
      <c r="AS142" s="3458"/>
      <c r="AX142" s="2141"/>
      <c r="BC142" s="3673"/>
      <c r="BD142" s="3678" t="s">
        <v>1046</v>
      </c>
      <c r="BE142" s="3677" t="s">
        <v>3419</v>
      </c>
      <c r="BF142" s="3674"/>
      <c r="BG142" s="3674"/>
      <c r="CB142" s="3672"/>
    </row>
    <row r="143" spans="19:80">
      <c r="S143" s="2141"/>
      <c r="V143" s="3652"/>
      <c r="W143" s="3651"/>
      <c r="X143" s="3658"/>
      <c r="Y143" s="3658"/>
      <c r="Z143" s="3659"/>
      <c r="AA143" s="3524"/>
      <c r="AB143" s="3524"/>
      <c r="AC143" s="3524"/>
      <c r="AO143" s="3458"/>
      <c r="AP143" s="3458"/>
      <c r="AQ143" s="3458"/>
      <c r="AR143" s="3663"/>
      <c r="AS143" s="3458"/>
      <c r="AX143" s="2141"/>
      <c r="BC143" s="3673"/>
      <c r="BD143" s="3668" t="str">
        <f>BD133</f>
        <v>12 ME 12.2025</v>
      </c>
      <c r="BE143" s="3676">
        <f>BE133+BE138</f>
        <v>344457.50115151441</v>
      </c>
      <c r="BF143" s="3675" t="s">
        <v>2518</v>
      </c>
      <c r="BG143" s="3674"/>
      <c r="CB143" s="3672"/>
    </row>
    <row r="144" spans="19:80">
      <c r="S144" s="2141"/>
      <c r="V144" s="3652"/>
      <c r="W144" s="3651"/>
      <c r="X144" s="3658"/>
      <c r="Y144" s="3658"/>
      <c r="Z144" s="3659"/>
      <c r="AA144" s="3524"/>
      <c r="AB144" s="3524"/>
      <c r="AC144" s="3524"/>
      <c r="AO144" s="3664"/>
      <c r="AP144" s="3661"/>
      <c r="AQ144" s="3458"/>
      <c r="AR144" s="3661"/>
      <c r="AS144" s="3661"/>
      <c r="AX144" s="2141"/>
      <c r="BC144" s="3673"/>
      <c r="BD144" s="3668" t="str">
        <f>BD134</f>
        <v>12 ME 12.2026</v>
      </c>
      <c r="BE144" s="3676">
        <f>BE134+BE139</f>
        <v>383185.35619144031</v>
      </c>
      <c r="BF144" s="3675">
        <f>BE144-BE143</f>
        <v>38727.855039925897</v>
      </c>
      <c r="BG144" s="3674"/>
      <c r="CB144" s="3672"/>
    </row>
    <row r="145" spans="19:80" ht="18.75">
      <c r="S145" s="2141"/>
      <c r="T145" s="3640"/>
      <c r="U145" s="2141"/>
      <c r="V145" s="3651"/>
      <c r="W145" s="3651"/>
      <c r="X145" s="3651"/>
      <c r="Y145" s="3651"/>
      <c r="Z145" s="3651"/>
      <c r="AO145" s="3661"/>
      <c r="AP145" s="3661"/>
      <c r="AQ145" s="3458"/>
      <c r="AR145" s="3661"/>
      <c r="AS145" s="3661"/>
      <c r="AX145" s="2141"/>
      <c r="BC145" s="3673"/>
      <c r="CB145" s="3672"/>
    </row>
    <row r="146" spans="19:80" ht="15.75" thickBot="1">
      <c r="S146" s="2141"/>
      <c r="T146" s="2141"/>
      <c r="AX146" s="2141"/>
      <c r="BC146" s="3671"/>
      <c r="BD146" s="3670"/>
      <c r="BE146" s="3670"/>
      <c r="BF146" s="3670"/>
      <c r="BG146" s="3670"/>
      <c r="BH146" s="3670"/>
      <c r="BI146" s="3670"/>
      <c r="BJ146" s="3670"/>
      <c r="BK146" s="3670"/>
      <c r="BL146" s="3670"/>
      <c r="BM146" s="3670"/>
      <c r="BN146" s="3670"/>
      <c r="BO146" s="3670"/>
      <c r="BP146" s="3670"/>
      <c r="BQ146" s="3670"/>
      <c r="BR146" s="3670"/>
      <c r="BS146" s="3670"/>
      <c r="BT146" s="3670"/>
      <c r="BU146" s="3670"/>
      <c r="BV146" s="3670"/>
      <c r="BW146" s="3670"/>
      <c r="BX146" s="3670"/>
      <c r="BY146" s="3670"/>
      <c r="BZ146" s="3670"/>
      <c r="CA146" s="3670"/>
      <c r="CB146" s="3669"/>
    </row>
    <row r="147" spans="19:80">
      <c r="S147" s="2141"/>
      <c r="T147" s="2141"/>
      <c r="U147" s="2141"/>
      <c r="V147" s="3644"/>
      <c r="W147" s="3644"/>
      <c r="Y147" s="3665"/>
      <c r="Z147" s="3665"/>
      <c r="AA147" s="3665"/>
      <c r="AX147" s="2141"/>
    </row>
    <row r="148" spans="19:80">
      <c r="S148" s="2141"/>
      <c r="T148" s="2141"/>
      <c r="U148" s="2141"/>
      <c r="V148" s="3644"/>
      <c r="W148" s="3644"/>
      <c r="Y148" s="3641"/>
      <c r="Z148" s="3641"/>
      <c r="AA148" s="3666"/>
      <c r="AO148" s="3458">
        <v>916810.8159038811</v>
      </c>
      <c r="AP148" s="3458">
        <v>278706.76730055112</v>
      </c>
      <c r="AQ148" s="3458"/>
      <c r="AR148" s="3458">
        <v>830332.4879019158</v>
      </c>
      <c r="AS148" s="3458">
        <v>200878.8303093561</v>
      </c>
      <c r="AX148" s="2141"/>
    </row>
    <row r="149" spans="19:80">
      <c r="S149" s="2141"/>
      <c r="T149" s="2141"/>
      <c r="U149" s="2141"/>
      <c r="V149" s="3524"/>
      <c r="W149" s="3524"/>
      <c r="Y149" s="3588"/>
      <c r="Z149" s="3588"/>
      <c r="AA149" s="3588"/>
      <c r="AB149" s="3588"/>
      <c r="AC149" s="3588"/>
      <c r="AX149" s="2141"/>
    </row>
    <row r="150" spans="19:80">
      <c r="S150" s="2141"/>
      <c r="T150" s="2141"/>
      <c r="U150" s="2141"/>
      <c r="V150" s="3524"/>
      <c r="W150" s="3524"/>
      <c r="Y150" s="3588"/>
      <c r="Z150" s="3588"/>
      <c r="AA150" s="3588"/>
      <c r="AB150" s="3588"/>
      <c r="AC150" s="3588"/>
      <c r="AX150" s="2141"/>
    </row>
    <row r="151" spans="19:80">
      <c r="S151" s="2141"/>
      <c r="T151" s="2141"/>
      <c r="U151" s="2141"/>
      <c r="X151" s="3524"/>
      <c r="Y151" s="3524"/>
      <c r="Z151" s="3524"/>
      <c r="AX151" s="2141"/>
    </row>
    <row r="152" spans="19:80">
      <c r="S152" s="2141"/>
      <c r="T152" s="2141"/>
      <c r="U152" s="2141"/>
      <c r="AX152" s="2141"/>
    </row>
    <row r="153" spans="19:80">
      <c r="S153" s="2141"/>
      <c r="T153" s="2141"/>
      <c r="U153" s="2141"/>
      <c r="AX153" s="2141"/>
    </row>
    <row r="154" spans="19:80">
      <c r="S154" s="2141"/>
      <c r="AX154" s="2141"/>
    </row>
    <row r="155" spans="19:80">
      <c r="S155" s="2141"/>
      <c r="AX155" s="2141"/>
    </row>
  </sheetData>
  <mergeCells count="35">
    <mergeCell ref="X66:Z66"/>
    <mergeCell ref="S124:W124"/>
    <mergeCell ref="A25:C25"/>
    <mergeCell ref="D25:E25"/>
    <mergeCell ref="F25:G25"/>
    <mergeCell ref="A26:C26"/>
    <mergeCell ref="D26:E26"/>
    <mergeCell ref="F26:G26"/>
    <mergeCell ref="A5:B5"/>
    <mergeCell ref="D7:I7"/>
    <mergeCell ref="A12:J12"/>
    <mergeCell ref="A13:F13"/>
    <mergeCell ref="G13:J13"/>
    <mergeCell ref="D8:D9"/>
    <mergeCell ref="E8:E9"/>
    <mergeCell ref="F8:F9"/>
    <mergeCell ref="AF3:AG3"/>
    <mergeCell ref="AH3:AI3"/>
    <mergeCell ref="N4:O4"/>
    <mergeCell ref="AN3:AS3"/>
    <mergeCell ref="AT3:AW3"/>
    <mergeCell ref="D4:D5"/>
    <mergeCell ref="E4:E5"/>
    <mergeCell ref="F4:F5"/>
    <mergeCell ref="G4:I4"/>
    <mergeCell ref="J4:K4"/>
    <mergeCell ref="L4:M4"/>
    <mergeCell ref="AD3:AE3"/>
    <mergeCell ref="AN4:AS4"/>
    <mergeCell ref="AT4:AW4"/>
    <mergeCell ref="S1:T1"/>
    <mergeCell ref="A2:A3"/>
    <mergeCell ref="U3:W3"/>
    <mergeCell ref="X3:Z3"/>
    <mergeCell ref="AA3:AC3"/>
  </mergeCells>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B84"/>
  <sheetViews>
    <sheetView workbookViewId="0">
      <selection sqref="A1:O1"/>
    </sheetView>
  </sheetViews>
  <sheetFormatPr defaultColWidth="11.42578125" defaultRowHeight="12.75" outlineLevelRow="1"/>
  <cols>
    <col min="1" max="1" width="8.5703125" style="478" customWidth="1"/>
    <col min="2" max="2" width="33" style="478" customWidth="1"/>
    <col min="3" max="3" width="4.42578125" style="478" customWidth="1"/>
    <col min="4" max="4" width="3.28515625" style="478" customWidth="1"/>
    <col min="5" max="5" width="12.42578125" style="478" customWidth="1"/>
    <col min="6" max="6" width="11.42578125" style="478" customWidth="1"/>
    <col min="7" max="7" width="4.42578125" style="478" customWidth="1"/>
    <col min="8" max="9" width="11.42578125" style="478" customWidth="1"/>
    <col min="10" max="10" width="4.7109375" style="478" customWidth="1"/>
    <col min="11" max="12" width="11.42578125" style="478"/>
    <col min="13" max="13" width="4.42578125" style="11" customWidth="1"/>
    <col min="14" max="15" width="11.42578125" style="11"/>
    <col min="16" max="16" width="11.42578125" style="250"/>
    <col min="17" max="17" width="5.7109375" style="60" bestFit="1" customWidth="1"/>
    <col min="18" max="18" width="8.28515625" style="250" customWidth="1"/>
    <col min="19" max="19" width="12.5703125" style="226" customWidth="1"/>
    <col min="20" max="20" width="11.42578125" style="226"/>
    <col min="21" max="21" width="11.42578125" style="395"/>
    <col min="22" max="28" width="11.42578125" style="247"/>
    <col min="29" max="16384" width="11.42578125" style="11"/>
  </cols>
  <sheetData>
    <row r="1" spans="1:28" ht="18.75">
      <c r="A1" s="3992" t="s">
        <v>434</v>
      </c>
      <c r="B1" s="3992"/>
      <c r="C1" s="3992"/>
      <c r="D1" s="3992"/>
      <c r="E1" s="3992"/>
      <c r="F1" s="3992"/>
      <c r="G1" s="3992"/>
      <c r="H1" s="3992"/>
      <c r="I1" s="3992"/>
      <c r="J1" s="3992"/>
      <c r="K1" s="3992"/>
      <c r="L1" s="3992"/>
      <c r="M1" s="3992"/>
      <c r="N1" s="3992"/>
      <c r="O1" s="3992"/>
      <c r="P1" s="208"/>
    </row>
    <row r="2" spans="1:28" ht="18.75">
      <c r="A2" s="3992" t="s">
        <v>111</v>
      </c>
      <c r="B2" s="3992"/>
      <c r="C2" s="3992"/>
      <c r="D2" s="3992"/>
      <c r="E2" s="3992"/>
      <c r="F2" s="3992"/>
      <c r="G2" s="3992"/>
      <c r="H2" s="3992"/>
      <c r="I2" s="3992"/>
      <c r="J2" s="3992"/>
      <c r="K2" s="3992"/>
      <c r="L2" s="3992"/>
      <c r="M2" s="3992"/>
      <c r="N2" s="3992"/>
      <c r="O2" s="3992"/>
      <c r="P2" s="208"/>
    </row>
    <row r="3" spans="1:28" ht="18.75">
      <c r="A3" s="3992" t="s">
        <v>162</v>
      </c>
      <c r="B3" s="3992"/>
      <c r="C3" s="3992"/>
      <c r="D3" s="3992"/>
      <c r="E3" s="3992"/>
      <c r="F3" s="3992"/>
      <c r="G3" s="3992"/>
      <c r="H3" s="3992"/>
      <c r="I3" s="3992"/>
      <c r="J3" s="3992"/>
      <c r="K3" s="3992"/>
      <c r="L3" s="3992"/>
      <c r="M3" s="3992"/>
      <c r="N3" s="3992"/>
      <c r="O3" s="3992"/>
      <c r="P3" s="208"/>
    </row>
    <row r="4" spans="1:28" s="18" customFormat="1" ht="18.75">
      <c r="A4" s="72"/>
      <c r="B4" s="72"/>
      <c r="C4" s="72"/>
      <c r="D4" s="72"/>
      <c r="E4" s="72"/>
      <c r="F4" s="72"/>
      <c r="G4" s="462"/>
      <c r="H4" s="563"/>
      <c r="I4" s="72"/>
      <c r="J4" s="72"/>
      <c r="K4" s="72"/>
      <c r="L4" s="72"/>
      <c r="M4" s="72"/>
      <c r="N4" s="71"/>
      <c r="O4" s="71"/>
      <c r="P4" s="231"/>
      <c r="Q4" s="59"/>
      <c r="R4" s="231"/>
      <c r="S4" s="231"/>
      <c r="T4" s="231"/>
      <c r="U4" s="396"/>
      <c r="V4" s="231"/>
      <c r="W4" s="231"/>
      <c r="X4" s="231"/>
      <c r="Y4" s="231"/>
      <c r="Z4" s="231"/>
      <c r="AA4" s="226"/>
      <c r="AB4" s="226"/>
    </row>
    <row r="5" spans="1:28" ht="14.25">
      <c r="H5" s="77" t="s">
        <v>142</v>
      </c>
      <c r="S5" s="231"/>
      <c r="T5" s="231"/>
      <c r="U5" s="396"/>
      <c r="V5" s="231"/>
      <c r="W5" s="231"/>
      <c r="X5" s="231"/>
      <c r="Y5" s="231"/>
      <c r="Z5" s="231"/>
    </row>
    <row r="6" spans="1:28">
      <c r="S6" s="231"/>
      <c r="T6" s="231"/>
      <c r="U6" s="396"/>
      <c r="V6" s="231"/>
      <c r="W6" s="231"/>
      <c r="X6" s="231"/>
      <c r="Y6" s="231"/>
      <c r="Z6" s="231"/>
    </row>
    <row r="7" spans="1:28" s="18" customFormat="1">
      <c r="A7" s="478"/>
      <c r="B7" s="478"/>
      <c r="C7" s="478"/>
      <c r="D7" s="478"/>
      <c r="E7" s="478"/>
      <c r="F7" s="478"/>
      <c r="G7" s="478"/>
      <c r="H7" s="462"/>
      <c r="I7" s="478"/>
      <c r="J7" s="478"/>
      <c r="K7" s="19"/>
      <c r="L7" s="3753" t="s">
        <v>156</v>
      </c>
      <c r="M7" s="3753"/>
      <c r="N7" s="3753"/>
      <c r="P7" s="231"/>
      <c r="Q7" s="59"/>
      <c r="R7" s="231"/>
      <c r="S7" s="231"/>
      <c r="T7" s="231"/>
      <c r="U7" s="396"/>
      <c r="V7" s="231"/>
      <c r="W7" s="231"/>
      <c r="X7" s="231"/>
      <c r="Y7" s="231"/>
      <c r="Z7" s="231"/>
      <c r="AA7" s="226"/>
      <c r="AB7" s="226"/>
    </row>
    <row r="8" spans="1:28" s="18" customFormat="1">
      <c r="A8" s="478"/>
      <c r="B8" s="478"/>
      <c r="C8" s="478"/>
      <c r="D8" s="478"/>
      <c r="E8" s="3993" t="s">
        <v>541</v>
      </c>
      <c r="F8" s="3993"/>
      <c r="G8" s="19"/>
      <c r="H8" s="3993"/>
      <c r="I8" s="3993"/>
      <c r="J8" s="478"/>
      <c r="K8" s="3753" t="s">
        <v>157</v>
      </c>
      <c r="L8" s="3753"/>
      <c r="N8" s="3753" t="s">
        <v>158</v>
      </c>
      <c r="O8" s="3753"/>
      <c r="P8" s="231"/>
      <c r="Q8" s="59"/>
      <c r="R8" s="231"/>
      <c r="S8" s="231"/>
      <c r="T8" s="231"/>
      <c r="U8" s="396"/>
      <c r="V8" s="231"/>
      <c r="W8" s="231"/>
      <c r="X8" s="231"/>
      <c r="Y8" s="231"/>
      <c r="Z8" s="231"/>
      <c r="AA8" s="226"/>
      <c r="AB8" s="226"/>
    </row>
    <row r="9" spans="1:28" s="18" customFormat="1">
      <c r="A9" s="462"/>
      <c r="B9" s="478"/>
      <c r="C9" s="478"/>
      <c r="D9" s="478"/>
      <c r="E9" s="3756" t="s">
        <v>68</v>
      </c>
      <c r="F9" s="3756"/>
      <c r="G9" s="20"/>
      <c r="H9" s="3756" t="s">
        <v>68</v>
      </c>
      <c r="I9" s="3756"/>
      <c r="J9" s="478"/>
      <c r="K9" s="3756" t="s">
        <v>68</v>
      </c>
      <c r="L9" s="3756"/>
      <c r="N9" s="12" t="s">
        <v>159</v>
      </c>
      <c r="O9" s="12" t="s">
        <v>18</v>
      </c>
      <c r="P9" s="231"/>
      <c r="Q9" s="59"/>
      <c r="R9" s="231"/>
      <c r="S9" s="231"/>
      <c r="T9" s="231"/>
      <c r="U9" s="398"/>
      <c r="V9" s="231"/>
      <c r="W9" s="231"/>
      <c r="X9" s="231"/>
      <c r="Y9" s="231"/>
      <c r="Z9" s="231"/>
      <c r="AA9" s="226"/>
      <c r="AB9" s="226"/>
    </row>
    <row r="10" spans="1:28">
      <c r="A10" s="562" t="s">
        <v>160</v>
      </c>
      <c r="B10" s="562" t="s">
        <v>70</v>
      </c>
      <c r="C10" s="560"/>
      <c r="D10" s="560"/>
      <c r="E10" s="562" t="s">
        <v>71</v>
      </c>
      <c r="F10" s="562" t="s">
        <v>18</v>
      </c>
      <c r="G10" s="561"/>
      <c r="H10" s="562" t="s">
        <v>71</v>
      </c>
      <c r="I10" s="562" t="s">
        <v>18</v>
      </c>
      <c r="K10" s="562" t="s">
        <v>71</v>
      </c>
      <c r="L10" s="562" t="s">
        <v>18</v>
      </c>
      <c r="N10" s="65">
        <f>CF!E27</f>
        <v>0.75264900000000001</v>
      </c>
      <c r="O10" s="66">
        <f>'RR SUMMARY'!O15</f>
        <v>7.6100000000000001E-2</v>
      </c>
      <c r="S10" s="231"/>
      <c r="T10" s="268"/>
      <c r="U10" s="397"/>
      <c r="V10" s="268"/>
      <c r="W10" s="269"/>
      <c r="X10" s="269"/>
      <c r="Y10" s="231"/>
      <c r="Z10" s="231"/>
    </row>
    <row r="11" spans="1:28">
      <c r="A11" s="253">
        <f>'ADJ DETAIL INPUT'!E$10</f>
        <v>1</v>
      </c>
      <c r="B11" s="229" t="str">
        <f>TRIM(CONCATENATE('ADJ DETAIL INPUT'!E$7," ",'ADJ DETAIL INPUT'!E$8," ",'ADJ DETAIL INPUT'!E$9))</f>
        <v>Results of Operations</v>
      </c>
      <c r="E11" s="463">
        <v>36392</v>
      </c>
      <c r="F11" s="463">
        <v>533429.39999999991</v>
      </c>
      <c r="G11" s="463"/>
      <c r="H11" s="463">
        <f>'ADJ DETAIL INPUT'!E$58</f>
        <v>36392</v>
      </c>
      <c r="I11" s="463">
        <f>'ADJ DETAIL INPUT'!E$81</f>
        <v>533429.39999999991</v>
      </c>
      <c r="J11" s="462"/>
      <c r="K11" s="463">
        <f>H11-E11</f>
        <v>0</v>
      </c>
      <c r="L11" s="463">
        <f>I11-F11</f>
        <v>0</v>
      </c>
      <c r="N11" s="68">
        <f>K11/$N$10*-1</f>
        <v>0</v>
      </c>
      <c r="O11" s="68">
        <f>L11*$O$10/$N$10</f>
        <v>0</v>
      </c>
      <c r="P11" s="235">
        <f>N11+O11</f>
        <v>0</v>
      </c>
      <c r="S11" s="270"/>
      <c r="T11" s="83"/>
      <c r="U11" s="396"/>
      <c r="V11" s="83"/>
      <c r="W11" s="231"/>
      <c r="X11" s="83"/>
      <c r="Y11" s="231"/>
      <c r="Z11" s="231"/>
    </row>
    <row r="12" spans="1:28" s="27" customFormat="1">
      <c r="A12" s="253">
        <f>'ADJ DETAIL INPUT'!F$10</f>
        <v>1.01</v>
      </c>
      <c r="B12" s="229" t="str">
        <f>TRIM(CONCATENATE('ADJ DETAIL INPUT'!F$7," ",'ADJ DETAIL INPUT'!F$8," ",'ADJ DETAIL INPUT'!F$9))</f>
        <v>Deferred FIT Rate Base</v>
      </c>
      <c r="C12" s="478"/>
      <c r="D12" s="478"/>
      <c r="E12" s="463">
        <v>-1.208928</v>
      </c>
      <c r="F12" s="463">
        <v>-224</v>
      </c>
      <c r="G12" s="249"/>
      <c r="H12" s="249">
        <f>'ADJ DETAIL INPUT'!F$58</f>
        <v>-1.208928</v>
      </c>
      <c r="I12" s="249">
        <f>'ADJ DETAIL INPUT'!F$81</f>
        <v>-224</v>
      </c>
      <c r="J12" s="462"/>
      <c r="K12" s="463">
        <f t="shared" ref="K12:K14" si="0">H12-E12</f>
        <v>0</v>
      </c>
      <c r="L12" s="463">
        <f t="shared" ref="L12:L14" si="1">I12-F12</f>
        <v>0</v>
      </c>
      <c r="N12" s="68">
        <f t="shared" ref="N12:N14" si="2">K12/$N$10*-1</f>
        <v>0</v>
      </c>
      <c r="O12" s="68">
        <f t="shared" ref="O12:O14" si="3">L12*$O$10/$N$10</f>
        <v>0</v>
      </c>
      <c r="P12" s="235">
        <f t="shared" ref="P12:P14" si="4">N12+O12</f>
        <v>0</v>
      </c>
      <c r="Q12" s="61"/>
      <c r="R12" s="250"/>
      <c r="S12" s="270"/>
      <c r="T12" s="83"/>
      <c r="U12" s="396"/>
      <c r="V12" s="83"/>
      <c r="W12" s="231"/>
      <c r="X12" s="83"/>
      <c r="Y12" s="231"/>
      <c r="Z12" s="231"/>
      <c r="AA12" s="247"/>
      <c r="AB12" s="247"/>
    </row>
    <row r="13" spans="1:28" s="27" customFormat="1">
      <c r="A13" s="253">
        <f>'ADJ DETAIL INPUT'!G$10</f>
        <v>1.02</v>
      </c>
      <c r="B13" s="229" t="str">
        <f>TRIM(CONCATENATE('ADJ DETAIL INPUT'!G$7," ",'ADJ DETAIL INPUT'!G$8," ",'ADJ DETAIL INPUT'!G$9))</f>
        <v>Deferred Debits and Credits</v>
      </c>
      <c r="C13" s="478"/>
      <c r="D13" s="478"/>
      <c r="E13" s="463">
        <v>0</v>
      </c>
      <c r="F13" s="463">
        <v>0</v>
      </c>
      <c r="G13" s="249"/>
      <c r="H13" s="249">
        <f>'ADJ DETAIL INPUT'!G$58</f>
        <v>0</v>
      </c>
      <c r="I13" s="249">
        <f>'ADJ DETAIL INPUT'!G$81</f>
        <v>0</v>
      </c>
      <c r="J13" s="462"/>
      <c r="K13" s="463">
        <f t="shared" si="0"/>
        <v>0</v>
      </c>
      <c r="L13" s="463">
        <f t="shared" si="1"/>
        <v>0</v>
      </c>
      <c r="N13" s="68">
        <f t="shared" si="2"/>
        <v>0</v>
      </c>
      <c r="O13" s="68">
        <f t="shared" si="3"/>
        <v>0</v>
      </c>
      <c r="P13" s="235">
        <f t="shared" si="4"/>
        <v>0</v>
      </c>
      <c r="Q13" s="60"/>
      <c r="R13" s="250"/>
      <c r="S13" s="270"/>
      <c r="T13" s="83"/>
      <c r="U13" s="396"/>
      <c r="V13" s="83"/>
      <c r="W13" s="231"/>
      <c r="X13" s="83"/>
      <c r="Y13" s="231"/>
      <c r="Z13" s="231"/>
      <c r="AA13" s="247"/>
      <c r="AB13" s="247"/>
    </row>
    <row r="14" spans="1:28" s="27" customFormat="1">
      <c r="A14" s="253">
        <f>'ADJ DETAIL INPUT'!H$10</f>
        <v>1.03</v>
      </c>
      <c r="B14" s="229" t="str">
        <f>TRIM(CONCATENATE('ADJ DETAIL INPUT'!H$7," ",'ADJ DETAIL INPUT'!H$8," ",'ADJ DETAIL INPUT'!H$9))</f>
        <v>Working Capital</v>
      </c>
      <c r="C14" s="478"/>
      <c r="D14" s="478"/>
      <c r="E14" s="463">
        <v>-3.4972560000000001</v>
      </c>
      <c r="F14" s="463">
        <v>-648</v>
      </c>
      <c r="G14" s="249"/>
      <c r="H14" s="249">
        <f>'ADJ DETAIL INPUT'!H$58</f>
        <v>-3.4972560000000001</v>
      </c>
      <c r="I14" s="249">
        <f>'ADJ DETAIL INPUT'!H$81</f>
        <v>-648</v>
      </c>
      <c r="J14" s="462"/>
      <c r="K14" s="463">
        <f t="shared" si="0"/>
        <v>0</v>
      </c>
      <c r="L14" s="463">
        <f t="shared" si="1"/>
        <v>0</v>
      </c>
      <c r="N14" s="68">
        <f t="shared" si="2"/>
        <v>0</v>
      </c>
      <c r="O14" s="68">
        <f t="shared" si="3"/>
        <v>0</v>
      </c>
      <c r="P14" s="235">
        <f t="shared" si="4"/>
        <v>0</v>
      </c>
      <c r="Q14" s="60"/>
      <c r="R14" s="250"/>
      <c r="S14" s="231"/>
      <c r="T14" s="86"/>
      <c r="U14" s="396"/>
      <c r="V14" s="86"/>
      <c r="W14" s="231"/>
      <c r="X14" s="86"/>
      <c r="Y14" s="231"/>
      <c r="Z14" s="231"/>
      <c r="AA14" s="247"/>
      <c r="AB14" s="247"/>
    </row>
    <row r="15" spans="1:28" ht="8.25" customHeight="1">
      <c r="A15" s="253"/>
      <c r="B15" s="229"/>
      <c r="E15" s="463"/>
      <c r="F15" s="463"/>
      <c r="G15" s="249"/>
      <c r="H15" s="249"/>
      <c r="I15" s="249"/>
      <c r="J15" s="462"/>
      <c r="K15" s="463"/>
      <c r="L15" s="463"/>
      <c r="M15" s="27"/>
      <c r="N15" s="68"/>
      <c r="O15" s="68"/>
      <c r="S15" s="231"/>
      <c r="T15" s="231"/>
      <c r="U15" s="396"/>
      <c r="V15" s="231"/>
      <c r="W15" s="231"/>
      <c r="X15" s="231"/>
      <c r="Y15" s="231"/>
      <c r="Z15" s="231"/>
    </row>
    <row r="16" spans="1:28">
      <c r="A16" s="253"/>
      <c r="B16" s="478" t="s">
        <v>73</v>
      </c>
      <c r="E16" s="22">
        <f>SUM(E11:E15)</f>
        <v>36387.293815999998</v>
      </c>
      <c r="F16" s="22">
        <f>SUM(F11:F15)</f>
        <v>532557.39999999991</v>
      </c>
      <c r="G16" s="22"/>
      <c r="H16" s="22">
        <f>SUM(H11:H15)</f>
        <v>36387.293815999998</v>
      </c>
      <c r="I16" s="22">
        <f>SUM(I11:I15)</f>
        <v>532557.39999999991</v>
      </c>
      <c r="J16" s="462"/>
      <c r="K16" s="22">
        <f>SUM(K11:K15)</f>
        <v>0</v>
      </c>
      <c r="L16" s="22">
        <f>SUM(L11:L15)</f>
        <v>0</v>
      </c>
      <c r="N16" s="22">
        <f>SUM(N11:N15)</f>
        <v>0</v>
      </c>
      <c r="O16" s="22">
        <f>SUM(O11:O15)</f>
        <v>0</v>
      </c>
      <c r="S16" s="231"/>
      <c r="T16" s="231"/>
      <c r="U16" s="396"/>
      <c r="V16" s="231"/>
      <c r="W16" s="231"/>
      <c r="X16" s="231"/>
      <c r="Y16" s="231"/>
      <c r="Z16" s="231"/>
    </row>
    <row r="17" spans="1:28" ht="5.25" customHeight="1">
      <c r="A17" s="253"/>
      <c r="B17" s="229"/>
      <c r="E17" s="463"/>
      <c r="F17" s="463"/>
      <c r="G17" s="463"/>
      <c r="H17" s="463"/>
      <c r="I17" s="463"/>
      <c r="J17" s="462"/>
      <c r="S17" s="270"/>
      <c r="T17" s="86"/>
      <c r="U17" s="396"/>
      <c r="V17" s="86"/>
      <c r="W17" s="231"/>
      <c r="X17" s="231"/>
      <c r="Y17" s="231"/>
      <c r="Z17" s="231"/>
    </row>
    <row r="18" spans="1:28" s="27" customFormat="1">
      <c r="A18" s="133">
        <f>'ADJ DETAIL INPUT'!I$10</f>
        <v>2.0099999999999998</v>
      </c>
      <c r="B18" s="229" t="str">
        <f>TRIM(CONCATENATE('ADJ DETAIL INPUT'!I$7," ",'ADJ DETAIL INPUT'!I$8," ",'ADJ DETAIL INPUT'!I$9))</f>
        <v>Eliminate B &amp; O Taxes</v>
      </c>
      <c r="C18" s="478"/>
      <c r="D18" s="478"/>
      <c r="E18" s="249">
        <v>33.18</v>
      </c>
      <c r="F18" s="249">
        <v>0</v>
      </c>
      <c r="G18" s="249"/>
      <c r="H18" s="249">
        <f>'ADJ DETAIL INPUT'!I$58</f>
        <v>33.18</v>
      </c>
      <c r="I18" s="249">
        <f>'ADJ DETAIL INPUT'!I$81</f>
        <v>0</v>
      </c>
      <c r="J18" s="462"/>
      <c r="K18" s="463">
        <f t="shared" ref="K18:K29" si="5">H18-E18</f>
        <v>0</v>
      </c>
      <c r="L18" s="463">
        <f t="shared" ref="L18:L29" si="6">I18-F18</f>
        <v>0</v>
      </c>
      <c r="M18" s="11"/>
      <c r="N18" s="68">
        <f t="shared" ref="N18:N29" si="7">K18/$N$10*-1</f>
        <v>0</v>
      </c>
      <c r="O18" s="68">
        <f t="shared" ref="O18:O29" si="8">L18*$O$10/$N$10</f>
        <v>0</v>
      </c>
      <c r="P18" s="235">
        <f t="shared" ref="P18:P29" si="9">N18+O18</f>
        <v>0</v>
      </c>
      <c r="Q18" s="61"/>
      <c r="R18" s="250"/>
      <c r="S18" s="270"/>
      <c r="T18" s="86"/>
      <c r="U18" s="396"/>
      <c r="V18" s="87"/>
      <c r="W18" s="231"/>
      <c r="X18" s="231"/>
      <c r="Y18" s="231"/>
      <c r="Z18" s="231"/>
      <c r="AA18" s="247"/>
      <c r="AB18" s="247"/>
    </row>
    <row r="19" spans="1:28" s="27" customFormat="1">
      <c r="A19" s="133">
        <f>'ADJ DETAIL INPUT'!J$10</f>
        <v>2.0199999999999996</v>
      </c>
      <c r="B19" s="229" t="str">
        <f>TRIM(CONCATENATE('ADJ DETAIL INPUT'!J$7," ",'ADJ DETAIL INPUT'!J$8," ",'ADJ DETAIL INPUT'!J$9))</f>
        <v>Restate Property Tax</v>
      </c>
      <c r="C19" s="478"/>
      <c r="D19" s="478"/>
      <c r="E19" s="249">
        <v>-227.52</v>
      </c>
      <c r="F19" s="249">
        <v>0</v>
      </c>
      <c r="G19" s="249"/>
      <c r="H19" s="249">
        <f>'ADJ DETAIL INPUT'!J$58</f>
        <v>-227.52</v>
      </c>
      <c r="I19" s="249">
        <f>'ADJ DETAIL INPUT'!J$81</f>
        <v>0</v>
      </c>
      <c r="J19" s="462"/>
      <c r="K19" s="463">
        <f t="shared" si="5"/>
        <v>0</v>
      </c>
      <c r="L19" s="463">
        <f t="shared" si="6"/>
        <v>0</v>
      </c>
      <c r="M19" s="11"/>
      <c r="N19" s="68">
        <f t="shared" si="7"/>
        <v>0</v>
      </c>
      <c r="O19" s="68">
        <f t="shared" si="8"/>
        <v>0</v>
      </c>
      <c r="P19" s="235">
        <f t="shared" si="9"/>
        <v>0</v>
      </c>
      <c r="Q19" s="61"/>
      <c r="R19" s="250"/>
      <c r="S19" s="270"/>
      <c r="T19" s="86"/>
      <c r="U19" s="396"/>
      <c r="V19" s="86"/>
      <c r="W19" s="231"/>
      <c r="X19" s="231"/>
      <c r="Y19" s="231"/>
      <c r="Z19" s="231"/>
      <c r="AA19" s="247"/>
      <c r="AB19" s="247"/>
    </row>
    <row r="20" spans="1:28" s="27" customFormat="1">
      <c r="A20" s="133">
        <f>'ADJ DETAIL INPUT'!K$10</f>
        <v>2.0299999999999994</v>
      </c>
      <c r="B20" s="229" t="str">
        <f>TRIM(CONCATENATE('ADJ DETAIL INPUT'!K$7," ",'ADJ DETAIL INPUT'!K$8," ",'ADJ DETAIL INPUT'!K$9))</f>
        <v>Uncollectible Expense</v>
      </c>
      <c r="C20" s="478"/>
      <c r="D20" s="478"/>
      <c r="E20" s="249">
        <v>-732.33</v>
      </c>
      <c r="F20" s="249">
        <v>0</v>
      </c>
      <c r="G20" s="249"/>
      <c r="H20" s="249">
        <f>'ADJ DETAIL INPUT'!K$58</f>
        <v>-732.33</v>
      </c>
      <c r="I20" s="249">
        <f>'ADJ DETAIL INPUT'!K$81</f>
        <v>0</v>
      </c>
      <c r="J20" s="462"/>
      <c r="K20" s="463">
        <f t="shared" ref="K20" si="10">H20-E20</f>
        <v>0</v>
      </c>
      <c r="L20" s="463">
        <f t="shared" ref="L20" si="11">I20-F20</f>
        <v>0</v>
      </c>
      <c r="M20" s="11"/>
      <c r="N20" s="68">
        <f t="shared" ref="N20" si="12">K20/$N$10*-1</f>
        <v>0</v>
      </c>
      <c r="O20" s="68">
        <f t="shared" ref="O20" si="13">L20*$O$10/$N$10</f>
        <v>0</v>
      </c>
      <c r="P20" s="235">
        <f t="shared" ref="P20" si="14">N20+O20</f>
        <v>0</v>
      </c>
      <c r="Q20" s="61"/>
      <c r="R20" s="250"/>
      <c r="S20" s="86"/>
      <c r="T20" s="62"/>
      <c r="U20" s="396"/>
      <c r="V20" s="231"/>
      <c r="W20" s="231"/>
      <c r="X20" s="231"/>
      <c r="Y20" s="231"/>
      <c r="Z20" s="231"/>
      <c r="AA20" s="247"/>
      <c r="AB20" s="247"/>
    </row>
    <row r="21" spans="1:28" s="27" customFormat="1">
      <c r="A21" s="133">
        <f>'ADJ DETAIL INPUT'!L$10</f>
        <v>2.0399999999999991</v>
      </c>
      <c r="B21" s="229" t="str">
        <f>TRIM(CONCATENATE('ADJ DETAIL INPUT'!L$7," ",'ADJ DETAIL INPUT'!L$8," ",'ADJ DETAIL INPUT'!L$9))</f>
        <v>Regulatory Expense</v>
      </c>
      <c r="C21" s="478"/>
      <c r="D21" s="478"/>
      <c r="E21" s="249">
        <v>-314.42</v>
      </c>
      <c r="F21" s="249">
        <v>0</v>
      </c>
      <c r="G21" s="249"/>
      <c r="H21" s="249">
        <f>'ADJ DETAIL INPUT'!L$58</f>
        <v>-314.42</v>
      </c>
      <c r="I21" s="249">
        <f>'ADJ DETAIL INPUT'!L$81</f>
        <v>0</v>
      </c>
      <c r="J21" s="462"/>
      <c r="K21" s="463">
        <f t="shared" si="5"/>
        <v>0</v>
      </c>
      <c r="L21" s="463">
        <f t="shared" si="6"/>
        <v>0</v>
      </c>
      <c r="M21" s="11"/>
      <c r="N21" s="68">
        <f t="shared" si="7"/>
        <v>0</v>
      </c>
      <c r="O21" s="68">
        <f t="shared" si="8"/>
        <v>0</v>
      </c>
      <c r="P21" s="235">
        <f t="shared" si="9"/>
        <v>0</v>
      </c>
      <c r="Q21" s="61"/>
      <c r="R21" s="250"/>
      <c r="S21" s="86"/>
      <c r="T21" s="231"/>
      <c r="U21" s="396"/>
      <c r="V21" s="231"/>
      <c r="W21" s="231"/>
      <c r="X21" s="231"/>
      <c r="Y21" s="231"/>
      <c r="Z21" s="231"/>
      <c r="AA21" s="247"/>
      <c r="AB21" s="247"/>
    </row>
    <row r="22" spans="1:28" s="27" customFormat="1">
      <c r="A22" s="133">
        <f>'ADJ DETAIL INPUT'!M$10</f>
        <v>2.0499999999999989</v>
      </c>
      <c r="B22" s="229" t="str">
        <f>TRIM(CONCATENATE('ADJ DETAIL INPUT'!M$7," ",'ADJ DETAIL INPUT'!M$8," ",'ADJ DETAIL INPUT'!M$9))</f>
        <v>Injuries &amp; Damages</v>
      </c>
      <c r="C22" s="478"/>
      <c r="D22" s="478"/>
      <c r="E22" s="249">
        <v>14.22</v>
      </c>
      <c r="F22" s="249">
        <v>0</v>
      </c>
      <c r="G22" s="249"/>
      <c r="H22" s="249">
        <f>'ADJ DETAIL INPUT'!M$58</f>
        <v>14.22</v>
      </c>
      <c r="I22" s="249">
        <f>'ADJ DETAIL INPUT'!M$81</f>
        <v>0</v>
      </c>
      <c r="J22" s="462"/>
      <c r="K22" s="463">
        <f t="shared" si="5"/>
        <v>0</v>
      </c>
      <c r="L22" s="463">
        <f t="shared" si="6"/>
        <v>0</v>
      </c>
      <c r="M22" s="11"/>
      <c r="N22" s="68">
        <f t="shared" si="7"/>
        <v>0</v>
      </c>
      <c r="O22" s="68">
        <f t="shared" si="8"/>
        <v>0</v>
      </c>
      <c r="P22" s="235">
        <f t="shared" si="9"/>
        <v>0</v>
      </c>
      <c r="Q22" s="61"/>
      <c r="R22" s="250"/>
      <c r="S22" s="231"/>
      <c r="T22" s="231"/>
      <c r="U22" s="396"/>
      <c r="V22" s="231"/>
      <c r="W22" s="231"/>
      <c r="X22" s="231"/>
      <c r="Y22" s="231"/>
      <c r="Z22" s="231"/>
      <c r="AA22" s="247"/>
      <c r="AB22" s="247"/>
    </row>
    <row r="23" spans="1:28" s="27" customFormat="1">
      <c r="A23" s="133">
        <f>'ADJ DETAIL INPUT'!N$10</f>
        <v>2.0599999999999987</v>
      </c>
      <c r="B23" s="229" t="str">
        <f>TRIM(CONCATENATE('ADJ DETAIL INPUT'!N$7," ",'ADJ DETAIL INPUT'!N$8," ",'ADJ DETAIL INPUT'!N$9))</f>
        <v>FIT / DFIT Expense</v>
      </c>
      <c r="C23" s="478"/>
      <c r="D23" s="478"/>
      <c r="E23" s="249">
        <v>101</v>
      </c>
      <c r="F23" s="249">
        <v>0</v>
      </c>
      <c r="G23" s="249"/>
      <c r="H23" s="249">
        <f>'ADJ DETAIL INPUT'!N$58</f>
        <v>101</v>
      </c>
      <c r="I23" s="249">
        <f>'ADJ DETAIL INPUT'!N$81</f>
        <v>0</v>
      </c>
      <c r="J23" s="462"/>
      <c r="K23" s="463">
        <f t="shared" si="5"/>
        <v>0</v>
      </c>
      <c r="L23" s="463">
        <f t="shared" si="6"/>
        <v>0</v>
      </c>
      <c r="M23" s="11"/>
      <c r="N23" s="68">
        <f t="shared" si="7"/>
        <v>0</v>
      </c>
      <c r="O23" s="68">
        <f t="shared" si="8"/>
        <v>0</v>
      </c>
      <c r="P23" s="235">
        <f t="shared" si="9"/>
        <v>0</v>
      </c>
      <c r="Q23" s="61"/>
      <c r="R23" s="250"/>
      <c r="S23" s="86"/>
      <c r="T23" s="231"/>
      <c r="U23" s="396"/>
      <c r="V23" s="231"/>
      <c r="W23" s="231"/>
      <c r="X23" s="231"/>
      <c r="Y23" s="231"/>
      <c r="Z23" s="231"/>
      <c r="AA23" s="247"/>
      <c r="AB23" s="247"/>
    </row>
    <row r="24" spans="1:28" s="27" customFormat="1">
      <c r="A24" s="133">
        <f>'ADJ DETAIL INPUT'!O$10</f>
        <v>2.0699999999999985</v>
      </c>
      <c r="B24" s="229" t="str">
        <f>TRIM(CONCATENATE('ADJ DETAIL INPUT'!O$7," ",'ADJ DETAIL INPUT'!O$8," ",'ADJ DETAIL INPUT'!O$9))</f>
        <v>Office Space Charges to Non-Utility</v>
      </c>
      <c r="C24" s="478"/>
      <c r="D24" s="478"/>
      <c r="E24" s="249">
        <v>7.9</v>
      </c>
      <c r="F24" s="249">
        <v>0</v>
      </c>
      <c r="G24" s="249"/>
      <c r="H24" s="249">
        <f>'ADJ DETAIL INPUT'!O$58</f>
        <v>7.9</v>
      </c>
      <c r="I24" s="249">
        <f>'ADJ DETAIL INPUT'!O$81</f>
        <v>0</v>
      </c>
      <c r="J24" s="462"/>
      <c r="K24" s="463">
        <f t="shared" si="5"/>
        <v>0</v>
      </c>
      <c r="L24" s="463">
        <f t="shared" si="6"/>
        <v>0</v>
      </c>
      <c r="M24" s="67"/>
      <c r="N24" s="68">
        <f t="shared" si="7"/>
        <v>0</v>
      </c>
      <c r="O24" s="68">
        <f t="shared" si="8"/>
        <v>0</v>
      </c>
      <c r="P24" s="235">
        <f t="shared" si="9"/>
        <v>0</v>
      </c>
      <c r="Q24" s="61"/>
      <c r="R24" s="250"/>
      <c r="S24" s="231"/>
      <c r="T24" s="231"/>
      <c r="U24" s="396"/>
      <c r="V24" s="231"/>
      <c r="W24" s="231"/>
      <c r="X24" s="231"/>
      <c r="Y24" s="231"/>
      <c r="Z24" s="231"/>
      <c r="AA24" s="247"/>
      <c r="AB24" s="247"/>
    </row>
    <row r="25" spans="1:28" s="27" customFormat="1">
      <c r="A25" s="133">
        <f>'ADJ DETAIL INPUT'!P$10</f>
        <v>2.0799999999999983</v>
      </c>
      <c r="B25" s="229" t="str">
        <f>TRIM(CONCATENATE('ADJ DETAIL INPUT'!P$7," ",'ADJ DETAIL INPUT'!P$8," ",'ADJ DETAIL INPUT'!P$9))</f>
        <v>Restate Excise Taxes</v>
      </c>
      <c r="C25" s="478"/>
      <c r="D25" s="478"/>
      <c r="E25" s="249">
        <v>3.16</v>
      </c>
      <c r="F25" s="249">
        <v>0</v>
      </c>
      <c r="G25" s="249"/>
      <c r="H25" s="249">
        <f>'ADJ DETAIL INPUT'!P$58</f>
        <v>3.16</v>
      </c>
      <c r="I25" s="249">
        <f>'ADJ DETAIL INPUT'!P$81</f>
        <v>0</v>
      </c>
      <c r="J25" s="462"/>
      <c r="K25" s="463">
        <f t="shared" si="5"/>
        <v>0</v>
      </c>
      <c r="L25" s="463">
        <f t="shared" si="6"/>
        <v>0</v>
      </c>
      <c r="M25" s="67"/>
      <c r="N25" s="68">
        <f t="shared" si="7"/>
        <v>0</v>
      </c>
      <c r="O25" s="68">
        <f t="shared" si="8"/>
        <v>0</v>
      </c>
      <c r="P25" s="235">
        <f t="shared" si="9"/>
        <v>0</v>
      </c>
      <c r="Q25" s="61"/>
      <c r="R25" s="250"/>
      <c r="S25" s="86"/>
      <c r="T25" s="231"/>
      <c r="U25" s="396"/>
      <c r="V25" s="231"/>
      <c r="W25" s="231"/>
      <c r="X25" s="231"/>
      <c r="Y25" s="231"/>
      <c r="Z25" s="231"/>
      <c r="AA25" s="247"/>
      <c r="AB25" s="247"/>
    </row>
    <row r="26" spans="1:28" s="27" customFormat="1">
      <c r="A26" s="133">
        <f>'ADJ DETAIL INPUT'!Q$10</f>
        <v>2.0899999999999981</v>
      </c>
      <c r="B26" s="229" t="str">
        <f>TRIM(CONCATENATE('ADJ DETAIL INPUT'!Q$7," ",'ADJ DETAIL INPUT'!Q$8," ",'ADJ DETAIL INPUT'!Q$9))</f>
        <v>Net Gains &amp; Losses</v>
      </c>
      <c r="C26" s="478"/>
      <c r="D26" s="478"/>
      <c r="E26" s="249">
        <v>8.69</v>
      </c>
      <c r="F26" s="249">
        <v>0</v>
      </c>
      <c r="G26" s="249"/>
      <c r="H26" s="249">
        <f>'ADJ DETAIL INPUT'!Q$58</f>
        <v>8.69</v>
      </c>
      <c r="I26" s="249">
        <f>'ADJ DETAIL INPUT'!Q$81</f>
        <v>0</v>
      </c>
      <c r="J26" s="462"/>
      <c r="K26" s="463">
        <f t="shared" ref="K26:L27" si="15">H26-E26</f>
        <v>0</v>
      </c>
      <c r="L26" s="463">
        <f t="shared" si="15"/>
        <v>0</v>
      </c>
      <c r="M26" s="67"/>
      <c r="N26" s="68">
        <f>K26/$N$10*-1</f>
        <v>0</v>
      </c>
      <c r="O26" s="68">
        <f>L26*$O$10/$N$10</f>
        <v>0</v>
      </c>
      <c r="P26" s="235">
        <f>N26+O26</f>
        <v>0</v>
      </c>
      <c r="Q26" s="61"/>
      <c r="R26" s="250"/>
      <c r="S26" s="231"/>
      <c r="T26" s="231"/>
      <c r="U26" s="396"/>
      <c r="V26" s="231"/>
      <c r="W26" s="231"/>
      <c r="X26" s="231"/>
      <c r="Y26" s="231"/>
      <c r="Z26" s="231"/>
      <c r="AA26" s="247"/>
      <c r="AB26" s="247"/>
    </row>
    <row r="27" spans="1:28" s="21" customFormat="1">
      <c r="A27" s="133">
        <f>'ADJ DETAIL INPUT'!R$10</f>
        <v>2.0999999999999979</v>
      </c>
      <c r="B27" s="229" t="str">
        <f>TRIM(CONCATENATE('ADJ DETAIL INPUT'!R$7," ",'ADJ DETAIL INPUT'!R$8," ",'ADJ DETAIL INPUT'!R$9))</f>
        <v>Weather Normalization / Gas Cost Adjust</v>
      </c>
      <c r="C27" s="478"/>
      <c r="D27" s="478"/>
      <c r="E27" s="249">
        <v>-33.97</v>
      </c>
      <c r="F27" s="249">
        <v>0</v>
      </c>
      <c r="G27" s="249"/>
      <c r="H27" s="249">
        <f>'ADJ DETAIL INPUT'!R$58</f>
        <v>-33.97</v>
      </c>
      <c r="I27" s="249">
        <f>'ADJ DETAIL INPUT'!R$81</f>
        <v>0</v>
      </c>
      <c r="J27" s="462"/>
      <c r="K27" s="463">
        <f t="shared" si="15"/>
        <v>0</v>
      </c>
      <c r="L27" s="463">
        <f t="shared" si="15"/>
        <v>0</v>
      </c>
      <c r="M27" s="11"/>
      <c r="N27" s="68">
        <f>K27/$N$10*-1</f>
        <v>0</v>
      </c>
      <c r="O27" s="68">
        <f>L27*$O$10/$N$10</f>
        <v>0</v>
      </c>
      <c r="P27" s="235">
        <f>N27+O27</f>
        <v>0</v>
      </c>
      <c r="Q27" s="58"/>
      <c r="R27" s="250"/>
      <c r="S27" s="376"/>
      <c r="T27" s="376"/>
      <c r="U27" s="396"/>
      <c r="V27" s="231"/>
      <c r="W27" s="231"/>
      <c r="X27" s="231"/>
      <c r="Y27" s="231"/>
      <c r="Z27" s="231"/>
      <c r="AA27" s="247"/>
      <c r="AB27" s="247"/>
    </row>
    <row r="28" spans="1:28" s="228" customFormat="1">
      <c r="A28" s="133">
        <f>'ADJ DETAIL INPUT'!S$10</f>
        <v>2.1099999999999977</v>
      </c>
      <c r="B28" s="229" t="str">
        <f>TRIM(CONCATENATE('ADJ DETAIL INPUT'!S$7," ",'ADJ DETAIL INPUT'!S$8," ",'ADJ DETAIL INPUT'!S$9))</f>
        <v>Eliminate Adder Schedules</v>
      </c>
      <c r="C28" s="478"/>
      <c r="D28" s="478"/>
      <c r="E28" s="249">
        <v>8.0499999999992724</v>
      </c>
      <c r="F28" s="249">
        <v>0</v>
      </c>
      <c r="G28" s="249"/>
      <c r="H28" s="249">
        <f>'ADJ DETAIL INPUT'!S$58</f>
        <v>8.0499999999992724</v>
      </c>
      <c r="I28" s="249">
        <f>'ADJ DETAIL INPUT'!S$81</f>
        <v>0</v>
      </c>
      <c r="J28" s="462"/>
      <c r="K28" s="463">
        <f t="shared" ref="K28" si="16">H28-E28</f>
        <v>0</v>
      </c>
      <c r="L28" s="463">
        <f t="shared" ref="L28" si="17">I28-F28</f>
        <v>0</v>
      </c>
      <c r="M28" s="225"/>
      <c r="N28" s="234">
        <f>K28/$N$10*-1</f>
        <v>0</v>
      </c>
      <c r="O28" s="234">
        <f>L28*$O$10/$N$10</f>
        <v>0</v>
      </c>
      <c r="P28" s="235">
        <f>N28+O28</f>
        <v>0</v>
      </c>
      <c r="Q28" s="233"/>
      <c r="R28" s="250"/>
      <c r="S28" s="376"/>
      <c r="T28" s="376"/>
      <c r="U28" s="396"/>
      <c r="V28" s="231"/>
      <c r="W28" s="231"/>
      <c r="X28" s="231"/>
      <c r="Y28" s="231"/>
      <c r="Z28" s="231"/>
      <c r="AA28" s="247"/>
      <c r="AB28" s="247"/>
    </row>
    <row r="29" spans="1:28" s="61" customFormat="1">
      <c r="A29" s="133">
        <f>'ADJ DETAIL INPUT'!T$10</f>
        <v>2.1199999999999974</v>
      </c>
      <c r="B29" s="252" t="str">
        <f>TRIM(CONCATENATE('ADJ DETAIL INPUT'!T$7," ",'ADJ DETAIL INPUT'!T$8," ",'ADJ DETAIL INPUT'!T$9))</f>
        <v>Misc. Restating Non-Util / Non- Recurring Expense</v>
      </c>
      <c r="C29" s="493"/>
      <c r="D29" s="493"/>
      <c r="E29" s="221">
        <v>328.00799999999998</v>
      </c>
      <c r="F29" s="221">
        <v>0</v>
      </c>
      <c r="G29" s="221"/>
      <c r="H29" s="221">
        <f>'ADJ DETAIL INPUT'!T$58</f>
        <v>328.00799999999998</v>
      </c>
      <c r="I29" s="221">
        <f>'ADJ DETAIL INPUT'!T$81</f>
        <v>0</v>
      </c>
      <c r="J29" s="482"/>
      <c r="K29" s="463">
        <f t="shared" si="5"/>
        <v>0</v>
      </c>
      <c r="L29" s="463">
        <f t="shared" si="6"/>
        <v>0</v>
      </c>
      <c r="M29" s="67"/>
      <c r="N29" s="68">
        <f t="shared" si="7"/>
        <v>0</v>
      </c>
      <c r="O29" s="68">
        <f t="shared" si="8"/>
        <v>0</v>
      </c>
      <c r="P29" s="235">
        <f t="shared" si="9"/>
        <v>0</v>
      </c>
      <c r="R29" s="250"/>
      <c r="S29" s="376"/>
      <c r="T29" s="376"/>
      <c r="U29" s="396"/>
      <c r="V29" s="231"/>
      <c r="W29" s="231"/>
      <c r="X29" s="231"/>
      <c r="Y29" s="231"/>
      <c r="Z29" s="231"/>
      <c r="AA29" s="250"/>
      <c r="AB29" s="250"/>
    </row>
    <row r="30" spans="1:28" s="61" customFormat="1">
      <c r="A30" s="133">
        <f>'ADJ DETAIL INPUT'!U$10</f>
        <v>2.1299999999999972</v>
      </c>
      <c r="B30" s="252" t="str">
        <f>TRIM(CONCATENATE('ADJ DETAIL INPUT'!U$7," ",'ADJ DETAIL INPUT'!U$8," ",'ADJ DETAIL INPUT'!U$9))</f>
        <v>Restating Incentives Expense</v>
      </c>
      <c r="C30" s="493"/>
      <c r="D30" s="493"/>
      <c r="E30" s="221">
        <v>-197.72357</v>
      </c>
      <c r="F30" s="221">
        <v>0</v>
      </c>
      <c r="G30" s="221"/>
      <c r="H30" s="221">
        <f>'ADJ DETAIL INPUT'!U$58</f>
        <v>-197.72357</v>
      </c>
      <c r="I30" s="221">
        <f>'ADJ DETAIL INPUT'!U$81</f>
        <v>0</v>
      </c>
      <c r="J30" s="482"/>
      <c r="K30" s="463">
        <f t="shared" ref="K30:L32" si="18">H30-E30</f>
        <v>0</v>
      </c>
      <c r="L30" s="463">
        <f t="shared" si="18"/>
        <v>0</v>
      </c>
      <c r="M30" s="67"/>
      <c r="N30" s="234">
        <f>K30/$N$10*-1</f>
        <v>0</v>
      </c>
      <c r="O30" s="234">
        <f>L30*$O$10/$N$10</f>
        <v>0</v>
      </c>
      <c r="P30" s="235">
        <f>N30+O30</f>
        <v>0</v>
      </c>
      <c r="Q30" s="250"/>
      <c r="R30" s="250"/>
      <c r="S30" s="62"/>
      <c r="T30" s="62"/>
      <c r="U30" s="396"/>
      <c r="V30" s="250"/>
      <c r="W30" s="250"/>
      <c r="X30" s="250"/>
      <c r="Y30" s="250"/>
      <c r="Z30" s="250"/>
      <c r="AA30" s="250"/>
      <c r="AB30" s="250"/>
    </row>
    <row r="31" spans="1:28" s="61" customFormat="1">
      <c r="A31" s="133">
        <f>'ADJ DETAIL INPUT'!V$10</f>
        <v>2.139999999999997</v>
      </c>
      <c r="B31" s="252" t="str">
        <f>TRIM(CONCATENATE('ADJ DETAIL INPUT'!V$7," ",'ADJ DETAIL INPUT'!V$8," ",'ADJ DETAIL INPUT'!V$9))</f>
        <v>Restate Debt Interest</v>
      </c>
      <c r="C31" s="493"/>
      <c r="D31" s="493"/>
      <c r="E31" s="221">
        <v>-57</v>
      </c>
      <c r="F31" s="221">
        <v>0</v>
      </c>
      <c r="G31" s="221"/>
      <c r="H31" s="221">
        <f>'ADJ DETAIL INPUT'!V$58</f>
        <v>-57</v>
      </c>
      <c r="I31" s="221">
        <f>'ADJ DETAIL INPUT'!V$81</f>
        <v>0</v>
      </c>
      <c r="J31" s="482"/>
      <c r="K31" s="463">
        <f t="shared" si="18"/>
        <v>0</v>
      </c>
      <c r="L31" s="463">
        <f t="shared" si="18"/>
        <v>0</v>
      </c>
      <c r="M31" s="67"/>
      <c r="N31" s="68">
        <f>K31/$N$10*-1</f>
        <v>0</v>
      </c>
      <c r="O31" s="68">
        <f>L31*$O$10/$N$10</f>
        <v>0</v>
      </c>
      <c r="P31" s="235">
        <f>N31+O31</f>
        <v>0</v>
      </c>
      <c r="Q31" s="60" t="s">
        <v>167</v>
      </c>
      <c r="R31" s="250"/>
      <c r="S31" s="231"/>
      <c r="T31" s="231"/>
      <c r="U31" s="396"/>
      <c r="V31" s="250"/>
      <c r="W31" s="250"/>
      <c r="X31" s="250"/>
      <c r="Y31" s="250"/>
      <c r="Z31" s="250"/>
      <c r="AA31" s="250"/>
      <c r="AB31" s="250"/>
    </row>
    <row r="32" spans="1:28" s="61" customFormat="1">
      <c r="A32" s="133">
        <f>'ADJ DETAIL INPUT'!W$10</f>
        <v>2.1499999999999968</v>
      </c>
      <c r="B32" s="252" t="str">
        <f>TRIM(CONCATENATE('ADJ DETAIL INPUT'!W$7," ",'ADJ DETAIL INPUT'!W$8," ",'ADJ DETAIL INPUT'!W$9))</f>
        <v>Restate Capital 06.2023 EOP</v>
      </c>
      <c r="C32" s="493"/>
      <c r="D32" s="493"/>
      <c r="E32" s="221">
        <v>66.965975999999998</v>
      </c>
      <c r="F32" s="221">
        <v>12408</v>
      </c>
      <c r="G32" s="221"/>
      <c r="H32" s="221">
        <f>'ADJ DETAIL INPUT'!W$58</f>
        <v>66.965975999999998</v>
      </c>
      <c r="I32" s="221">
        <f>'ADJ DETAIL INPUT'!W$81</f>
        <v>12408</v>
      </c>
      <c r="J32" s="482"/>
      <c r="K32" s="463">
        <f t="shared" si="18"/>
        <v>0</v>
      </c>
      <c r="L32" s="463">
        <f t="shared" si="18"/>
        <v>0</v>
      </c>
      <c r="M32" s="67"/>
      <c r="N32" s="234">
        <f>K32/$N$10*-1</f>
        <v>0</v>
      </c>
      <c r="O32" s="234">
        <f>L32*$O$10/$N$10</f>
        <v>0</v>
      </c>
      <c r="P32" s="235">
        <f>N32+O32</f>
        <v>0</v>
      </c>
      <c r="Q32" s="250"/>
      <c r="R32" s="250"/>
      <c r="S32" s="231"/>
      <c r="T32" s="231"/>
      <c r="U32" s="396"/>
      <c r="V32" s="250"/>
      <c r="W32" s="250"/>
      <c r="X32" s="250"/>
      <c r="Y32" s="250"/>
      <c r="Z32" s="250"/>
      <c r="AA32" s="250"/>
      <c r="AB32" s="250"/>
    </row>
    <row r="33" spans="1:28" s="61" customFormat="1" hidden="1" outlineLevel="1">
      <c r="A33" s="133">
        <f>'ADJ DETAIL INPUT'!X$10</f>
        <v>0</v>
      </c>
      <c r="B33" s="252" t="str">
        <f>TRIM(CONCATENATE('ADJ DETAIL INPUT'!X$7," ",'ADJ DETAIL INPUT'!X$8," ",'ADJ DETAIL INPUT'!X$9))</f>
        <v/>
      </c>
      <c r="C33" s="493"/>
      <c r="D33" s="493"/>
      <c r="E33" s="221">
        <v>0</v>
      </c>
      <c r="F33" s="221">
        <v>0</v>
      </c>
      <c r="G33" s="221"/>
      <c r="H33" s="221">
        <f>'ADJ DETAIL INPUT'!X$58</f>
        <v>0</v>
      </c>
      <c r="I33" s="221">
        <f>'ADJ DETAIL INPUT'!X$81</f>
        <v>0</v>
      </c>
      <c r="J33" s="482"/>
      <c r="K33" s="463">
        <f t="shared" ref="K33" si="19">H33-E33</f>
        <v>0</v>
      </c>
      <c r="L33" s="463">
        <f t="shared" ref="L33" si="20">I33-F33</f>
        <v>0</v>
      </c>
      <c r="M33" s="464"/>
      <c r="N33" s="470">
        <f>K33/$N$10*-1</f>
        <v>0</v>
      </c>
      <c r="O33" s="470">
        <f>L33*$O$10/$N$10</f>
        <v>0</v>
      </c>
      <c r="P33" s="471">
        <f>N33+O33</f>
        <v>0</v>
      </c>
      <c r="Q33" s="468"/>
      <c r="R33" s="468"/>
      <c r="S33" s="467"/>
      <c r="T33" s="467"/>
      <c r="U33" s="473"/>
      <c r="V33" s="468"/>
      <c r="W33" s="468"/>
      <c r="X33" s="468"/>
      <c r="Y33" s="468"/>
      <c r="Z33" s="468"/>
      <c r="AA33" s="468"/>
      <c r="AB33" s="468"/>
    </row>
    <row r="34" spans="1:28" ht="18" customHeight="1" collapsed="1" thickBot="1">
      <c r="A34" s="133"/>
      <c r="B34" s="478" t="s">
        <v>74</v>
      </c>
      <c r="E34" s="26">
        <f>SUM(E16:E33)</f>
        <v>35395.50422200001</v>
      </c>
      <c r="F34" s="26">
        <f>SUM(F16:F33)</f>
        <v>544965.39999999991</v>
      </c>
      <c r="G34" s="26"/>
      <c r="H34" s="26">
        <f>SUM(H16:H33)</f>
        <v>35395.50422200001</v>
      </c>
      <c r="I34" s="26">
        <f>SUM(I16:I33)</f>
        <v>544965.39999999991</v>
      </c>
      <c r="J34" s="462"/>
      <c r="K34" s="26">
        <f>SUM(K16:K33)</f>
        <v>0</v>
      </c>
      <c r="L34" s="26">
        <f>SUM(L16:L33)</f>
        <v>0</v>
      </c>
      <c r="M34" s="26"/>
      <c r="N34" s="26">
        <f>SUM(N16:N33)</f>
        <v>0</v>
      </c>
      <c r="O34" s="26">
        <f>SUM(O16:O33)</f>
        <v>0</v>
      </c>
      <c r="S34" s="231"/>
    </row>
    <row r="35" spans="1:28" ht="15" customHeight="1" thickTop="1">
      <c r="A35" s="476" t="str">
        <f>'ADJ SUMMARY'!A29</f>
        <v>Pro Forma Adjustments - 07.2023 - 12.2025</v>
      </c>
      <c r="D35" s="229"/>
      <c r="E35" s="229"/>
      <c r="H35" s="229"/>
      <c r="J35" s="462"/>
      <c r="K35" s="249"/>
      <c r="L35" s="249"/>
      <c r="N35" s="24"/>
      <c r="O35" s="24"/>
      <c r="S35" s="231"/>
    </row>
    <row r="36" spans="1:28" s="60" customFormat="1">
      <c r="A36" s="133">
        <f>'ADJ DETAIL INPUT'!Z$10</f>
        <v>3.01</v>
      </c>
      <c r="B36" s="252" t="str">
        <f>TRIM(CONCATENATE('ADJ DETAIL INPUT'!Z$7," ",'ADJ DETAIL INPUT'!Z$8," ",'ADJ DETAIL INPUT'!Z$9))</f>
        <v>Pro Forma Revenue Normalization</v>
      </c>
      <c r="C36" s="493"/>
      <c r="D36" s="493"/>
      <c r="E36" s="221">
        <v>1922.07</v>
      </c>
      <c r="F36" s="221">
        <v>0</v>
      </c>
      <c r="G36" s="221"/>
      <c r="H36" s="221">
        <f>'ADJ DETAIL INPUT'!Z$58</f>
        <v>1922.07</v>
      </c>
      <c r="I36" s="221">
        <f>'ADJ DETAIL INPUT'!Z$81</f>
        <v>0</v>
      </c>
      <c r="J36" s="482"/>
      <c r="K36" s="463">
        <f>H36-E36</f>
        <v>0</v>
      </c>
      <c r="L36" s="463">
        <f>I36-F36</f>
        <v>0</v>
      </c>
      <c r="M36" s="11"/>
      <c r="N36" s="68">
        <f>K36/$N$10*-1</f>
        <v>0</v>
      </c>
      <c r="O36" s="68">
        <f>L36*$O$10/$N$10</f>
        <v>0</v>
      </c>
      <c r="P36" s="83">
        <f>N36+O36</f>
        <v>0</v>
      </c>
      <c r="Q36" s="231"/>
      <c r="R36" s="231"/>
      <c r="S36" s="231"/>
      <c r="T36" s="231"/>
      <c r="U36" s="396"/>
      <c r="V36" s="250"/>
      <c r="W36" s="250"/>
      <c r="X36" s="250"/>
      <c r="Y36" s="250"/>
      <c r="Z36" s="250"/>
      <c r="AA36" s="250"/>
      <c r="AB36" s="250"/>
    </row>
    <row r="37" spans="1:28" s="250" customFormat="1">
      <c r="A37" s="133">
        <f>'ADJ DETAIL INPUT'!AA$10</f>
        <v>3.0199999999999996</v>
      </c>
      <c r="B37" s="252" t="str">
        <f>TRIM(CONCATENATE('ADJ DETAIL INPUT'!AA$7," ",'ADJ DETAIL INPUT'!AA$8," ",'ADJ DETAIL INPUT'!AA$9))</f>
        <v>Pro Forma Def. Debits, Credits &amp; Regulatory Amorts</v>
      </c>
      <c r="C37" s="493"/>
      <c r="D37" s="493"/>
      <c r="E37" s="221">
        <v>192.76</v>
      </c>
      <c r="F37" s="221">
        <v>0</v>
      </c>
      <c r="G37" s="221"/>
      <c r="H37" s="221">
        <f>'ADJ DETAIL INPUT'!AA$58</f>
        <v>192.76</v>
      </c>
      <c r="I37" s="221">
        <f>'ADJ DETAIL INPUT'!AA$81</f>
        <v>0</v>
      </c>
      <c r="J37" s="482"/>
      <c r="K37" s="463">
        <f t="shared" ref="K37:K38" si="21">H37-E37</f>
        <v>0</v>
      </c>
      <c r="L37" s="463">
        <f t="shared" ref="L37:L38" si="22">I37-F37</f>
        <v>0</v>
      </c>
      <c r="M37" s="247"/>
      <c r="N37" s="234">
        <f t="shared" ref="N37:N38" si="23">K37/$N$10*-1</f>
        <v>0</v>
      </c>
      <c r="O37" s="234">
        <f t="shared" ref="O37:O38" si="24">L37*$O$10/$N$10</f>
        <v>0</v>
      </c>
      <c r="P37" s="83">
        <f t="shared" ref="P37:P38" si="25">N37+O37</f>
        <v>0</v>
      </c>
      <c r="Q37" s="231"/>
      <c r="R37" s="231"/>
      <c r="S37" s="231"/>
      <c r="T37" s="231"/>
      <c r="U37" s="396"/>
    </row>
    <row r="38" spans="1:28" s="250" customFormat="1">
      <c r="A38" s="133">
        <f>'ADJ DETAIL INPUT'!AB$10</f>
        <v>3.0299999999999994</v>
      </c>
      <c r="B38" s="252" t="str">
        <f>TRIM(CONCATENATE('ADJ DETAIL INPUT'!AB$7," ",'ADJ DETAIL INPUT'!AB$8," ",'ADJ DETAIL INPUT'!AB$9))</f>
        <v>Pro Forma EDIT (RSGM)</v>
      </c>
      <c r="C38" s="493"/>
      <c r="D38" s="493"/>
      <c r="E38" s="221">
        <v>-136</v>
      </c>
      <c r="F38" s="221">
        <v>0</v>
      </c>
      <c r="G38" s="221"/>
      <c r="H38" s="221">
        <f>'ADJ DETAIL INPUT'!AB$58</f>
        <v>-136</v>
      </c>
      <c r="I38" s="221">
        <f>'ADJ DETAIL INPUT'!AB$81</f>
        <v>0</v>
      </c>
      <c r="J38" s="482"/>
      <c r="K38" s="463">
        <f t="shared" si="21"/>
        <v>0</v>
      </c>
      <c r="L38" s="463">
        <f t="shared" si="22"/>
        <v>0</v>
      </c>
      <c r="M38" s="247"/>
      <c r="N38" s="234">
        <f t="shared" si="23"/>
        <v>0</v>
      </c>
      <c r="O38" s="234">
        <f t="shared" si="24"/>
        <v>0</v>
      </c>
      <c r="P38" s="83">
        <f t="shared" si="25"/>
        <v>0</v>
      </c>
      <c r="Q38" s="231"/>
      <c r="R38" s="231"/>
      <c r="S38" s="231"/>
      <c r="T38" s="231"/>
      <c r="U38" s="396"/>
    </row>
    <row r="39" spans="1:28" s="250" customFormat="1">
      <c r="A39" s="133">
        <f>'ADJ DETAIL INPUT'!AC$10</f>
        <v>3.0399999999999991</v>
      </c>
      <c r="B39" s="252" t="str">
        <f>TRIM(CONCATENATE('ADJ DETAIL INPUT'!AC$7," ",'ADJ DETAIL INPUT'!AC$8," ",'ADJ DETAIL INPUT'!AC$9))</f>
        <v>Pro Forma AMI Amortization</v>
      </c>
      <c r="C39" s="493"/>
      <c r="D39" s="493"/>
      <c r="E39" s="221">
        <v>622.815023</v>
      </c>
      <c r="F39" s="221">
        <v>-2141</v>
      </c>
      <c r="G39" s="221"/>
      <c r="H39" s="221">
        <f>'ADJ DETAIL INPUT'!AC$58</f>
        <v>622.815023</v>
      </c>
      <c r="I39" s="221">
        <f>'ADJ DETAIL INPUT'!AC$81</f>
        <v>-2141</v>
      </c>
      <c r="J39" s="482"/>
      <c r="K39" s="463">
        <f>H39-E39</f>
        <v>0</v>
      </c>
      <c r="L39" s="463">
        <f>I39-F39</f>
        <v>0</v>
      </c>
      <c r="M39" s="247"/>
      <c r="N39" s="234">
        <f>K39/$N$10*-1</f>
        <v>0</v>
      </c>
      <c r="O39" s="234">
        <f>L39*$O$10/$N$10</f>
        <v>0</v>
      </c>
      <c r="P39" s="83">
        <f>N39+O39</f>
        <v>0</v>
      </c>
      <c r="Q39" s="231"/>
      <c r="R39" s="231"/>
      <c r="S39" s="231"/>
      <c r="T39" s="231"/>
      <c r="U39" s="396"/>
    </row>
    <row r="40" spans="1:28" s="232" customFormat="1">
      <c r="A40" s="133">
        <f>'ADJ DETAIL INPUT'!AD$10</f>
        <v>3.0499999999999989</v>
      </c>
      <c r="B40" s="252" t="str">
        <f>TRIM(CONCATENATE('ADJ DETAIL INPUT'!AD$7," ",'ADJ DETAIL INPUT'!AD$8," ",'ADJ DETAIL INPUT'!AD$9))</f>
        <v>Pro Forma Labor Non-Exec</v>
      </c>
      <c r="C40" s="493"/>
      <c r="D40" s="493"/>
      <c r="E40" s="221">
        <v>-1441.9870000000001</v>
      </c>
      <c r="F40" s="221">
        <v>0</v>
      </c>
      <c r="G40" s="221"/>
      <c r="H40" s="221">
        <f>'ADJ DETAIL INPUT'!AD$58</f>
        <v>-1441.9870000000001</v>
      </c>
      <c r="I40" s="221">
        <f>'ADJ DETAIL INPUT'!AD$81</f>
        <v>0</v>
      </c>
      <c r="J40" s="482"/>
      <c r="K40" s="463">
        <f t="shared" ref="K40" si="26">H40-E40</f>
        <v>0</v>
      </c>
      <c r="L40" s="463">
        <f t="shared" ref="L40" si="27">I40-F40</f>
        <v>0</v>
      </c>
      <c r="M40" s="225"/>
      <c r="N40" s="234">
        <f t="shared" ref="N40" si="28">K40/$N$10*-1</f>
        <v>0</v>
      </c>
      <c r="O40" s="234">
        <f t="shared" ref="O40" si="29">L40*$O$10/$N$10</f>
        <v>0</v>
      </c>
      <c r="P40" s="235">
        <f t="shared" ref="P40" si="30">N40+O40</f>
        <v>0</v>
      </c>
      <c r="R40" s="250"/>
      <c r="S40" s="231"/>
      <c r="T40" s="231"/>
      <c r="U40" s="396"/>
      <c r="V40" s="250"/>
      <c r="W40" s="250"/>
      <c r="X40" s="250"/>
      <c r="Y40" s="250"/>
      <c r="Z40" s="250"/>
      <c r="AA40" s="250"/>
      <c r="AB40" s="250"/>
    </row>
    <row r="41" spans="1:28" s="250" customFormat="1">
      <c r="A41" s="133">
        <f>'ADJ DETAIL INPUT'!AE$10</f>
        <v>3.0599999999999987</v>
      </c>
      <c r="B41" s="252" t="str">
        <f>TRIM(CONCATENATE('ADJ DETAIL INPUT'!AE$7," ",'ADJ DETAIL INPUT'!AE$8," ",'ADJ DETAIL INPUT'!AE$9))</f>
        <v>Pro Forma Labor Exec</v>
      </c>
      <c r="C41" s="493"/>
      <c r="D41" s="493"/>
      <c r="E41" s="221">
        <v>-15.013949999999999</v>
      </c>
      <c r="F41" s="221">
        <v>0</v>
      </c>
      <c r="G41" s="221"/>
      <c r="H41" s="221">
        <f>'ADJ DETAIL INPUT'!AE$58</f>
        <v>-15.013949999999999</v>
      </c>
      <c r="I41" s="221">
        <f>'ADJ DETAIL INPUT'!AE$81</f>
        <v>0</v>
      </c>
      <c r="J41" s="482"/>
      <c r="K41" s="463">
        <f t="shared" ref="K41" si="31">H41-E41</f>
        <v>0</v>
      </c>
      <c r="L41" s="463">
        <f t="shared" ref="L41" si="32">I41-F41</f>
        <v>0</v>
      </c>
      <c r="M41" s="247"/>
      <c r="N41" s="234">
        <f t="shared" ref="N41" si="33">K41/$N$10*-1</f>
        <v>0</v>
      </c>
      <c r="O41" s="234">
        <f t="shared" ref="O41" si="34">L41*$O$10/$N$10</f>
        <v>0</v>
      </c>
      <c r="P41" s="83">
        <f t="shared" ref="P41" si="35">N41+O41</f>
        <v>0</v>
      </c>
      <c r="Q41" s="231"/>
      <c r="R41" s="231"/>
      <c r="S41" s="231"/>
      <c r="T41" s="231"/>
      <c r="U41" s="396"/>
    </row>
    <row r="42" spans="1:28">
      <c r="A42" s="133">
        <f>'ADJ DETAIL INPUT'!AF$10</f>
        <v>3.0699999999999985</v>
      </c>
      <c r="B42" s="229" t="str">
        <f>TRIM(CONCATENATE('ADJ DETAIL INPUT'!AF$7," ",'ADJ DETAIL INPUT'!AF$8," ",'ADJ DETAIL INPUT'!AF$9))</f>
        <v>Pro Forma Employee Benefits</v>
      </c>
      <c r="E42" s="249">
        <v>1334.4680000000001</v>
      </c>
      <c r="F42" s="249">
        <v>0</v>
      </c>
      <c r="G42" s="249"/>
      <c r="H42" s="249">
        <f>'ADJ DETAIL INPUT'!AF$58</f>
        <v>1334.4680000000001</v>
      </c>
      <c r="I42" s="249">
        <f>'ADJ DETAIL INPUT'!AF$81</f>
        <v>0</v>
      </c>
      <c r="J42" s="462"/>
      <c r="K42" s="463">
        <f t="shared" ref="K42:K44" si="36">H42-E42</f>
        <v>0</v>
      </c>
      <c r="L42" s="463">
        <f t="shared" ref="L42:L44" si="37">I42-F42</f>
        <v>0</v>
      </c>
      <c r="N42" s="68">
        <f t="shared" ref="N42:N44" si="38">K42/$N$10*-1</f>
        <v>0</v>
      </c>
      <c r="O42" s="68">
        <f t="shared" ref="O42:O44" si="39">L42*$O$10/$N$10</f>
        <v>0</v>
      </c>
      <c r="P42" s="235">
        <f t="shared" ref="P42:P44" si="40">N42+O42</f>
        <v>0</v>
      </c>
      <c r="S42" s="86"/>
    </row>
    <row r="43" spans="1:28" s="478" customFormat="1">
      <c r="A43" s="133">
        <f>'ADJ DETAIL INPUT'!AG$10</f>
        <v>3.0799999999999983</v>
      </c>
      <c r="B43" s="229" t="str">
        <f>TRIM(CONCATENATE('ADJ DETAIL INPUT'!AG$7," ",'ADJ DETAIL INPUT'!AG$8," ",'ADJ DETAIL INPUT'!AG$9))</f>
        <v>Pro Forma Incentives</v>
      </c>
      <c r="E43" s="249">
        <v>-291.35199999999998</v>
      </c>
      <c r="F43" s="249">
        <v>0</v>
      </c>
      <c r="G43" s="249"/>
      <c r="H43" s="249">
        <f>'ADJ DETAIL INPUT'!AG$58</f>
        <v>-291.35199999999998</v>
      </c>
      <c r="I43" s="249">
        <f>'ADJ DETAIL INPUT'!AG$81</f>
        <v>0</v>
      </c>
      <c r="J43" s="462"/>
      <c r="K43" s="463">
        <f t="shared" ref="K43" si="41">H43-E43</f>
        <v>0</v>
      </c>
      <c r="L43" s="463">
        <f t="shared" ref="L43" si="42">I43-F43</f>
        <v>0</v>
      </c>
      <c r="N43" s="484">
        <f t="shared" ref="N43" si="43">K43/$N$10*-1</f>
        <v>0</v>
      </c>
      <c r="O43" s="484">
        <f t="shared" ref="O43" si="44">L43*$O$10/$N$10</f>
        <v>0</v>
      </c>
      <c r="P43" s="485">
        <f t="shared" ref="P43" si="45">N43+O43</f>
        <v>0</v>
      </c>
      <c r="Q43" s="493"/>
      <c r="R43" s="493"/>
      <c r="S43" s="469"/>
      <c r="T43" s="462"/>
      <c r="U43" s="475"/>
    </row>
    <row r="44" spans="1:28" ht="13.5" customHeight="1">
      <c r="A44" s="133">
        <f>'ADJ DETAIL INPUT'!AH$10</f>
        <v>3.0899999999999981</v>
      </c>
      <c r="B44" s="229" t="str">
        <f>TRIM(CONCATENATE('ADJ DETAIL INPUT'!AH$7," ",'ADJ DETAIL INPUT'!AH$8," ",'ADJ DETAIL INPUT'!AH$9))</f>
        <v>Pro Forma LIRAP Labor</v>
      </c>
      <c r="E44" s="249">
        <v>-61.620000000000005</v>
      </c>
      <c r="F44" s="249">
        <v>0</v>
      </c>
      <c r="G44" s="249"/>
      <c r="H44" s="249">
        <f>'ADJ DETAIL INPUT'!AH$58</f>
        <v>-61.620000000000005</v>
      </c>
      <c r="I44" s="249">
        <f>'ADJ DETAIL INPUT'!AH$81</f>
        <v>0</v>
      </c>
      <c r="J44" s="462"/>
      <c r="K44" s="463">
        <f t="shared" si="36"/>
        <v>0</v>
      </c>
      <c r="L44" s="463">
        <f t="shared" si="37"/>
        <v>0</v>
      </c>
      <c r="N44" s="68">
        <f t="shared" si="38"/>
        <v>0</v>
      </c>
      <c r="O44" s="68">
        <f t="shared" si="39"/>
        <v>0</v>
      </c>
      <c r="P44" s="235">
        <f t="shared" si="40"/>
        <v>0</v>
      </c>
      <c r="S44" s="86"/>
    </row>
    <row r="45" spans="1:28">
      <c r="A45" s="133">
        <f>'ADJ DETAIL INPUT'!AI$10</f>
        <v>3.0999999999999979</v>
      </c>
      <c r="B45" s="229" t="str">
        <f>TRIM(CONCATENATE('ADJ DETAIL INPUT'!AI$7," ",'ADJ DETAIL INPUT'!AI$8," ",'ADJ DETAIL INPUT'!AI$9))</f>
        <v>Pro Forma CCA Labor</v>
      </c>
      <c r="E45" s="249">
        <v>-89.198110000000014</v>
      </c>
      <c r="F45" s="249">
        <v>0</v>
      </c>
      <c r="G45" s="249"/>
      <c r="H45" s="249">
        <f>'ADJ DETAIL INPUT'!AI$58</f>
        <v>-89.198110000000014</v>
      </c>
      <c r="I45" s="249">
        <f>'ADJ DETAIL INPUT'!AI$81</f>
        <v>0</v>
      </c>
      <c r="J45" s="462"/>
      <c r="K45" s="463">
        <f t="shared" ref="K45:L45" si="46">H45-E45</f>
        <v>0</v>
      </c>
      <c r="L45" s="463">
        <f t="shared" si="46"/>
        <v>0</v>
      </c>
      <c r="N45" s="68">
        <f>K45/$N$10*-1</f>
        <v>0</v>
      </c>
      <c r="O45" s="68">
        <f>L45*$O$10/$N$10</f>
        <v>0</v>
      </c>
      <c r="P45" s="235">
        <f>N45+O45</f>
        <v>0</v>
      </c>
      <c r="S45" s="86"/>
    </row>
    <row r="46" spans="1:28" s="461" customFormat="1">
      <c r="A46" s="133">
        <f>'ADJ DETAIL INPUT'!AJ$10</f>
        <v>3.1099999999999977</v>
      </c>
      <c r="B46" s="229" t="str">
        <f>TRIM(CONCATENATE('ADJ DETAIL INPUT'!AJ$7," ",'ADJ DETAIL INPUT'!AJ$8," ",'ADJ DETAIL INPUT'!AJ$9))</f>
        <v>Pro Forma Property Tax</v>
      </c>
      <c r="C46" s="478"/>
      <c r="D46" s="478"/>
      <c r="E46" s="249">
        <v>-747.34</v>
      </c>
      <c r="F46" s="249">
        <v>0</v>
      </c>
      <c r="G46" s="249"/>
      <c r="H46" s="249">
        <f>'ADJ DETAIL INPUT'!AJ$58</f>
        <v>-747.34</v>
      </c>
      <c r="I46" s="249">
        <f>'ADJ DETAIL INPUT'!AJ$81</f>
        <v>0</v>
      </c>
      <c r="J46" s="462"/>
      <c r="K46" s="463">
        <f t="shared" ref="K46" si="47">H46-E46</f>
        <v>0</v>
      </c>
      <c r="L46" s="463">
        <f t="shared" ref="L46" si="48">I46-F46</f>
        <v>0</v>
      </c>
      <c r="N46" s="470">
        <f>K46/$N$10*-1</f>
        <v>0</v>
      </c>
      <c r="O46" s="470">
        <f>L46*$O$10/$N$10</f>
        <v>0</v>
      </c>
      <c r="P46" s="471">
        <f>N46+O46</f>
        <v>0</v>
      </c>
      <c r="Q46" s="468"/>
      <c r="R46" s="468"/>
      <c r="S46" s="469"/>
      <c r="T46" s="462"/>
      <c r="U46" s="475"/>
    </row>
    <row r="47" spans="1:28">
      <c r="A47" s="133">
        <f>'ADJ DETAIL INPUT'!AK$10</f>
        <v>3.1199999999999974</v>
      </c>
      <c r="B47" s="229" t="str">
        <f>TRIM(CONCATENATE('ADJ DETAIL INPUT'!AK$7," ",'ADJ DETAIL INPUT'!AK$8," ",'ADJ DETAIL INPUT'!AK$9))</f>
        <v>Pro Forma Insurance Expense</v>
      </c>
      <c r="E47" s="249">
        <v>-472.42</v>
      </c>
      <c r="F47" s="249">
        <v>0</v>
      </c>
      <c r="G47" s="249"/>
      <c r="H47" s="249">
        <f>'ADJ DETAIL INPUT'!AK$58</f>
        <v>-472.42</v>
      </c>
      <c r="I47" s="249">
        <f>'ADJ DETAIL INPUT'!AK$81</f>
        <v>0</v>
      </c>
      <c r="J47" s="462"/>
      <c r="K47" s="463">
        <f t="shared" ref="K47" si="49">H47-E47</f>
        <v>0</v>
      </c>
      <c r="L47" s="463">
        <f t="shared" ref="L47" si="50">I47-F47</f>
        <v>0</v>
      </c>
      <c r="N47" s="68">
        <f>K47/$N$10*-1</f>
        <v>0</v>
      </c>
      <c r="O47" s="68">
        <f>L47*$O$10/$N$10</f>
        <v>0</v>
      </c>
      <c r="P47" s="83">
        <f>N47+O47</f>
        <v>0</v>
      </c>
      <c r="Q47" s="231"/>
      <c r="R47" s="231"/>
      <c r="S47" s="86"/>
    </row>
    <row r="48" spans="1:28" s="61" customFormat="1">
      <c r="A48" s="133">
        <f>'ADJ DETAIL INPUT'!AL$10</f>
        <v>3.1299999999999972</v>
      </c>
      <c r="B48" s="252" t="str">
        <f>TRIM(CONCATENATE('ADJ DETAIL INPUT'!AL$7," ",'ADJ DETAIL INPUT'!AL$8," ",'ADJ DETAIL INPUT'!AL$9))</f>
        <v>Pro Forma IS/IT Expense</v>
      </c>
      <c r="C48" s="493"/>
      <c r="D48" s="493"/>
      <c r="E48" s="221">
        <v>-16.274000000000001</v>
      </c>
      <c r="F48" s="221">
        <v>0</v>
      </c>
      <c r="G48" s="221"/>
      <c r="H48" s="221">
        <f>'ADJ DETAIL INPUT'!AL$58</f>
        <v>-16.274000000000001</v>
      </c>
      <c r="I48" s="221">
        <f>'ADJ DETAIL INPUT'!AL$81</f>
        <v>0</v>
      </c>
      <c r="J48" s="482"/>
      <c r="K48" s="463">
        <f t="shared" ref="K48" si="51">H48-E48</f>
        <v>0</v>
      </c>
      <c r="L48" s="463">
        <f t="shared" ref="L48" si="52">I48-F48</f>
        <v>0</v>
      </c>
      <c r="M48" s="67"/>
      <c r="N48" s="68">
        <f>K48/$N$10*-1</f>
        <v>0</v>
      </c>
      <c r="O48" s="68">
        <f>L48*$O$10/$N$10</f>
        <v>0</v>
      </c>
      <c r="P48" s="83">
        <f>N48+O48</f>
        <v>0</v>
      </c>
      <c r="Q48" s="62"/>
      <c r="R48" s="231"/>
      <c r="S48" s="86"/>
      <c r="T48" s="231"/>
      <c r="U48" s="396"/>
      <c r="V48" s="250"/>
      <c r="W48" s="250"/>
      <c r="X48" s="250"/>
      <c r="Y48" s="250"/>
      <c r="Z48" s="250"/>
      <c r="AA48" s="250"/>
      <c r="AB48" s="250"/>
    </row>
    <row r="49" spans="1:28" s="250" customFormat="1">
      <c r="A49" s="565">
        <f>'ADJ DETAIL INPUT'!AM$10</f>
        <v>3.139999999999997</v>
      </c>
      <c r="B49" s="566" t="str">
        <f>TRIM(CONCATENATE('ADJ DETAIL INPUT'!AM$7," ",'ADJ DETAIL INPUT'!AM$8," ",'ADJ DETAIL INPUT'!AM$9))</f>
        <v>Pro Forma Misc O&amp;M Exp</v>
      </c>
      <c r="C49" s="482"/>
      <c r="D49" s="482"/>
      <c r="E49" s="567">
        <v>-1290.5929799999999</v>
      </c>
      <c r="F49" s="567">
        <v>0</v>
      </c>
      <c r="G49" s="567"/>
      <c r="H49" s="567">
        <f>'ADJ DETAIL INPUT'!AM$58</f>
        <v>-1290.5929799999999</v>
      </c>
      <c r="I49" s="567">
        <f>'ADJ DETAIL INPUT'!AM$81</f>
        <v>0</v>
      </c>
      <c r="J49" s="482"/>
      <c r="K49" s="568">
        <f t="shared" ref="K49" si="53">H49-E49</f>
        <v>0</v>
      </c>
      <c r="L49" s="568">
        <f t="shared" ref="L49" si="54">I49-F49</f>
        <v>0</v>
      </c>
      <c r="M49" s="226"/>
      <c r="N49" s="255">
        <f t="shared" ref="N49" si="55">K49/$N$10*-1</f>
        <v>0</v>
      </c>
      <c r="O49" s="255">
        <f t="shared" ref="O49" si="56">L49*$O$10/$N$10</f>
        <v>0</v>
      </c>
      <c r="P49" s="83">
        <f t="shared" ref="P49" si="57">N49+O49</f>
        <v>0</v>
      </c>
      <c r="Q49" s="231"/>
      <c r="R49" s="231"/>
      <c r="S49" s="231"/>
      <c r="T49" s="231"/>
      <c r="U49" s="396"/>
    </row>
    <row r="50" spans="1:28" s="468" customFormat="1">
      <c r="A50" s="565">
        <f>'ADJ DETAIL INPUT'!AN$10</f>
        <v>3.1499999999999968</v>
      </c>
      <c r="B50" s="566" t="str">
        <f>TRIM(CONCATENATE('ADJ DETAIL INPUT'!AN$7," ",'ADJ DETAIL INPUT'!AN$8," ",'ADJ DETAIL INPUT'!AN$9))</f>
        <v>Pro Forma Capital Additions to 12.31.2023 EOP</v>
      </c>
      <c r="C50" s="482"/>
      <c r="D50" s="482"/>
      <c r="E50" s="567">
        <v>-898.12380370000005</v>
      </c>
      <c r="F50" s="567">
        <v>19487.900000000001</v>
      </c>
      <c r="G50" s="567"/>
      <c r="H50" s="567">
        <f>'ADJ DETAIL INPUT'!AN$58</f>
        <v>-898.12380370000005</v>
      </c>
      <c r="I50" s="567">
        <f>'ADJ DETAIL INPUT'!AN$81</f>
        <v>19487.900000000001</v>
      </c>
      <c r="J50" s="482"/>
      <c r="K50" s="568">
        <f t="shared" ref="K50:K54" si="58">H50-E50</f>
        <v>0</v>
      </c>
      <c r="L50" s="568">
        <f t="shared" ref="L50:L54" si="59">I50-F50</f>
        <v>0</v>
      </c>
      <c r="M50" s="462"/>
      <c r="N50" s="255">
        <f t="shared" ref="N50:N54" si="60">K50/$N$10*-1</f>
        <v>0</v>
      </c>
      <c r="O50" s="255">
        <f t="shared" ref="O50:O54" si="61">L50*$O$10/$N$10</f>
        <v>0</v>
      </c>
      <c r="P50" s="472">
        <f t="shared" ref="P50:P54" si="62">N50+O50</f>
        <v>0</v>
      </c>
      <c r="Q50" s="467"/>
      <c r="R50" s="467"/>
      <c r="S50" s="467"/>
      <c r="T50" s="467"/>
      <c r="U50" s="473"/>
    </row>
    <row r="51" spans="1:28" s="493" customFormat="1">
      <c r="A51" s="565">
        <f>'ADJ DETAIL INPUT'!AO$10</f>
        <v>3.1599999999999966</v>
      </c>
      <c r="B51" s="566" t="str">
        <f>TRIM(CONCATENATE('ADJ DETAIL INPUT'!AO$7," ",'ADJ DETAIL INPUT'!AO$8," ",'ADJ DETAIL INPUT'!AO$9))</f>
        <v>Pro Forma Depreciation Expense</v>
      </c>
      <c r="C51" s="482"/>
      <c r="D51" s="482"/>
      <c r="E51" s="567">
        <v>714.31799999999998</v>
      </c>
      <c r="F51" s="567">
        <v>0</v>
      </c>
      <c r="G51" s="567"/>
      <c r="H51" s="567">
        <f>'ADJ DETAIL INPUT'!AO$58</f>
        <v>714.31799999999998</v>
      </c>
      <c r="I51" s="567">
        <f>'ADJ DETAIL INPUT'!AO$81</f>
        <v>0</v>
      </c>
      <c r="J51" s="482"/>
      <c r="K51" s="568">
        <f t="shared" ref="K51:K53" si="63">H51-E51</f>
        <v>0</v>
      </c>
      <c r="L51" s="568">
        <f t="shared" ref="L51:L53" si="64">I51-F51</f>
        <v>0</v>
      </c>
      <c r="M51" s="462"/>
      <c r="N51" s="255">
        <f t="shared" ref="N51:N53" si="65">K51/$N$10*-1</f>
        <v>0</v>
      </c>
      <c r="O51" s="255">
        <f t="shared" ref="O51:O53" si="66">L51*$O$10/$N$10</f>
        <v>0</v>
      </c>
      <c r="P51" s="491">
        <f t="shared" ref="P51:P53" si="67">N51+O51</f>
        <v>0</v>
      </c>
      <c r="Q51" s="482"/>
      <c r="R51" s="482"/>
      <c r="S51" s="482"/>
      <c r="T51" s="482"/>
      <c r="U51" s="473"/>
    </row>
    <row r="52" spans="1:28" s="493" customFormat="1">
      <c r="A52" s="565">
        <f>'ADJ DETAIL INPUT'!AP$10</f>
        <v>3.1699999999999964</v>
      </c>
      <c r="B52" s="566" t="str">
        <f>TRIM(CONCATENATE('ADJ DETAIL INPUT'!AP$7," ",'ADJ DETAIL INPUT'!AP$8," ",'ADJ DETAIL INPUT'!AP$9))</f>
        <v>Pro Forma Capital Additions to 12.31.2024 EOP</v>
      </c>
      <c r="C52" s="482"/>
      <c r="D52" s="482"/>
      <c r="E52" s="567">
        <v>-1435.024504</v>
      </c>
      <c r="F52" s="567">
        <v>20568</v>
      </c>
      <c r="G52" s="567"/>
      <c r="H52" s="567">
        <f>'ADJ DETAIL INPUT'!AP$58</f>
        <v>-1435.024504</v>
      </c>
      <c r="I52" s="567">
        <f>'ADJ DETAIL INPUT'!AP$81</f>
        <v>20568</v>
      </c>
      <c r="J52" s="482"/>
      <c r="K52" s="568">
        <f t="shared" si="63"/>
        <v>0</v>
      </c>
      <c r="L52" s="568">
        <f t="shared" si="64"/>
        <v>0</v>
      </c>
      <c r="M52" s="462"/>
      <c r="N52" s="255">
        <f t="shared" si="65"/>
        <v>0</v>
      </c>
      <c r="O52" s="255">
        <f t="shared" si="66"/>
        <v>0</v>
      </c>
      <c r="P52" s="491">
        <f t="shared" si="67"/>
        <v>0</v>
      </c>
      <c r="Q52" s="482"/>
      <c r="R52" s="482"/>
      <c r="S52" s="482"/>
      <c r="T52" s="482"/>
      <c r="U52" s="473"/>
    </row>
    <row r="53" spans="1:28" s="493" customFormat="1">
      <c r="A53" s="565">
        <f>'ADJ DETAIL INPUT'!AQ$10</f>
        <v>3.1799999999999962</v>
      </c>
      <c r="B53" s="566" t="str">
        <f>TRIM(CONCATENATE('ADJ DETAIL INPUT'!AQ$7," ",'ADJ DETAIL INPUT'!AQ$8," ",'ADJ DETAIL INPUT'!AQ$9))</f>
        <v>Pro Forma New Regulatory Amortizations</v>
      </c>
      <c r="C53" s="482"/>
      <c r="D53" s="482"/>
      <c r="E53" s="567">
        <v>-237</v>
      </c>
      <c r="F53" s="567">
        <v>0</v>
      </c>
      <c r="G53" s="567"/>
      <c r="H53" s="567">
        <f>'ADJ DETAIL INPUT'!AQ$58</f>
        <v>-237</v>
      </c>
      <c r="I53" s="567">
        <f>'ADJ DETAIL INPUT'!AQ$81</f>
        <v>0</v>
      </c>
      <c r="J53" s="482"/>
      <c r="K53" s="568">
        <f t="shared" si="63"/>
        <v>0</v>
      </c>
      <c r="L53" s="568">
        <f t="shared" si="64"/>
        <v>0</v>
      </c>
      <c r="M53" s="462"/>
      <c r="N53" s="255">
        <f t="shared" si="65"/>
        <v>0</v>
      </c>
      <c r="O53" s="255">
        <f t="shared" si="66"/>
        <v>0</v>
      </c>
      <c r="P53" s="491">
        <f t="shared" si="67"/>
        <v>0</v>
      </c>
      <c r="Q53" s="482"/>
      <c r="R53" s="482"/>
      <c r="S53" s="482"/>
      <c r="T53" s="482"/>
      <c r="U53" s="473"/>
    </row>
    <row r="54" spans="1:28" s="468" customFormat="1">
      <c r="A54" s="565">
        <f>'ADJ DETAIL INPUT'!AR$10</f>
        <v>3.1899999999999959</v>
      </c>
      <c r="B54" s="566" t="str">
        <f>TRIM(CONCATENATE('ADJ DETAIL INPUT'!AR$7," ",'ADJ DETAIL INPUT'!AR$8," ",'ADJ DETAIL INPUT'!AR$9))</f>
        <v>Pro Forma Nucleus/ETRM Expense</v>
      </c>
      <c r="C54" s="482"/>
      <c r="D54" s="482"/>
      <c r="E54" s="567">
        <v>-140.62</v>
      </c>
      <c r="F54" s="567">
        <v>0</v>
      </c>
      <c r="G54" s="567"/>
      <c r="H54" s="567">
        <f>'ADJ DETAIL INPUT'!AR$58</f>
        <v>-140.62</v>
      </c>
      <c r="I54" s="567">
        <f>'ADJ DETAIL INPUT'!AR$81</f>
        <v>0</v>
      </c>
      <c r="J54" s="482"/>
      <c r="K54" s="568">
        <f t="shared" si="58"/>
        <v>0</v>
      </c>
      <c r="L54" s="568">
        <f t="shared" si="59"/>
        <v>0</v>
      </c>
      <c r="M54" s="462"/>
      <c r="N54" s="255">
        <f t="shared" si="60"/>
        <v>0</v>
      </c>
      <c r="O54" s="255">
        <f t="shared" si="61"/>
        <v>0</v>
      </c>
      <c r="P54" s="472">
        <f t="shared" si="62"/>
        <v>0</v>
      </c>
      <c r="Q54" s="467"/>
      <c r="R54" s="467"/>
      <c r="S54" s="467"/>
      <c r="T54" s="467"/>
      <c r="U54" s="473"/>
    </row>
    <row r="55" spans="1:28" s="60" customFormat="1">
      <c r="A55" s="133">
        <f>'ADJ DETAIL INPUT'!AS$10</f>
        <v>3.1999999999999957</v>
      </c>
      <c r="B55" s="252" t="str">
        <f>TRIM(CONCATENATE('ADJ DETAIL INPUT'!AS$7," ",'ADJ DETAIL INPUT'!AS$8," ",'ADJ DETAIL INPUT'!AS$9))</f>
        <v>Pro Forma BOD Fees Expense</v>
      </c>
      <c r="C55" s="493"/>
      <c r="D55" s="493"/>
      <c r="E55" s="221">
        <v>-118.5</v>
      </c>
      <c r="F55" s="221">
        <v>0</v>
      </c>
      <c r="G55" s="221"/>
      <c r="H55" s="221">
        <f>'ADJ DETAIL INPUT'!AS$58</f>
        <v>-118.5</v>
      </c>
      <c r="I55" s="221">
        <f>'ADJ DETAIL INPUT'!AS$81</f>
        <v>0</v>
      </c>
      <c r="J55" s="482"/>
      <c r="K55" s="463">
        <f t="shared" ref="K55" si="68">H55-E55</f>
        <v>0</v>
      </c>
      <c r="L55" s="463">
        <f t="shared" ref="L55" si="69">I55-F55</f>
        <v>0</v>
      </c>
      <c r="M55" s="11"/>
      <c r="N55" s="68">
        <f t="shared" ref="N55" si="70">K55/$N$10*-1</f>
        <v>0</v>
      </c>
      <c r="O55" s="68">
        <f t="shared" ref="O55" si="71">L55*$O$10/$N$10</f>
        <v>0</v>
      </c>
      <c r="P55" s="83">
        <f t="shared" ref="P55" si="72">N55+O55</f>
        <v>0</v>
      </c>
      <c r="Q55" s="231"/>
      <c r="R55" s="231"/>
      <c r="S55" s="231"/>
      <c r="T55" s="231"/>
      <c r="U55" s="396"/>
      <c r="V55" s="250"/>
      <c r="W55" s="250"/>
      <c r="X55" s="250"/>
      <c r="Y55" s="250"/>
      <c r="Z55" s="250"/>
      <c r="AA55" s="250"/>
      <c r="AB55" s="250"/>
    </row>
    <row r="56" spans="1:28" s="250" customFormat="1">
      <c r="A56" s="133">
        <f>'ADJ DETAIL INPUT'!AT$10</f>
        <v>4.01</v>
      </c>
      <c r="B56" s="252" t="str">
        <f>TRIM(CONCATENATE('ADJ DETAIL INPUT'!AT$7," ",'ADJ DETAIL INPUT'!AT$8," ",'ADJ DETAIL INPUT'!AT$9))</f>
        <v>Provisional Capital Additions to 12.31.2025 AMA</v>
      </c>
      <c r="C56" s="493"/>
      <c r="D56" s="493"/>
      <c r="E56" s="221">
        <v>-1697.0085517</v>
      </c>
      <c r="F56" s="221">
        <v>3203.9000000000015</v>
      </c>
      <c r="G56" s="221"/>
      <c r="H56" s="221">
        <f>'ADJ DETAIL INPUT'!AT$58</f>
        <v>-1697.0085517</v>
      </c>
      <c r="I56" s="221">
        <f>'ADJ DETAIL INPUT'!AT$81</f>
        <v>3203.9000000000015</v>
      </c>
      <c r="J56" s="482"/>
      <c r="K56" s="463">
        <f t="shared" ref="K56:K57" si="73">H56-E56</f>
        <v>0</v>
      </c>
      <c r="L56" s="463">
        <f t="shared" ref="L56:L57" si="74">I56-F56</f>
        <v>0</v>
      </c>
      <c r="M56" s="247"/>
      <c r="N56" s="234">
        <f t="shared" ref="N56:N57" si="75">K56/$N$10*-1</f>
        <v>0</v>
      </c>
      <c r="O56" s="234">
        <f t="shared" ref="O56:O57" si="76">L56*$O$10/$N$10</f>
        <v>0</v>
      </c>
      <c r="P56" s="83">
        <f t="shared" ref="P56:P57" si="77">N56+O56</f>
        <v>0</v>
      </c>
      <c r="Q56" s="231"/>
      <c r="R56" s="231"/>
      <c r="S56" s="231"/>
      <c r="T56" s="231"/>
      <c r="U56" s="396"/>
    </row>
    <row r="57" spans="1:28" s="250" customFormat="1">
      <c r="A57" s="133">
        <f>'ADJ DETAIL INPUT'!AU$10</f>
        <v>4.0199999999999996</v>
      </c>
      <c r="B57" s="252" t="str">
        <f>TRIM(CONCATENATE('ADJ DETAIL INPUT'!AU$7," ",'ADJ DETAIL INPUT'!AU$8," ",'ADJ DETAIL INPUT'!AU$9))</f>
        <v>2024-2025 Capital Adds O&amp;M &amp; Revenue Offsets</v>
      </c>
      <c r="C57" s="493"/>
      <c r="D57" s="493"/>
      <c r="E57" s="221">
        <v>491.93853000000001</v>
      </c>
      <c r="F57" s="221">
        <v>0</v>
      </c>
      <c r="G57" s="221"/>
      <c r="H57" s="221">
        <f>'ADJ DETAIL INPUT'!AU$58</f>
        <v>491.93853000000001</v>
      </c>
      <c r="I57" s="221">
        <f>'ADJ DETAIL INPUT'!AU$81</f>
        <v>0</v>
      </c>
      <c r="J57" s="482"/>
      <c r="K57" s="463">
        <f t="shared" si="73"/>
        <v>0</v>
      </c>
      <c r="L57" s="463">
        <f t="shared" si="74"/>
        <v>0</v>
      </c>
      <c r="M57" s="247"/>
      <c r="N57" s="234">
        <f t="shared" si="75"/>
        <v>0</v>
      </c>
      <c r="O57" s="234">
        <f t="shared" si="76"/>
        <v>0</v>
      </c>
      <c r="P57" s="83">
        <f t="shared" si="77"/>
        <v>0</v>
      </c>
      <c r="Q57" s="231"/>
      <c r="R57" s="231"/>
      <c r="S57" s="231"/>
      <c r="T57" s="231"/>
      <c r="U57" s="396"/>
    </row>
    <row r="58" spans="1:28" s="232" customFormat="1" hidden="1" outlineLevel="1">
      <c r="A58" s="133">
        <f>'ADJ DETAIL INPUT'!AV$10</f>
        <v>0</v>
      </c>
      <c r="B58" s="252" t="str">
        <f>TRIM(CONCATENATE('ADJ DETAIL INPUT'!AV$7," ",'ADJ DETAIL INPUT'!AV$8," ",'ADJ DETAIL INPUT'!AV$9))</f>
        <v/>
      </c>
      <c r="C58" s="493"/>
      <c r="D58" s="493"/>
      <c r="E58" s="221">
        <v>0</v>
      </c>
      <c r="F58" s="221">
        <v>0</v>
      </c>
      <c r="G58" s="221"/>
      <c r="H58" s="221">
        <f>'ADJ DETAIL INPUT'!AV$58</f>
        <v>0</v>
      </c>
      <c r="I58" s="221">
        <f>'ADJ DETAIL INPUT'!AV$81</f>
        <v>0</v>
      </c>
      <c r="J58" s="482"/>
      <c r="K58" s="463">
        <f t="shared" ref="K58" si="78">H58-E58</f>
        <v>0</v>
      </c>
      <c r="L58" s="463">
        <f t="shared" ref="L58" si="79">I58-F58</f>
        <v>0</v>
      </c>
      <c r="M58" s="225"/>
      <c r="N58" s="234">
        <f t="shared" ref="N58" si="80">K58/$N$10*-1</f>
        <v>0</v>
      </c>
      <c r="O58" s="234">
        <f t="shared" ref="O58" si="81">L58*$O$10/$N$10</f>
        <v>0</v>
      </c>
      <c r="P58" s="83">
        <f t="shared" ref="P58" si="82">N58+O58</f>
        <v>0</v>
      </c>
      <c r="Q58" s="231"/>
      <c r="R58" s="231"/>
      <c r="S58" s="231"/>
      <c r="T58" s="231"/>
      <c r="U58" s="396"/>
      <c r="V58" s="250"/>
      <c r="W58" s="250"/>
      <c r="X58" s="250"/>
      <c r="Y58" s="250"/>
      <c r="Z58" s="250"/>
      <c r="AA58" s="250"/>
      <c r="AB58" s="250"/>
    </row>
    <row r="59" spans="1:28" s="60" customFormat="1" collapsed="1">
      <c r="A59" s="133"/>
      <c r="B59" s="252"/>
      <c r="C59" s="493"/>
      <c r="D59" s="493"/>
      <c r="E59" s="463"/>
      <c r="F59" s="463"/>
      <c r="G59" s="221"/>
      <c r="H59" s="221"/>
      <c r="I59" s="221"/>
      <c r="J59" s="482"/>
      <c r="K59" s="463"/>
      <c r="L59" s="463"/>
      <c r="M59" s="11"/>
      <c r="N59" s="68"/>
      <c r="O59" s="68"/>
      <c r="P59" s="235"/>
      <c r="R59" s="250"/>
      <c r="S59" s="231"/>
      <c r="T59" s="231"/>
      <c r="U59" s="396"/>
      <c r="V59" s="250"/>
      <c r="W59" s="250"/>
      <c r="X59" s="250"/>
      <c r="Y59" s="250"/>
      <c r="Z59" s="250"/>
      <c r="AA59" s="250"/>
      <c r="AB59" s="250"/>
    </row>
    <row r="60" spans="1:28" ht="16.5" customHeight="1" thickBot="1">
      <c r="A60" s="133"/>
      <c r="B60" s="478" t="str">
        <f>'ADJ SUMMARY'!C53</f>
        <v xml:space="preserve">     Pro Forma Study Ending 12.2025</v>
      </c>
      <c r="E60" s="26">
        <f>SUM(E34:E59)</f>
        <v>31585.798875600016</v>
      </c>
      <c r="F60" s="26">
        <f>SUM(F34:F59)</f>
        <v>586084.19999999995</v>
      </c>
      <c r="G60" s="70"/>
      <c r="H60" s="26">
        <f>SUM(H34:H59)</f>
        <v>31585.798875600016</v>
      </c>
      <c r="I60" s="26">
        <f>SUM(I34:I59)</f>
        <v>586084.19999999995</v>
      </c>
      <c r="J60" s="462"/>
      <c r="K60" s="26">
        <f>SUM(K34:K59)</f>
        <v>0</v>
      </c>
      <c r="L60" s="26">
        <f>SUM(L34:L59)</f>
        <v>0</v>
      </c>
      <c r="M60" s="70"/>
      <c r="N60" s="26">
        <f>SUM(N34:N59)</f>
        <v>0</v>
      </c>
      <c r="O60" s="26">
        <f>SUM(O34:O59)</f>
        <v>0</v>
      </c>
      <c r="P60" s="231"/>
      <c r="Q60" s="59"/>
      <c r="R60" s="231"/>
      <c r="S60" s="87"/>
      <c r="T60" s="258"/>
      <c r="V60" s="226"/>
    </row>
    <row r="61" spans="1:28" ht="13.5" thickTop="1">
      <c r="A61" s="25"/>
      <c r="D61" s="229"/>
      <c r="E61" s="229"/>
      <c r="H61" s="88"/>
      <c r="I61" s="88"/>
      <c r="J61" s="462"/>
      <c r="K61" s="463"/>
      <c r="L61" s="463"/>
      <c r="O61" s="17">
        <f>N60+O60</f>
        <v>0</v>
      </c>
      <c r="P61" s="231"/>
      <c r="Q61" s="59"/>
      <c r="R61" s="231"/>
      <c r="S61" s="231"/>
      <c r="V61" s="226"/>
    </row>
    <row r="62" spans="1:28">
      <c r="A62" s="569"/>
      <c r="B62" s="252"/>
      <c r="D62" s="229"/>
      <c r="E62" s="229"/>
      <c r="F62" s="463"/>
      <c r="H62" s="229"/>
      <c r="I62" s="259"/>
      <c r="J62" s="462"/>
      <c r="K62" s="570"/>
      <c r="N62" s="69" t="s">
        <v>542</v>
      </c>
      <c r="O62" s="256"/>
      <c r="P62" s="231"/>
      <c r="Q62" s="59"/>
      <c r="R62" s="231"/>
      <c r="S62" s="83"/>
      <c r="V62" s="226"/>
    </row>
    <row r="63" spans="1:28" ht="13.5" thickBot="1">
      <c r="A63" s="571"/>
      <c r="B63" s="229"/>
      <c r="D63" s="229"/>
      <c r="E63" s="229"/>
      <c r="F63" s="463"/>
      <c r="H63" s="229"/>
      <c r="J63" s="462"/>
      <c r="N63" s="69" t="s">
        <v>161</v>
      </c>
      <c r="O63" s="82">
        <f>SUM(O61:O62)</f>
        <v>0</v>
      </c>
      <c r="P63" s="231"/>
      <c r="Q63" s="59"/>
      <c r="R63" s="84"/>
      <c r="S63" s="231"/>
      <c r="V63" s="226"/>
    </row>
    <row r="64" spans="1:28" ht="13.5" thickTop="1">
      <c r="A64" s="572"/>
      <c r="B64" s="229"/>
      <c r="D64" s="229"/>
      <c r="E64" s="229"/>
      <c r="F64" s="463"/>
      <c r="H64" s="229"/>
      <c r="J64" s="462"/>
      <c r="N64" s="69" t="s">
        <v>544</v>
      </c>
      <c r="O64" s="256">
        <v>17293</v>
      </c>
      <c r="P64" s="231"/>
      <c r="Q64" s="59"/>
      <c r="R64" s="231"/>
      <c r="S64" s="231"/>
      <c r="V64" s="226"/>
    </row>
    <row r="65" spans="1:22" ht="13.5" thickBot="1">
      <c r="A65" s="572"/>
      <c r="B65" s="229"/>
      <c r="D65" s="229"/>
      <c r="E65" s="229"/>
      <c r="F65" s="463"/>
      <c r="H65" s="229"/>
      <c r="J65" s="462"/>
      <c r="N65" s="69" t="s">
        <v>163</v>
      </c>
      <c r="O65" s="26">
        <f>O64+O63</f>
        <v>17293</v>
      </c>
      <c r="P65" s="231"/>
      <c r="Q65" s="59"/>
      <c r="R65" s="231"/>
      <c r="S65" s="231"/>
      <c r="V65" s="226"/>
    </row>
    <row r="66" spans="1:22" ht="13.5" thickTop="1">
      <c r="A66" s="572"/>
      <c r="B66" s="229"/>
      <c r="D66" s="229"/>
      <c r="H66" s="229"/>
      <c r="J66" s="462"/>
      <c r="N66" s="85"/>
      <c r="O66" s="83">
        <f>'RR SUMMARY'!F24</f>
        <v>17293</v>
      </c>
      <c r="P66" s="83">
        <f>O65-O66</f>
        <v>0</v>
      </c>
      <c r="Q66" s="59"/>
      <c r="R66" s="85"/>
      <c r="S66" s="231"/>
      <c r="V66" s="226"/>
    </row>
    <row r="67" spans="1:22">
      <c r="A67" s="476" t="str">
        <f>'ADJ SUMMARY'!A56</f>
        <v>Pro Forma Adjustments - 12.2025 - 12.2026</v>
      </c>
      <c r="D67" s="229"/>
      <c r="E67" s="229"/>
      <c r="F67" s="249"/>
      <c r="H67" s="229"/>
      <c r="J67" s="462"/>
      <c r="N67" s="85"/>
      <c r="O67" s="83"/>
      <c r="P67" s="231"/>
      <c r="Q67" s="59"/>
      <c r="R67" s="85"/>
      <c r="S67" s="231"/>
      <c r="V67" s="226"/>
    </row>
    <row r="68" spans="1:22" s="483" customFormat="1">
      <c r="A68" s="133">
        <f>'ADJ DETAIL INPUT'!AY$10</f>
        <v>0</v>
      </c>
      <c r="B68" s="252" t="str">
        <f>TRIM(CONCATENATE('ADJ DETAIL INPUT'!AY$7," ",'ADJ DETAIL INPUT'!AY$8," ",'ADJ DETAIL INPUT'!AY$9))</f>
        <v/>
      </c>
      <c r="C68" s="493"/>
      <c r="D68" s="493"/>
      <c r="E68" s="221">
        <v>0</v>
      </c>
      <c r="F68" s="221">
        <v>0</v>
      </c>
      <c r="G68" s="221"/>
      <c r="H68" s="221">
        <f>'ADJ DETAIL INPUT'!AY$58</f>
        <v>0</v>
      </c>
      <c r="I68" s="221">
        <f>'ADJ DETAIL INPUT'!AY$81</f>
        <v>0</v>
      </c>
      <c r="J68" s="482"/>
      <c r="K68" s="463">
        <f>H68-E68</f>
        <v>0</v>
      </c>
      <c r="L68" s="463">
        <f>I68-F68</f>
        <v>0</v>
      </c>
      <c r="M68" s="478"/>
      <c r="N68" s="484">
        <f>K68/$N$10*-1</f>
        <v>0</v>
      </c>
      <c r="O68" s="484">
        <f>L68*$O$10/$N$10</f>
        <v>0</v>
      </c>
      <c r="P68" s="491">
        <f>N68+O68</f>
        <v>0</v>
      </c>
      <c r="Q68" s="482"/>
      <c r="R68" s="482"/>
      <c r="S68" s="482"/>
      <c r="T68" s="482"/>
      <c r="U68" s="473"/>
    </row>
    <row r="69" spans="1:22" s="468" customFormat="1">
      <c r="A69" s="133">
        <f>'ADJ DETAIL INPUT'!AZ$10</f>
        <v>5.01</v>
      </c>
      <c r="B69" s="252" t="str">
        <f>TRIM(CONCATENATE('ADJ DETAIL INPUT'!AZ$7," ",'ADJ DETAIL INPUT'!AZ$8," ",'ADJ DETAIL INPUT'!AZ$9))</f>
        <v>Pro Forma AMI Amortization</v>
      </c>
      <c r="C69" s="493"/>
      <c r="D69" s="493"/>
      <c r="E69" s="221">
        <v>78.373344000000003</v>
      </c>
      <c r="F69" s="221">
        <v>-848</v>
      </c>
      <c r="G69" s="221"/>
      <c r="H69" s="221">
        <f>'ADJ DETAIL INPUT'!AZ$58</f>
        <v>78.373344000000003</v>
      </c>
      <c r="I69" s="221">
        <f>'ADJ DETAIL INPUT'!AZ$81</f>
        <v>-848</v>
      </c>
      <c r="J69" s="482"/>
      <c r="K69" s="463">
        <f t="shared" ref="K69" si="83">H69-E69</f>
        <v>0</v>
      </c>
      <c r="L69" s="463">
        <f t="shared" ref="L69" si="84">I69-F69</f>
        <v>0</v>
      </c>
      <c r="M69" s="461"/>
      <c r="N69" s="470">
        <f t="shared" ref="N69" si="85">K69/$N$10*-1</f>
        <v>0</v>
      </c>
      <c r="O69" s="470">
        <f t="shared" ref="O69" si="86">L69*$O$10/$N$10</f>
        <v>0</v>
      </c>
      <c r="P69" s="472">
        <f t="shared" ref="P69" si="87">N69+O69</f>
        <v>0</v>
      </c>
      <c r="Q69" s="467"/>
      <c r="R69" s="467"/>
      <c r="S69" s="467"/>
      <c r="T69" s="467"/>
      <c r="U69" s="473"/>
    </row>
    <row r="70" spans="1:22" s="483" customFormat="1">
      <c r="A70" s="133">
        <f>'ADJ DETAIL INPUT'!BA$10</f>
        <v>5.0199999999999996</v>
      </c>
      <c r="B70" s="252" t="str">
        <f>TRIM(CONCATENATE('ADJ DETAIL INPUT'!BA$7," ",'ADJ DETAIL INPUT'!BA$8," ",'ADJ DETAIL INPUT'!BA$9))</f>
        <v>Pro Forma Labor Non-Exec</v>
      </c>
      <c r="C70" s="493"/>
      <c r="D70" s="493"/>
      <c r="E70" s="221">
        <v>-580.57100000000003</v>
      </c>
      <c r="F70" s="221">
        <v>0</v>
      </c>
      <c r="G70" s="221"/>
      <c r="H70" s="221">
        <f>'ADJ DETAIL INPUT'!BA$58</f>
        <v>-580.57100000000003</v>
      </c>
      <c r="I70" s="221">
        <f>'ADJ DETAIL INPUT'!BA$81</f>
        <v>0</v>
      </c>
      <c r="J70" s="482"/>
      <c r="K70" s="463">
        <f t="shared" ref="K70:K77" si="88">H70-E70</f>
        <v>0</v>
      </c>
      <c r="L70" s="463">
        <f t="shared" ref="L70:L77" si="89">I70-F70</f>
        <v>0</v>
      </c>
      <c r="M70" s="478"/>
      <c r="N70" s="484">
        <f t="shared" ref="N70:N77" si="90">K70/$N$10*-1</f>
        <v>0</v>
      </c>
      <c r="O70" s="484">
        <f t="shared" ref="O70:O77" si="91">L70*$O$10/$N$10</f>
        <v>0</v>
      </c>
      <c r="P70" s="491">
        <f t="shared" ref="P70:P77" si="92">N70+O70</f>
        <v>0</v>
      </c>
      <c r="Q70" s="482"/>
      <c r="R70" s="482"/>
      <c r="S70" s="482"/>
      <c r="T70" s="482"/>
      <c r="U70" s="473"/>
    </row>
    <row r="71" spans="1:22" s="483" customFormat="1">
      <c r="A71" s="133">
        <f>'ADJ DETAIL INPUT'!BB$10</f>
        <v>5.0299999999999994</v>
      </c>
      <c r="B71" s="252" t="str">
        <f>TRIM(CONCATENATE('ADJ DETAIL INPUT'!BB$7," ",'ADJ DETAIL INPUT'!BB$8," ",'ADJ DETAIL INPUT'!BB$9))</f>
        <v>Pro Forma Employee Benefits</v>
      </c>
      <c r="C71" s="493"/>
      <c r="D71" s="493"/>
      <c r="E71" s="221">
        <v>-115.97200000000001</v>
      </c>
      <c r="F71" s="221">
        <v>0</v>
      </c>
      <c r="G71" s="221"/>
      <c r="H71" s="221">
        <f>'ADJ DETAIL INPUT'!BB$58</f>
        <v>-115.97200000000001</v>
      </c>
      <c r="I71" s="221">
        <f>'ADJ DETAIL INPUT'!BB$81</f>
        <v>0</v>
      </c>
      <c r="J71" s="482"/>
      <c r="K71" s="463">
        <f t="shared" si="88"/>
        <v>0</v>
      </c>
      <c r="L71" s="463">
        <f t="shared" si="89"/>
        <v>0</v>
      </c>
      <c r="M71" s="478"/>
      <c r="N71" s="484">
        <f t="shared" si="90"/>
        <v>0</v>
      </c>
      <c r="O71" s="484">
        <f t="shared" si="91"/>
        <v>0</v>
      </c>
      <c r="P71" s="491">
        <f t="shared" si="92"/>
        <v>0</v>
      </c>
      <c r="Q71" s="482"/>
      <c r="R71" s="482"/>
      <c r="S71" s="482"/>
      <c r="T71" s="482"/>
      <c r="U71" s="473"/>
    </row>
    <row r="72" spans="1:22" s="483" customFormat="1">
      <c r="A72" s="133">
        <f>'ADJ DETAIL INPUT'!BC$10</f>
        <v>5.0399999999999991</v>
      </c>
      <c r="B72" s="252" t="str">
        <f>TRIM(CONCATENATE('ADJ DETAIL INPUT'!BC$7," ",'ADJ DETAIL INPUT'!BC$8," ",'ADJ DETAIL INPUT'!BC$9))</f>
        <v>Pro Forma Property Tax</v>
      </c>
      <c r="C72" s="493"/>
      <c r="D72" s="493"/>
      <c r="E72" s="221">
        <v>-23.7</v>
      </c>
      <c r="F72" s="221">
        <v>0</v>
      </c>
      <c r="G72" s="221"/>
      <c r="H72" s="221">
        <f>'ADJ DETAIL INPUT'!BC$58</f>
        <v>-23.7</v>
      </c>
      <c r="I72" s="221">
        <f>'ADJ DETAIL INPUT'!BC$81</f>
        <v>0</v>
      </c>
      <c r="J72" s="482"/>
      <c r="K72" s="463">
        <f t="shared" si="88"/>
        <v>0</v>
      </c>
      <c r="L72" s="463">
        <f t="shared" si="89"/>
        <v>0</v>
      </c>
      <c r="M72" s="478"/>
      <c r="N72" s="484">
        <f t="shared" si="90"/>
        <v>0</v>
      </c>
      <c r="O72" s="484">
        <f t="shared" si="91"/>
        <v>0</v>
      </c>
      <c r="P72" s="491">
        <f t="shared" si="92"/>
        <v>0</v>
      </c>
      <c r="Q72" s="482"/>
      <c r="R72" s="482"/>
      <c r="S72" s="482"/>
      <c r="T72" s="482"/>
      <c r="U72" s="473"/>
    </row>
    <row r="73" spans="1:22" s="483" customFormat="1">
      <c r="A73" s="133">
        <f>'ADJ DETAIL INPUT'!BD$10</f>
        <v>5.0499999999999989</v>
      </c>
      <c r="B73" s="252" t="str">
        <f>TRIM(CONCATENATE('ADJ DETAIL INPUT'!BD$7," ",'ADJ DETAIL INPUT'!BD$8," ",'ADJ DETAIL INPUT'!BD$9))</f>
        <v>Pro Forma Nucleus/ETRM Expense</v>
      </c>
      <c r="C73" s="493"/>
      <c r="D73" s="493"/>
      <c r="E73" s="221">
        <v>51.35</v>
      </c>
      <c r="F73" s="221">
        <v>0</v>
      </c>
      <c r="G73" s="221"/>
      <c r="H73" s="221">
        <f>'ADJ DETAIL INPUT'!BD$58</f>
        <v>51.35</v>
      </c>
      <c r="I73" s="221">
        <f>'ADJ DETAIL INPUT'!BD$81</f>
        <v>0</v>
      </c>
      <c r="J73" s="482"/>
      <c r="K73" s="463">
        <f t="shared" si="88"/>
        <v>0</v>
      </c>
      <c r="L73" s="463">
        <f t="shared" si="89"/>
        <v>0</v>
      </c>
      <c r="M73" s="478"/>
      <c r="N73" s="484">
        <f t="shared" si="90"/>
        <v>0</v>
      </c>
      <c r="O73" s="484">
        <f t="shared" si="91"/>
        <v>0</v>
      </c>
      <c r="P73" s="491">
        <f t="shared" si="92"/>
        <v>0</v>
      </c>
      <c r="Q73" s="482"/>
      <c r="R73" s="482"/>
      <c r="S73" s="482"/>
      <c r="T73" s="482"/>
      <c r="U73" s="473"/>
    </row>
    <row r="74" spans="1:22" s="483" customFormat="1">
      <c r="A74" s="133">
        <f>'ADJ DETAIL INPUT'!BE$10</f>
        <v>5.0599999999999987</v>
      </c>
      <c r="B74" s="252" t="str">
        <f>TRIM(CONCATENATE('ADJ DETAIL INPUT'!BE$7," ",'ADJ DETAIL INPUT'!BE$8," ",'ADJ DETAIL INPUT'!BE$9))</f>
        <v>Pro Forma Misc O&amp;M Exp</v>
      </c>
      <c r="C74" s="493"/>
      <c r="D74" s="493"/>
      <c r="E74" s="221">
        <v>-516.23814000000004</v>
      </c>
      <c r="F74" s="221">
        <v>0</v>
      </c>
      <c r="G74" s="221"/>
      <c r="H74" s="221">
        <f>'ADJ DETAIL INPUT'!BE$58</f>
        <v>-516.23814000000004</v>
      </c>
      <c r="I74" s="221">
        <f>'ADJ DETAIL INPUT'!BE$81</f>
        <v>0</v>
      </c>
      <c r="J74" s="482"/>
      <c r="K74" s="463">
        <f t="shared" si="88"/>
        <v>0</v>
      </c>
      <c r="L74" s="463">
        <f t="shared" si="89"/>
        <v>0</v>
      </c>
      <c r="M74" s="478"/>
      <c r="N74" s="484">
        <f t="shared" si="90"/>
        <v>0</v>
      </c>
      <c r="O74" s="484">
        <f t="shared" si="91"/>
        <v>0</v>
      </c>
      <c r="P74" s="491">
        <f t="shared" si="92"/>
        <v>0</v>
      </c>
      <c r="Q74" s="482"/>
      <c r="R74" s="482"/>
      <c r="S74" s="482"/>
      <c r="T74" s="482"/>
      <c r="U74" s="473"/>
    </row>
    <row r="75" spans="1:22" s="483" customFormat="1">
      <c r="A75" s="133">
        <f>'ADJ DETAIL INPUT'!BF$10</f>
        <v>5.0699999999999985</v>
      </c>
      <c r="B75" s="252" t="str">
        <f>TRIM(CONCATENATE('ADJ DETAIL INPUT'!BF$7," ",'ADJ DETAIL INPUT'!BF$8," ",'ADJ DETAIL INPUT'!BF$9))</f>
        <v>Provisional Capital Adds to 12.31.2026 AMA</v>
      </c>
      <c r="C75" s="493"/>
      <c r="D75" s="493"/>
      <c r="E75" s="221">
        <v>-1282.3712067000001</v>
      </c>
      <c r="F75" s="221">
        <v>17088.900000000001</v>
      </c>
      <c r="G75" s="221"/>
      <c r="H75" s="221">
        <f>'ADJ DETAIL INPUT'!BF$58</f>
        <v>-1282.3712067000001</v>
      </c>
      <c r="I75" s="221">
        <f>'ADJ DETAIL INPUT'!BF$81</f>
        <v>17088.900000000001</v>
      </c>
      <c r="J75" s="482"/>
      <c r="K75" s="463">
        <f t="shared" si="88"/>
        <v>0</v>
      </c>
      <c r="L75" s="463">
        <f t="shared" si="89"/>
        <v>0</v>
      </c>
      <c r="M75" s="478"/>
      <c r="N75" s="484">
        <f t="shared" si="90"/>
        <v>0</v>
      </c>
      <c r="O75" s="484">
        <f t="shared" si="91"/>
        <v>0</v>
      </c>
      <c r="P75" s="491">
        <f t="shared" si="92"/>
        <v>0</v>
      </c>
      <c r="Q75" s="482"/>
      <c r="R75" s="482"/>
      <c r="S75" s="482"/>
      <c r="T75" s="482"/>
      <c r="U75" s="473"/>
    </row>
    <row r="76" spans="1:22" s="483" customFormat="1">
      <c r="A76" s="133">
        <f>'ADJ DETAIL INPUT'!BG$10</f>
        <v>5.0799999999999983</v>
      </c>
      <c r="B76" s="252" t="str">
        <f>TRIM(CONCATENATE('ADJ DETAIL INPUT'!BG$7," ",'ADJ DETAIL INPUT'!BG$8," ",'ADJ DETAIL INPUT'!BG$9))</f>
        <v>2026 Capital Adds O&amp;M &amp; Revenue Offsets</v>
      </c>
      <c r="C76" s="493"/>
      <c r="D76" s="493"/>
      <c r="E76" s="221">
        <v>189.50441000000001</v>
      </c>
      <c r="F76" s="221">
        <v>0</v>
      </c>
      <c r="G76" s="221"/>
      <c r="H76" s="221">
        <f>'ADJ DETAIL INPUT'!BG$58</f>
        <v>189.50441000000001</v>
      </c>
      <c r="I76" s="221">
        <f>'ADJ DETAIL INPUT'!BG$81</f>
        <v>0</v>
      </c>
      <c r="J76" s="482"/>
      <c r="K76" s="463">
        <f t="shared" si="88"/>
        <v>0</v>
      </c>
      <c r="L76" s="463">
        <f t="shared" si="89"/>
        <v>0</v>
      </c>
      <c r="M76" s="478"/>
      <c r="N76" s="484">
        <f t="shared" si="90"/>
        <v>0</v>
      </c>
      <c r="O76" s="484">
        <f t="shared" si="91"/>
        <v>0</v>
      </c>
      <c r="P76" s="491">
        <f t="shared" si="92"/>
        <v>0</v>
      </c>
      <c r="Q76" s="482"/>
      <c r="R76" s="482"/>
      <c r="S76" s="482"/>
      <c r="T76" s="482"/>
      <c r="U76" s="473"/>
    </row>
    <row r="77" spans="1:22" s="483" customFormat="1">
      <c r="A77" s="133">
        <f>'ADJ DETAIL INPUT'!BH$10</f>
        <v>0</v>
      </c>
      <c r="B77" s="252" t="str">
        <f>TRIM(CONCATENATE('ADJ DETAIL INPUT'!BH$7," ",'ADJ DETAIL INPUT'!BH$8," ",'ADJ DETAIL INPUT'!BH$9))</f>
        <v/>
      </c>
      <c r="C77" s="493"/>
      <c r="D77" s="493"/>
      <c r="E77" s="221">
        <v>0</v>
      </c>
      <c r="F77" s="221">
        <v>0</v>
      </c>
      <c r="G77" s="221"/>
      <c r="H77" s="221">
        <f>'ADJ DETAIL INPUT'!BH$58</f>
        <v>0</v>
      </c>
      <c r="I77" s="221">
        <f>'ADJ DETAIL INPUT'!BH$81</f>
        <v>0</v>
      </c>
      <c r="J77" s="482"/>
      <c r="K77" s="463">
        <f t="shared" si="88"/>
        <v>0</v>
      </c>
      <c r="L77" s="463">
        <f t="shared" si="89"/>
        <v>0</v>
      </c>
      <c r="M77" s="478"/>
      <c r="N77" s="484">
        <f t="shared" si="90"/>
        <v>0</v>
      </c>
      <c r="O77" s="484">
        <f t="shared" si="91"/>
        <v>0</v>
      </c>
      <c r="P77" s="491">
        <f t="shared" si="92"/>
        <v>0</v>
      </c>
      <c r="Q77" s="482"/>
      <c r="R77" s="482"/>
      <c r="S77" s="482"/>
      <c r="T77" s="482"/>
      <c r="U77" s="473"/>
    </row>
    <row r="78" spans="1:22" ht="13.5" thickBot="1">
      <c r="B78" s="478" t="str">
        <f>'ADJ SUMMARY'!C68</f>
        <v xml:space="preserve">     Pro Forma Study Ending 12.2026</v>
      </c>
      <c r="E78" s="26">
        <f>SUM(E60:E77)</f>
        <v>29386.17428290001</v>
      </c>
      <c r="F78" s="26">
        <f>SUM(F60:F77)</f>
        <v>602325.1</v>
      </c>
      <c r="H78" s="26">
        <f>SUM(H60:H77)</f>
        <v>29386.17428290001</v>
      </c>
      <c r="I78" s="26">
        <f>SUM(I60:I77)</f>
        <v>602325.1</v>
      </c>
      <c r="K78" s="26">
        <f>SUM(K68:K77)</f>
        <v>0</v>
      </c>
      <c r="L78" s="26">
        <f>SUM(L68:L77)</f>
        <v>0</v>
      </c>
      <c r="M78" s="453"/>
      <c r="N78" s="26">
        <f>SUM(N68:N77)</f>
        <v>0</v>
      </c>
      <c r="O78" s="26">
        <f>SUM(O68:O77)</f>
        <v>0</v>
      </c>
      <c r="P78" s="26">
        <f>SUM(P68:P77)</f>
        <v>0</v>
      </c>
    </row>
    <row r="79" spans="1:22" ht="13.5" thickTop="1">
      <c r="N79" s="477"/>
      <c r="O79" s="481">
        <f>N78+O78</f>
        <v>0</v>
      </c>
    </row>
    <row r="80" spans="1:22">
      <c r="N80" s="486" t="s">
        <v>543</v>
      </c>
      <c r="O80" s="492"/>
    </row>
    <row r="81" spans="14:16" ht="13.5" thickBot="1">
      <c r="N81" s="486" t="s">
        <v>161</v>
      </c>
      <c r="O81" s="490">
        <f>SUM(O79:O80)</f>
        <v>0</v>
      </c>
    </row>
    <row r="82" spans="14:16" ht="13.5" thickTop="1">
      <c r="N82" s="487" t="s">
        <v>544</v>
      </c>
      <c r="O82" s="573">
        <v>4564</v>
      </c>
    </row>
    <row r="83" spans="14:16" ht="13.5" thickBot="1">
      <c r="N83" s="488" t="s">
        <v>163</v>
      </c>
      <c r="O83" s="489">
        <f>O81+O82</f>
        <v>4564</v>
      </c>
    </row>
    <row r="84" spans="14:16" ht="13.5" thickTop="1">
      <c r="N84" s="479"/>
      <c r="O84" s="480">
        <f>'RR SUMMARY'!H24</f>
        <v>4563.7102337211754</v>
      </c>
      <c r="P84" s="485">
        <f>O84-O83</f>
        <v>-0.28976627882457251</v>
      </c>
    </row>
  </sheetData>
  <mergeCells count="11">
    <mergeCell ref="E9:F9"/>
    <mergeCell ref="H9:I9"/>
    <mergeCell ref="K9:L9"/>
    <mergeCell ref="A1:O1"/>
    <mergeCell ref="A2:O2"/>
    <mergeCell ref="A3:O3"/>
    <mergeCell ref="L7:N7"/>
    <mergeCell ref="E8:F8"/>
    <mergeCell ref="H8:I8"/>
    <mergeCell ref="K8:L8"/>
    <mergeCell ref="N8:O8"/>
  </mergeCells>
  <phoneticPr fontId="25" type="noConversion"/>
  <pageMargins left="0.75" right="0.5" top="1" bottom="1" header="0.5" footer="0.5"/>
  <pageSetup scale="53" orientation="landscape" horizontalDpi="1200" verticalDpi="1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tint="-0.34998626667073579"/>
  </sheetPr>
  <dimension ref="A1:BE98"/>
  <sheetViews>
    <sheetView zoomScaleNormal="100" workbookViewId="0"/>
  </sheetViews>
  <sheetFormatPr defaultColWidth="10.5703125" defaultRowHeight="12"/>
  <cols>
    <col min="1" max="1" width="5.5703125" style="116" customWidth="1"/>
    <col min="2" max="3" width="1.5703125" style="92" customWidth="1"/>
    <col min="4" max="4" width="28.5703125" style="92" customWidth="1"/>
    <col min="5" max="5" width="17.42578125" style="94" customWidth="1"/>
    <col min="6" max="56" width="20.42578125" style="94" customWidth="1"/>
    <col min="57" max="16384" width="10.5703125" style="92"/>
  </cols>
  <sheetData>
    <row r="1" spans="1:57">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row>
    <row r="2" spans="1:57" ht="12.75" customHeight="1">
      <c r="A2" s="91" t="str">
        <f>'ADJ DETAIL INPUT'!A2</f>
        <v>AVISTA UTILITIES</v>
      </c>
      <c r="E2" s="93"/>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row>
    <row r="3" spans="1:57" ht="12.75" customHeight="1">
      <c r="A3" s="91" t="str">
        <f>'ADJ DETAIL INPUT'!A3</f>
        <v>WASHINGTON NATURAL GAS</v>
      </c>
      <c r="E3" s="93"/>
    </row>
    <row r="4" spans="1:57" ht="12.75" customHeight="1">
      <c r="A4" s="91" t="str">
        <f>'ADJ DETAIL INPUT'!A4</f>
        <v>TWELVE MONTHS ENDED JUNE 30, 2023</v>
      </c>
      <c r="E4" s="96"/>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row>
    <row r="5" spans="1:57" ht="12.75">
      <c r="A5" s="91" t="str">
        <f>'ADJ DETAIL INPUT'!A5</f>
        <v xml:space="preserve">(000'S OF DOLLARS)   </v>
      </c>
      <c r="B5" s="91"/>
      <c r="C5" s="91"/>
      <c r="D5" s="91"/>
      <c r="E5" s="91"/>
      <c r="F5"/>
      <c r="G5"/>
      <c r="H5"/>
      <c r="I5"/>
      <c r="J5"/>
      <c r="K5"/>
      <c r="L5"/>
      <c r="M5"/>
      <c r="N5"/>
      <c r="O5"/>
      <c r="P5"/>
      <c r="Q5"/>
      <c r="R5"/>
      <c r="S5"/>
      <c r="T5"/>
      <c r="U5"/>
      <c r="V5"/>
      <c r="W5"/>
      <c r="X5"/>
      <c r="Y5"/>
      <c r="Z5"/>
      <c r="AA5"/>
      <c r="AB5"/>
      <c r="AC5"/>
      <c r="AD5"/>
      <c r="AE5"/>
      <c r="AF5" s="477"/>
      <c r="AG5"/>
      <c r="AH5"/>
      <c r="AI5"/>
      <c r="AJ5"/>
      <c r="AK5"/>
      <c r="AL5"/>
      <c r="AM5"/>
      <c r="AN5" s="477"/>
      <c r="AO5" s="477"/>
      <c r="AP5" s="477"/>
      <c r="AQ5"/>
      <c r="AR5"/>
      <c r="AS5"/>
      <c r="AT5"/>
      <c r="AU5"/>
      <c r="AV5"/>
      <c r="AW5"/>
      <c r="AX5"/>
      <c r="AY5"/>
      <c r="AZ5"/>
      <c r="BA5"/>
      <c r="BB5"/>
      <c r="BC5"/>
      <c r="BD5"/>
      <c r="BE5" s="97"/>
    </row>
    <row r="6" spans="1:57" ht="12.75" customHeight="1">
      <c r="A6" s="91"/>
      <c r="F6"/>
      <c r="G6"/>
      <c r="H6"/>
      <c r="I6"/>
      <c r="J6"/>
      <c r="K6"/>
      <c r="L6"/>
      <c r="M6"/>
      <c r="N6"/>
      <c r="O6"/>
      <c r="P6"/>
      <c r="Q6"/>
      <c r="R6"/>
      <c r="S6"/>
      <c r="T6"/>
      <c r="U6"/>
      <c r="V6"/>
      <c r="W6"/>
      <c r="X6"/>
      <c r="Y6"/>
      <c r="Z6"/>
      <c r="AA6"/>
      <c r="AB6"/>
      <c r="AC6"/>
      <c r="AD6"/>
      <c r="AE6"/>
      <c r="AF6" s="477"/>
      <c r="AG6"/>
      <c r="AH6"/>
      <c r="AI6"/>
      <c r="AJ6"/>
      <c r="AK6"/>
      <c r="AL6"/>
      <c r="AM6"/>
      <c r="AN6" s="477"/>
      <c r="AO6" s="477"/>
      <c r="AP6" s="477"/>
      <c r="AQ6"/>
      <c r="AR6"/>
      <c r="AS6"/>
      <c r="AT6"/>
      <c r="AU6"/>
      <c r="AV6"/>
      <c r="AW6"/>
      <c r="AX6"/>
      <c r="AY6"/>
      <c r="AZ6"/>
      <c r="BA6"/>
      <c r="BB6"/>
      <c r="BC6"/>
      <c r="BD6"/>
    </row>
    <row r="7" spans="1:57" s="99" customFormat="1">
      <c r="A7" s="98"/>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row>
    <row r="8" spans="1:57" s="99" customFormat="1" ht="12" customHeight="1">
      <c r="A8" s="101"/>
      <c r="B8" s="102"/>
      <c r="C8" s="103"/>
      <c r="D8" s="104"/>
      <c r="E8" s="105">
        <f>'ADJ DETAIL INPUT'!E7</f>
        <v>0</v>
      </c>
      <c r="F8" s="105" t="str">
        <f>'ADJ DETAIL INPUT'!F7</f>
        <v xml:space="preserve">Deferred </v>
      </c>
      <c r="G8" s="105" t="str">
        <f>'ADJ DETAIL INPUT'!G7</f>
        <v>Deferred</v>
      </c>
      <c r="H8" s="105" t="str">
        <f>'ADJ DETAIL INPUT'!H7</f>
        <v>Working</v>
      </c>
      <c r="I8" s="105" t="str">
        <f>'ADJ DETAIL INPUT'!I7</f>
        <v xml:space="preserve">Eliminate </v>
      </c>
      <c r="J8" s="105" t="str">
        <f>'ADJ DETAIL INPUT'!J7</f>
        <v>Restate</v>
      </c>
      <c r="K8" s="105" t="str">
        <f>'ADJ DETAIL INPUT'!K7</f>
        <v>Uncollectible</v>
      </c>
      <c r="L8" s="105" t="str">
        <f>'ADJ DETAIL INPUT'!L7</f>
        <v>Regulatory</v>
      </c>
      <c r="M8" s="105" t="str">
        <f>'ADJ DETAIL INPUT'!M7</f>
        <v>Injuries</v>
      </c>
      <c r="N8" s="105" t="str">
        <f>'ADJ DETAIL INPUT'!N7</f>
        <v xml:space="preserve">FIT / </v>
      </c>
      <c r="O8" s="105" t="str">
        <f>'ADJ DETAIL INPUT'!O7</f>
        <v>Office Space</v>
      </c>
      <c r="P8" s="105" t="str">
        <f>'ADJ DETAIL INPUT'!P7</f>
        <v>Restate</v>
      </c>
      <c r="Q8" s="105" t="str">
        <f>'ADJ DETAIL INPUT'!Q7</f>
        <v>Net</v>
      </c>
      <c r="R8" s="105" t="str">
        <f>'ADJ DETAIL INPUT'!R7</f>
        <v xml:space="preserve">Weather </v>
      </c>
      <c r="S8" s="105" t="str">
        <f>'ADJ DETAIL INPUT'!S7</f>
        <v>Eliminate</v>
      </c>
      <c r="T8" s="105" t="str">
        <f>'ADJ DETAIL INPUT'!T7</f>
        <v>Misc. Restating</v>
      </c>
      <c r="U8" s="105" t="str">
        <f>'ADJ DETAIL INPUT'!U7</f>
        <v>Restating</v>
      </c>
      <c r="V8" s="105" t="str">
        <f>'ADJ DETAIL INPUT'!V7</f>
        <v>Restate</v>
      </c>
      <c r="W8" s="105" t="str">
        <f>'ADJ DETAIL INPUT'!W7</f>
        <v>Restate</v>
      </c>
      <c r="X8" s="105">
        <f>'ADJ DETAIL INPUT'!X7</f>
        <v>0</v>
      </c>
      <c r="Y8" s="105" t="str">
        <f>'ADJ DETAIL INPUT'!Z7</f>
        <v>Pro Forma</v>
      </c>
      <c r="Z8" s="105" t="str">
        <f>'ADJ DETAIL INPUT'!AA7</f>
        <v xml:space="preserve">Pro Forma </v>
      </c>
      <c r="AA8" s="105" t="str">
        <f>'ADJ DETAIL INPUT'!AB7</f>
        <v>Pro Forma</v>
      </c>
      <c r="AB8" s="105" t="str">
        <f>'ADJ DETAIL INPUT'!AC7</f>
        <v>Pro Forma</v>
      </c>
      <c r="AC8" s="105" t="str">
        <f>'ADJ DETAIL INPUT'!AD7</f>
        <v xml:space="preserve">Pro Forma </v>
      </c>
      <c r="AD8" s="105" t="str">
        <f>'ADJ DETAIL INPUT'!AE7</f>
        <v>Pro Forma</v>
      </c>
      <c r="AE8" s="105" t="str">
        <f>'ADJ DETAIL INPUT'!AF7</f>
        <v>Pro Forma</v>
      </c>
      <c r="AF8" s="105" t="str">
        <f>'ADJ DETAIL INPUT'!AG7</f>
        <v>Pro Forma</v>
      </c>
      <c r="AG8" s="105" t="str">
        <f>'ADJ DETAIL INPUT'!AH7</f>
        <v>Pro Forma</v>
      </c>
      <c r="AH8" s="105" t="str">
        <f>'ADJ DETAIL INPUT'!AI7</f>
        <v>Pro Forma</v>
      </c>
      <c r="AI8" s="105" t="str">
        <f>'ADJ DETAIL INPUT'!AJ7</f>
        <v>Pro Forma</v>
      </c>
      <c r="AJ8" s="105" t="str">
        <f>'ADJ DETAIL INPUT'!AK7</f>
        <v>Pro Forma</v>
      </c>
      <c r="AK8" s="105" t="str">
        <f>'ADJ DETAIL INPUT'!AL7</f>
        <v>Pro Forma</v>
      </c>
      <c r="AL8" s="105" t="str">
        <f>'ADJ DETAIL INPUT'!AM7</f>
        <v>Pro Forma</v>
      </c>
      <c r="AM8" s="105" t="str">
        <f>'ADJ DETAIL INPUT'!AN7</f>
        <v>Pro Forma</v>
      </c>
      <c r="AN8" s="105" t="str">
        <f>'ADJ DETAIL INPUT'!AO7</f>
        <v>Pro Forma</v>
      </c>
      <c r="AO8" s="105" t="str">
        <f>'ADJ DETAIL INPUT'!AP7</f>
        <v>Pro Forma</v>
      </c>
      <c r="AP8" s="105" t="str">
        <f>'ADJ DETAIL INPUT'!AQ7</f>
        <v>Pro Forma</v>
      </c>
      <c r="AQ8" s="105" t="str">
        <f>'ADJ DETAIL INPUT'!AR7</f>
        <v>Pro Forma</v>
      </c>
      <c r="AR8" s="105" t="str">
        <f>'ADJ DETAIL INPUT'!AS7</f>
        <v>Pro Forma</v>
      </c>
      <c r="AS8" s="105" t="str">
        <f>'ADJ DETAIL INPUT'!AT7</f>
        <v>Provisional</v>
      </c>
      <c r="AT8" s="105" t="str">
        <f>'ADJ DETAIL INPUT'!AU7</f>
        <v>2024-2025</v>
      </c>
      <c r="AU8" s="105">
        <f>'ADJ DETAIL INPUT'!AY7</f>
        <v>0</v>
      </c>
      <c r="AV8" s="105" t="str">
        <f>'ADJ DETAIL INPUT'!AZ7</f>
        <v>Pro Forma</v>
      </c>
      <c r="AW8" s="105" t="str">
        <f>'ADJ DETAIL INPUT'!BA7</f>
        <v xml:space="preserve">Pro Forma </v>
      </c>
      <c r="AX8" s="105" t="str">
        <f>'ADJ DETAIL INPUT'!BB7</f>
        <v>Pro Forma</v>
      </c>
      <c r="AY8" s="105" t="str">
        <f>'ADJ DETAIL INPUT'!BC7</f>
        <v>Pro Forma</v>
      </c>
      <c r="AZ8" s="105" t="str">
        <f>'ADJ DETAIL INPUT'!BD7</f>
        <v>Pro Forma</v>
      </c>
      <c r="BA8" s="105" t="str">
        <f>'ADJ DETAIL INPUT'!BE7</f>
        <v>Pro Forma</v>
      </c>
      <c r="BB8" s="105" t="str">
        <f>'ADJ DETAIL INPUT'!BF7</f>
        <v>Provisional</v>
      </c>
      <c r="BC8" s="105">
        <f>'ADJ DETAIL INPUT'!BG7</f>
        <v>2026</v>
      </c>
      <c r="BD8" s="105">
        <f>'ADJ DETAIL INPUT'!BH7</f>
        <v>0</v>
      </c>
    </row>
    <row r="9" spans="1:57" s="99" customFormat="1">
      <c r="A9" s="106" t="s">
        <v>6</v>
      </c>
      <c r="B9" s="107"/>
      <c r="C9" s="108"/>
      <c r="D9" s="109"/>
      <c r="E9" s="110" t="str">
        <f>'ADJ DETAIL INPUT'!E8</f>
        <v>Results of</v>
      </c>
      <c r="F9" s="110" t="str">
        <f>'ADJ DETAIL INPUT'!F8</f>
        <v>FIT</v>
      </c>
      <c r="G9" s="110" t="str">
        <f>'ADJ DETAIL INPUT'!G8</f>
        <v xml:space="preserve">Debits and </v>
      </c>
      <c r="H9" s="110" t="str">
        <f>'ADJ DETAIL INPUT'!H8</f>
        <v>Capital</v>
      </c>
      <c r="I9" s="110" t="str">
        <f>'ADJ DETAIL INPUT'!I8</f>
        <v xml:space="preserve">B &amp; O </v>
      </c>
      <c r="J9" s="110" t="str">
        <f>'ADJ DETAIL INPUT'!J8</f>
        <v>Property</v>
      </c>
      <c r="K9" s="110" t="str">
        <f>'ADJ DETAIL INPUT'!K8</f>
        <v>Expense</v>
      </c>
      <c r="L9" s="110" t="str">
        <f>'ADJ DETAIL INPUT'!L8</f>
        <v>Expense</v>
      </c>
      <c r="M9" s="110" t="str">
        <f>'ADJ DETAIL INPUT'!M8</f>
        <v>&amp;</v>
      </c>
      <c r="N9" s="110" t="str">
        <f>'ADJ DETAIL INPUT'!N8</f>
        <v xml:space="preserve">DFIT </v>
      </c>
      <c r="O9" s="110" t="str">
        <f>'ADJ DETAIL INPUT'!O8</f>
        <v>Charges to</v>
      </c>
      <c r="P9" s="110" t="str">
        <f>'ADJ DETAIL INPUT'!P8</f>
        <v>Excise</v>
      </c>
      <c r="Q9" s="110" t="str">
        <f>'ADJ DETAIL INPUT'!Q8</f>
        <v>Gains</v>
      </c>
      <c r="R9" s="110" t="str">
        <f>'ADJ DETAIL INPUT'!R8</f>
        <v>Normalization /</v>
      </c>
      <c r="S9" s="110" t="str">
        <f>'ADJ DETAIL INPUT'!S8</f>
        <v>Adder</v>
      </c>
      <c r="T9" s="110" t="str">
        <f>'ADJ DETAIL INPUT'!T8</f>
        <v>Non-Util / Non-</v>
      </c>
      <c r="U9" s="110" t="str">
        <f>'ADJ DETAIL INPUT'!U8</f>
        <v>Incentives</v>
      </c>
      <c r="V9" s="110" t="str">
        <f>'ADJ DETAIL INPUT'!V8</f>
        <v>Debt</v>
      </c>
      <c r="W9" s="110" t="str">
        <f>'ADJ DETAIL INPUT'!W8</f>
        <v>Capital</v>
      </c>
      <c r="X9" s="110">
        <f>'ADJ DETAIL INPUT'!X8</f>
        <v>0</v>
      </c>
      <c r="Y9" s="110" t="str">
        <f>'ADJ DETAIL INPUT'!Z8</f>
        <v xml:space="preserve"> Revenue</v>
      </c>
      <c r="Z9" s="110" t="str">
        <f>'ADJ DETAIL INPUT'!AA8</f>
        <v>Def. Debits, Credits &amp;</v>
      </c>
      <c r="AA9" s="110" t="str">
        <f>'ADJ DETAIL INPUT'!AB8</f>
        <v>EDIT</v>
      </c>
      <c r="AB9" s="110" t="str">
        <f>'ADJ DETAIL INPUT'!AC8</f>
        <v>AMI</v>
      </c>
      <c r="AC9" s="110" t="str">
        <f>'ADJ DETAIL INPUT'!AD8</f>
        <v>Labor</v>
      </c>
      <c r="AD9" s="110" t="str">
        <f>'ADJ DETAIL INPUT'!AE8</f>
        <v>Labor</v>
      </c>
      <c r="AE9" s="110" t="str">
        <f>'ADJ DETAIL INPUT'!AF8</f>
        <v>Employee</v>
      </c>
      <c r="AF9" s="110" t="str">
        <f>'ADJ DETAIL INPUT'!AG8</f>
        <v>Incentives</v>
      </c>
      <c r="AG9" s="110" t="str">
        <f>'ADJ DETAIL INPUT'!AH8</f>
        <v xml:space="preserve">LIRAP </v>
      </c>
      <c r="AH9" s="110" t="str">
        <f>'ADJ DETAIL INPUT'!AI8</f>
        <v>CCA</v>
      </c>
      <c r="AI9" s="110" t="str">
        <f>'ADJ DETAIL INPUT'!AJ8</f>
        <v>Property</v>
      </c>
      <c r="AJ9" s="110" t="str">
        <f>'ADJ DETAIL INPUT'!AK8</f>
        <v xml:space="preserve">Insurance </v>
      </c>
      <c r="AK9" s="110" t="str">
        <f>'ADJ DETAIL INPUT'!AL8</f>
        <v>IS/IT</v>
      </c>
      <c r="AL9" s="110" t="str">
        <f>'ADJ DETAIL INPUT'!AM8</f>
        <v>Misc</v>
      </c>
      <c r="AM9" s="110" t="str">
        <f>'ADJ DETAIL INPUT'!AN8</f>
        <v>Capital Additions</v>
      </c>
      <c r="AN9" s="110" t="str">
        <f>'ADJ DETAIL INPUT'!AO8</f>
        <v>Depreciation</v>
      </c>
      <c r="AO9" s="110" t="str">
        <f>'ADJ DETAIL INPUT'!AP8</f>
        <v>Capital Additions</v>
      </c>
      <c r="AP9" s="110" t="str">
        <f>'ADJ DETAIL INPUT'!AQ8</f>
        <v>New Regulatory</v>
      </c>
      <c r="AQ9" s="110" t="str">
        <f>'ADJ DETAIL INPUT'!AR8</f>
        <v>Nucleus/ETRM</v>
      </c>
      <c r="AR9" s="110" t="str">
        <f>'ADJ DETAIL INPUT'!AS8</f>
        <v>BOD Fees</v>
      </c>
      <c r="AS9" s="110" t="str">
        <f>'ADJ DETAIL INPUT'!AT8</f>
        <v>Capital Additions</v>
      </c>
      <c r="AT9" s="110" t="str">
        <f>'ADJ DETAIL INPUT'!AU8</f>
        <v>Capital Adds O&amp;M</v>
      </c>
      <c r="AU9" s="110">
        <f>'ADJ DETAIL INPUT'!AY8</f>
        <v>0</v>
      </c>
      <c r="AV9" s="110" t="str">
        <f>'ADJ DETAIL INPUT'!AZ8</f>
        <v>AMI</v>
      </c>
      <c r="AW9" s="110" t="str">
        <f>'ADJ DETAIL INPUT'!BA8</f>
        <v>Labor</v>
      </c>
      <c r="AX9" s="110" t="str">
        <f>'ADJ DETAIL INPUT'!BB8</f>
        <v>Employee</v>
      </c>
      <c r="AY9" s="110" t="str">
        <f>'ADJ DETAIL INPUT'!BC8</f>
        <v>Property</v>
      </c>
      <c r="AZ9" s="110" t="str">
        <f>'ADJ DETAIL INPUT'!BD8</f>
        <v>Nucleus/ETRM</v>
      </c>
      <c r="BA9" s="110" t="str">
        <f>'ADJ DETAIL INPUT'!BE8</f>
        <v>Misc</v>
      </c>
      <c r="BB9" s="110" t="str">
        <f>'ADJ DETAIL INPUT'!BF8</f>
        <v>Capital Adds</v>
      </c>
      <c r="BC9" s="110" t="str">
        <f>'ADJ DETAIL INPUT'!BG8</f>
        <v>Capital Adds O&amp;M</v>
      </c>
      <c r="BD9" s="110">
        <f>'ADJ DETAIL INPUT'!BH8</f>
        <v>0</v>
      </c>
    </row>
    <row r="10" spans="1:57" s="99" customFormat="1">
      <c r="A10" s="111" t="s">
        <v>15</v>
      </c>
      <c r="B10" s="112"/>
      <c r="C10" s="113"/>
      <c r="D10" s="114" t="s">
        <v>16</v>
      </c>
      <c r="E10" s="115" t="str">
        <f>'ADJ DETAIL INPUT'!E9</f>
        <v>Operations</v>
      </c>
      <c r="F10" s="115" t="str">
        <f>'ADJ DETAIL INPUT'!F9</f>
        <v>Rate Base</v>
      </c>
      <c r="G10" s="115" t="str">
        <f>'ADJ DETAIL INPUT'!G9</f>
        <v>Credits</v>
      </c>
      <c r="H10" s="115"/>
      <c r="I10" s="115" t="str">
        <f>'ADJ DETAIL INPUT'!I9</f>
        <v>Taxes</v>
      </c>
      <c r="J10" s="115" t="str">
        <f>'ADJ DETAIL INPUT'!J9</f>
        <v>Tax</v>
      </c>
      <c r="K10" s="115"/>
      <c r="L10" s="115"/>
      <c r="M10" s="115" t="str">
        <f>'ADJ DETAIL INPUT'!M9</f>
        <v>Damages</v>
      </c>
      <c r="N10" s="115" t="str">
        <f>'ADJ DETAIL INPUT'!N9</f>
        <v>Expense</v>
      </c>
      <c r="O10" s="115" t="str">
        <f>'ADJ DETAIL INPUT'!O9</f>
        <v>Non-Utility</v>
      </c>
      <c r="P10" s="115" t="str">
        <f>'ADJ DETAIL INPUT'!P9</f>
        <v>Taxes</v>
      </c>
      <c r="Q10" s="115"/>
      <c r="R10" s="115" t="str">
        <f>'ADJ DETAIL INPUT'!R9</f>
        <v>Gas Cost Adjust</v>
      </c>
      <c r="S10" s="115" t="str">
        <f>'ADJ DETAIL INPUT'!S9</f>
        <v>Schedules</v>
      </c>
      <c r="T10" s="115" t="str">
        <f>'ADJ DETAIL INPUT'!T9</f>
        <v>Recurring Expense</v>
      </c>
      <c r="U10" s="115"/>
      <c r="V10" s="115" t="str">
        <f>'ADJ DETAIL INPUT'!V9</f>
        <v>Interest</v>
      </c>
      <c r="W10" s="115" t="str">
        <f>'ADJ DETAIL INPUT'!W9</f>
        <v>06.2023 EOP</v>
      </c>
      <c r="X10" s="115">
        <f>'ADJ DETAIL INPUT'!X9</f>
        <v>0</v>
      </c>
      <c r="Y10" s="115" t="str">
        <f>'ADJ DETAIL INPUT'!Z9</f>
        <v xml:space="preserve">Normalization </v>
      </c>
      <c r="Z10" s="115" t="str">
        <f>'ADJ DETAIL INPUT'!AA9</f>
        <v>Regulatory Amorts</v>
      </c>
      <c r="AA10" s="115" t="str">
        <f>'ADJ DETAIL INPUT'!AB9</f>
        <v>(RSGM)</v>
      </c>
      <c r="AB10" s="115" t="str">
        <f>'ADJ DETAIL INPUT'!AC9</f>
        <v>Amortization</v>
      </c>
      <c r="AC10" s="115" t="str">
        <f>'ADJ DETAIL INPUT'!AD9</f>
        <v>Non-Exec</v>
      </c>
      <c r="AD10" s="115" t="str">
        <f>'ADJ DETAIL INPUT'!AE9</f>
        <v>Exec</v>
      </c>
      <c r="AE10" s="115" t="str">
        <f>'ADJ DETAIL INPUT'!AF9</f>
        <v>Benefits</v>
      </c>
      <c r="AF10" s="115">
        <f>'ADJ DETAIL INPUT'!AG9</f>
        <v>0</v>
      </c>
      <c r="AG10" s="115" t="str">
        <f>'ADJ DETAIL INPUT'!AH9</f>
        <v>Labor</v>
      </c>
      <c r="AH10" s="115" t="str">
        <f>'ADJ DETAIL INPUT'!AI9</f>
        <v>Labor</v>
      </c>
      <c r="AI10" s="115" t="str">
        <f>'ADJ DETAIL INPUT'!AJ9</f>
        <v>Tax</v>
      </c>
      <c r="AJ10" s="115" t="str">
        <f>'ADJ DETAIL INPUT'!AK9</f>
        <v>Expense</v>
      </c>
      <c r="AK10" s="115" t="str">
        <f>'ADJ DETAIL INPUT'!AL9</f>
        <v>Expense</v>
      </c>
      <c r="AL10" s="115" t="str">
        <f>'ADJ DETAIL INPUT'!AM9</f>
        <v>O&amp;M Exp</v>
      </c>
      <c r="AM10" s="115" t="str">
        <f>'ADJ DETAIL INPUT'!AN9</f>
        <v>to 12.31.2023 EOP</v>
      </c>
      <c r="AN10" s="115" t="str">
        <f>'ADJ DETAIL INPUT'!AO9</f>
        <v>Expense</v>
      </c>
      <c r="AO10" s="115" t="str">
        <f>'ADJ DETAIL INPUT'!AP9</f>
        <v>to 12.31.2024 EOP</v>
      </c>
      <c r="AP10" s="115" t="str">
        <f>'ADJ DETAIL INPUT'!AQ9</f>
        <v>Amortizations</v>
      </c>
      <c r="AQ10" s="115" t="str">
        <f>'ADJ DETAIL INPUT'!AR9</f>
        <v>Expense</v>
      </c>
      <c r="AR10" s="115" t="str">
        <f>'ADJ DETAIL INPUT'!AS9</f>
        <v>Expense</v>
      </c>
      <c r="AS10" s="115" t="str">
        <f>'ADJ DETAIL INPUT'!AT9</f>
        <v>to 12.31.2025 AMA</v>
      </c>
      <c r="AT10" s="115" t="str">
        <f>'ADJ DETAIL INPUT'!AU9</f>
        <v>&amp; Revenue Offsets</v>
      </c>
      <c r="AU10" s="115">
        <f>'ADJ DETAIL INPUT'!AY9</f>
        <v>0</v>
      </c>
      <c r="AV10" s="115" t="str">
        <f>'ADJ DETAIL INPUT'!AZ9</f>
        <v>Amortization</v>
      </c>
      <c r="AW10" s="115" t="str">
        <f>'ADJ DETAIL INPUT'!BA9</f>
        <v>Non-Exec</v>
      </c>
      <c r="AX10" s="115" t="str">
        <f>'ADJ DETAIL INPUT'!BB9</f>
        <v>Benefits</v>
      </c>
      <c r="AY10" s="115" t="str">
        <f>'ADJ DETAIL INPUT'!BC9</f>
        <v>Tax</v>
      </c>
      <c r="AZ10" s="115" t="str">
        <f>'ADJ DETAIL INPUT'!BD9</f>
        <v>Expense</v>
      </c>
      <c r="BA10" s="115" t="str">
        <f>'ADJ DETAIL INPUT'!BE9</f>
        <v>O&amp;M Exp</v>
      </c>
      <c r="BB10" s="115" t="str">
        <f>'ADJ DETAIL INPUT'!BF9</f>
        <v>to 12.31.2026 AMA</v>
      </c>
      <c r="BC10" s="115" t="str">
        <f>'ADJ DETAIL INPUT'!BG9</f>
        <v>&amp; Revenue Offsets</v>
      </c>
      <c r="BD10" s="115">
        <f>'ADJ DETAIL INPUT'!BH9</f>
        <v>0</v>
      </c>
    </row>
    <row r="11" spans="1:57" s="99" customFormat="1">
      <c r="A11" s="98"/>
      <c r="B11" s="131" t="s">
        <v>171</v>
      </c>
      <c r="E11" s="132">
        <f>'ADJ DETAIL INPUT'!E10</f>
        <v>1</v>
      </c>
      <c r="F11" s="132">
        <f>'ADJ DETAIL INPUT'!F10</f>
        <v>1.01</v>
      </c>
      <c r="G11" s="132">
        <f>'ADJ DETAIL INPUT'!G10</f>
        <v>1.02</v>
      </c>
      <c r="H11" s="132">
        <f>'ADJ DETAIL INPUT'!H10</f>
        <v>1.03</v>
      </c>
      <c r="I11" s="132">
        <f>'ADJ DETAIL INPUT'!I10</f>
        <v>2.0099999999999998</v>
      </c>
      <c r="J11" s="132">
        <f>'ADJ DETAIL INPUT'!J10</f>
        <v>2.0199999999999996</v>
      </c>
      <c r="K11" s="132">
        <f>'ADJ DETAIL INPUT'!K10</f>
        <v>2.0299999999999994</v>
      </c>
      <c r="L11" s="132">
        <f>'ADJ DETAIL INPUT'!L10</f>
        <v>2.0399999999999991</v>
      </c>
      <c r="M11" s="132">
        <f>'ADJ DETAIL INPUT'!M10</f>
        <v>2.0499999999999989</v>
      </c>
      <c r="N11" s="132">
        <f>'ADJ DETAIL INPUT'!N10</f>
        <v>2.0599999999999987</v>
      </c>
      <c r="O11" s="132">
        <f>'ADJ DETAIL INPUT'!O10</f>
        <v>2.0699999999999985</v>
      </c>
      <c r="P11" s="132">
        <f>'ADJ DETAIL INPUT'!P10</f>
        <v>2.0799999999999983</v>
      </c>
      <c r="Q11" s="132">
        <f>'ADJ DETAIL INPUT'!Q10</f>
        <v>2.0899999999999981</v>
      </c>
      <c r="R11" s="132">
        <f>'ADJ DETAIL INPUT'!R10</f>
        <v>2.0999999999999979</v>
      </c>
      <c r="S11" s="132">
        <f>'ADJ DETAIL INPUT'!S10</f>
        <v>2.1099999999999977</v>
      </c>
      <c r="T11" s="132">
        <f>'ADJ DETAIL INPUT'!T10</f>
        <v>2.1199999999999974</v>
      </c>
      <c r="U11" s="132">
        <f>'ADJ DETAIL INPUT'!U10</f>
        <v>2.1299999999999972</v>
      </c>
      <c r="V11" s="132">
        <f>'ADJ DETAIL INPUT'!V10</f>
        <v>2.139999999999997</v>
      </c>
      <c r="W11" s="132">
        <f>'ADJ DETAIL INPUT'!W10</f>
        <v>2.1499999999999968</v>
      </c>
      <c r="X11" s="132">
        <f>'ADJ DETAIL INPUT'!X10</f>
        <v>0</v>
      </c>
      <c r="Y11" s="132">
        <f>'ADJ DETAIL INPUT'!Z10</f>
        <v>3.01</v>
      </c>
      <c r="Z11" s="132">
        <f>'ADJ DETAIL INPUT'!AA10</f>
        <v>3.0199999999999996</v>
      </c>
      <c r="AA11" s="132">
        <f>'ADJ DETAIL INPUT'!AB10</f>
        <v>3.0299999999999994</v>
      </c>
      <c r="AB11" s="132">
        <f>'ADJ DETAIL INPUT'!AC10</f>
        <v>3.0399999999999991</v>
      </c>
      <c r="AC11" s="132">
        <f>'ADJ DETAIL INPUT'!AD10</f>
        <v>3.0499999999999989</v>
      </c>
      <c r="AD11" s="132">
        <f>'ADJ DETAIL INPUT'!AE10</f>
        <v>3.0599999999999987</v>
      </c>
      <c r="AE11" s="132">
        <f>'ADJ DETAIL INPUT'!AF10</f>
        <v>3.0699999999999985</v>
      </c>
      <c r="AF11" s="132">
        <f>'ADJ DETAIL INPUT'!AG10</f>
        <v>3.0799999999999983</v>
      </c>
      <c r="AG11" s="132">
        <f>'ADJ DETAIL INPUT'!AH10</f>
        <v>3.0899999999999981</v>
      </c>
      <c r="AH11" s="132">
        <f>'ADJ DETAIL INPUT'!AI10</f>
        <v>3.0999999999999979</v>
      </c>
      <c r="AI11" s="132">
        <f>'ADJ DETAIL INPUT'!AJ10</f>
        <v>3.1099999999999977</v>
      </c>
      <c r="AJ11" s="132">
        <f>'ADJ DETAIL INPUT'!AK10</f>
        <v>3.1199999999999974</v>
      </c>
      <c r="AK11" s="132">
        <f>'ADJ DETAIL INPUT'!AL10</f>
        <v>3.1299999999999972</v>
      </c>
      <c r="AL11" s="132">
        <f>'ADJ DETAIL INPUT'!AM10</f>
        <v>3.139999999999997</v>
      </c>
      <c r="AM11" s="132">
        <f>'ADJ DETAIL INPUT'!AN10</f>
        <v>3.1499999999999968</v>
      </c>
      <c r="AN11" s="132">
        <f>'ADJ DETAIL INPUT'!AO10</f>
        <v>3.1599999999999966</v>
      </c>
      <c r="AO11" s="132">
        <f>'ADJ DETAIL INPUT'!AP10</f>
        <v>3.1699999999999964</v>
      </c>
      <c r="AP11" s="132">
        <f>'ADJ DETAIL INPUT'!AQ10</f>
        <v>3.1799999999999962</v>
      </c>
      <c r="AQ11" s="132">
        <f>'ADJ DETAIL INPUT'!AR10</f>
        <v>3.1899999999999959</v>
      </c>
      <c r="AR11" s="132">
        <f>'ADJ DETAIL INPUT'!AS10</f>
        <v>3.1999999999999957</v>
      </c>
      <c r="AS11" s="132">
        <f>'ADJ DETAIL INPUT'!AT10</f>
        <v>4.01</v>
      </c>
      <c r="AT11" s="132">
        <f>'ADJ DETAIL INPUT'!AU10</f>
        <v>4.0199999999999996</v>
      </c>
      <c r="AU11" s="132">
        <f>'ADJ DETAIL INPUT'!AY10</f>
        <v>0</v>
      </c>
      <c r="AV11" s="132">
        <f>'ADJ DETAIL INPUT'!AZ10</f>
        <v>5.01</v>
      </c>
      <c r="AW11" s="132">
        <f>'ADJ DETAIL INPUT'!BA10</f>
        <v>5.0199999999999996</v>
      </c>
      <c r="AX11" s="132">
        <f>'ADJ DETAIL INPUT'!BB10</f>
        <v>5.0299999999999994</v>
      </c>
      <c r="AY11" s="132">
        <f>'ADJ DETAIL INPUT'!BC10</f>
        <v>5.0399999999999991</v>
      </c>
      <c r="AZ11" s="132">
        <f>'ADJ DETAIL INPUT'!BD10</f>
        <v>5.0499999999999989</v>
      </c>
      <c r="BA11" s="132">
        <f>'ADJ DETAIL INPUT'!BE10</f>
        <v>5.0599999999999987</v>
      </c>
      <c r="BB11" s="132">
        <f>'ADJ DETAIL INPUT'!BF10</f>
        <v>5.0699999999999985</v>
      </c>
      <c r="BC11" s="132">
        <f>'ADJ DETAIL INPUT'!BG10</f>
        <v>5.0799999999999983</v>
      </c>
      <c r="BD11" s="132">
        <f>'ADJ DETAIL INPUT'!BH10</f>
        <v>0</v>
      </c>
    </row>
    <row r="12" spans="1:57" s="99" customFormat="1">
      <c r="A12" s="98"/>
      <c r="B12" s="131" t="s">
        <v>172</v>
      </c>
      <c r="E12" s="100" t="str">
        <f>'ADJ DETAIL INPUT'!E11</f>
        <v>G-ROO</v>
      </c>
      <c r="F12" s="100" t="str">
        <f>'ADJ DETAIL INPUT'!F11</f>
        <v>G-DFIT</v>
      </c>
      <c r="G12" s="100" t="str">
        <f>'ADJ DETAIL INPUT'!G11</f>
        <v>G-DDC</v>
      </c>
      <c r="H12" s="100" t="str">
        <f>'ADJ DETAIL INPUT'!H11</f>
        <v>G-WC</v>
      </c>
      <c r="I12" s="100" t="str">
        <f>'ADJ DETAIL INPUT'!I11</f>
        <v>G-EBO</v>
      </c>
      <c r="J12" s="100" t="str">
        <f>'ADJ DETAIL INPUT'!J11</f>
        <v>G-RPT</v>
      </c>
      <c r="K12" s="100" t="str">
        <f>'ADJ DETAIL INPUT'!K11</f>
        <v>G-UE</v>
      </c>
      <c r="L12" s="100" t="str">
        <f>'ADJ DETAIL INPUT'!L11</f>
        <v>G-RE</v>
      </c>
      <c r="M12" s="100" t="str">
        <f>'ADJ DETAIL INPUT'!M11</f>
        <v>G-ID</v>
      </c>
      <c r="N12" s="100" t="str">
        <f>'ADJ DETAIL INPUT'!N11</f>
        <v>G-FIT</v>
      </c>
      <c r="O12" s="100" t="str">
        <f>'ADJ DETAIL INPUT'!O11</f>
        <v>G-OSC</v>
      </c>
      <c r="P12" s="100" t="str">
        <f>'ADJ DETAIL INPUT'!P11</f>
        <v>G-RET</v>
      </c>
      <c r="Q12" s="100" t="str">
        <f>'ADJ DETAIL INPUT'!Q11</f>
        <v>G-NGL</v>
      </c>
      <c r="R12" s="100" t="str">
        <f>'ADJ DETAIL INPUT'!R11</f>
        <v>G-WNGC</v>
      </c>
      <c r="S12" s="100" t="str">
        <f>'ADJ DETAIL INPUT'!S11</f>
        <v>G-EAS</v>
      </c>
      <c r="T12" s="100" t="str">
        <f>'ADJ DETAIL INPUT'!T11</f>
        <v>G-MR</v>
      </c>
      <c r="U12" s="100" t="str">
        <f>'ADJ DETAIL INPUT'!U11</f>
        <v>G-RI</v>
      </c>
      <c r="V12" s="100" t="str">
        <f>'ADJ DETAIL INPUT'!V11</f>
        <v>G-RDI</v>
      </c>
      <c r="W12" s="100" t="str">
        <f>'ADJ DETAIL INPUT'!W11</f>
        <v>G-RCAP</v>
      </c>
      <c r="X12" s="100">
        <f>'ADJ DETAIL INPUT'!X11</f>
        <v>0</v>
      </c>
      <c r="Y12" s="100" t="str">
        <f>'ADJ DETAIL INPUT'!Z11</f>
        <v>G-PREV</v>
      </c>
      <c r="Z12" s="100" t="str">
        <f>'ADJ DETAIL INPUT'!AA11</f>
        <v>G-PRA</v>
      </c>
      <c r="AA12" s="100" t="str">
        <f>'ADJ DETAIL INPUT'!AB11</f>
        <v>G-EDIT</v>
      </c>
      <c r="AB12" s="100" t="str">
        <f>'ADJ DETAIL INPUT'!AC11</f>
        <v>G-PAMI</v>
      </c>
      <c r="AC12" s="100" t="str">
        <f>'ADJ DETAIL INPUT'!AD11</f>
        <v>G-PLN</v>
      </c>
      <c r="AD12" s="100" t="str">
        <f>'ADJ DETAIL INPUT'!AE11</f>
        <v>G-PLE</v>
      </c>
      <c r="AE12" s="100" t="str">
        <f>'ADJ DETAIL INPUT'!AF11</f>
        <v>G-PEB</v>
      </c>
      <c r="AF12" s="100" t="str">
        <f>'ADJ DETAIL INPUT'!AG11</f>
        <v>G-PI</v>
      </c>
      <c r="AG12" s="100" t="str">
        <f>'ADJ DETAIL INPUT'!AH11</f>
        <v>G-LIRAP</v>
      </c>
      <c r="AH12" s="100" t="str">
        <f>'ADJ DETAIL INPUT'!AI11</f>
        <v>G-CCA</v>
      </c>
      <c r="AI12" s="100" t="str">
        <f>'ADJ DETAIL INPUT'!AJ11</f>
        <v>G-PPT</v>
      </c>
      <c r="AJ12" s="100" t="str">
        <f>'ADJ DETAIL INPUT'!AK11</f>
        <v>G-PINS</v>
      </c>
      <c r="AK12" s="100" t="str">
        <f>'ADJ DETAIL INPUT'!AL11</f>
        <v>G-PIT</v>
      </c>
      <c r="AL12" s="100" t="str">
        <f>'ADJ DETAIL INPUT'!AM11</f>
        <v>G-PMisc</v>
      </c>
      <c r="AM12" s="100" t="str">
        <f>'ADJ DETAIL INPUT'!AN11</f>
        <v>G-CAP23E</v>
      </c>
      <c r="AN12" s="100" t="str">
        <f>'ADJ DETAIL INPUT'!AO11</f>
        <v>G-DEP</v>
      </c>
      <c r="AO12" s="100" t="str">
        <f>'ADJ DETAIL INPUT'!AP11</f>
        <v>G-CAP24E</v>
      </c>
      <c r="AP12" s="100" t="str">
        <f>'ADJ DETAIL INPUT'!AQ11</f>
        <v>G-NRA</v>
      </c>
      <c r="AQ12" s="100" t="str">
        <f>'ADJ DETAIL INPUT'!AR11</f>
        <v>G-ETRM</v>
      </c>
      <c r="AR12" s="100" t="str">
        <f>'ADJ DETAIL INPUT'!AS11</f>
        <v>G-PBOD</v>
      </c>
      <c r="AS12" s="100" t="str">
        <f>'ADJ DETAIL INPUT'!AT11</f>
        <v>G-CAP25A</v>
      </c>
      <c r="AT12" s="100" t="str">
        <f>'ADJ DETAIL INPUT'!AU11</f>
        <v>G-Offsets25</v>
      </c>
      <c r="AU12" s="100">
        <f>'ADJ DETAIL INPUT'!AY11</f>
        <v>0</v>
      </c>
      <c r="AV12" s="100" t="str">
        <f>'ADJ DETAIL INPUT'!AZ11</f>
        <v>G-PAMI26</v>
      </c>
      <c r="AW12" s="100" t="str">
        <f>'ADJ DETAIL INPUT'!BA11</f>
        <v>G-PLN26</v>
      </c>
      <c r="AX12" s="100" t="str">
        <f>'ADJ DETAIL INPUT'!BB11</f>
        <v>G-PEB26</v>
      </c>
      <c r="AY12" s="100" t="str">
        <f>'ADJ DETAIL INPUT'!BC11</f>
        <v>G-PPT26</v>
      </c>
      <c r="AZ12" s="100" t="str">
        <f>'ADJ DETAIL INPUT'!BD11</f>
        <v>G-ETRM26</v>
      </c>
      <c r="BA12" s="100" t="str">
        <f>'ADJ DETAIL INPUT'!BE11</f>
        <v>G-PMisc26</v>
      </c>
      <c r="BB12" s="100" t="str">
        <f>'ADJ DETAIL INPUT'!BF11</f>
        <v>G-CAP26A</v>
      </c>
      <c r="BC12" s="100" t="str">
        <f>'ADJ DETAIL INPUT'!BG11</f>
        <v>G-Offsets26</v>
      </c>
      <c r="BD12" s="100">
        <f>'ADJ DETAIL INPUT'!BH11</f>
        <v>0</v>
      </c>
    </row>
    <row r="14" spans="1:57">
      <c r="B14" s="92" t="s">
        <v>31</v>
      </c>
    </row>
    <row r="15" spans="1:57" s="117" customFormat="1">
      <c r="A15" s="116">
        <v>1</v>
      </c>
      <c r="B15" s="117" t="s">
        <v>32</v>
      </c>
      <c r="E15" s="171">
        <f>'ADJ DETAIL INPUT'!E14</f>
        <v>246541</v>
      </c>
      <c r="F15" s="171">
        <f>'ADJ DETAIL INPUT'!F14</f>
        <v>0</v>
      </c>
      <c r="G15" s="171">
        <f>'ADJ DETAIL INPUT'!G14</f>
        <v>0</v>
      </c>
      <c r="H15" s="171">
        <f>'ADJ DETAIL INPUT'!H14</f>
        <v>0</v>
      </c>
      <c r="I15" s="171">
        <f>'ADJ DETAIL INPUT'!I14</f>
        <v>-8526</v>
      </c>
      <c r="J15" s="171">
        <f>'ADJ DETAIL INPUT'!J14</f>
        <v>0</v>
      </c>
      <c r="K15" s="171">
        <f>'ADJ DETAIL INPUT'!K14</f>
        <v>0</v>
      </c>
      <c r="L15" s="171">
        <f>'ADJ DETAIL INPUT'!L14</f>
        <v>0</v>
      </c>
      <c r="M15" s="171">
        <f>'ADJ DETAIL INPUT'!M14</f>
        <v>0</v>
      </c>
      <c r="N15" s="171">
        <f>'ADJ DETAIL INPUT'!N14</f>
        <v>0</v>
      </c>
      <c r="O15" s="171">
        <f>'ADJ DETAIL INPUT'!O14</f>
        <v>0</v>
      </c>
      <c r="P15" s="171">
        <f>'ADJ DETAIL INPUT'!P14</f>
        <v>0</v>
      </c>
      <c r="Q15" s="171">
        <f>'ADJ DETAIL INPUT'!Q14</f>
        <v>0</v>
      </c>
      <c r="R15" s="171">
        <f>'ADJ DETAIL INPUT'!R14</f>
        <v>28</v>
      </c>
      <c r="S15" s="171">
        <f>'ADJ DETAIL INPUT'!S14</f>
        <v>-26674</v>
      </c>
      <c r="T15" s="171">
        <f>'ADJ DETAIL INPUT'!T14</f>
        <v>0</v>
      </c>
      <c r="U15" s="171">
        <f>'ADJ DETAIL INPUT'!U14</f>
        <v>0</v>
      </c>
      <c r="V15" s="171">
        <f>'ADJ DETAIL INPUT'!V14</f>
        <v>0</v>
      </c>
      <c r="W15" s="171">
        <f>'ADJ DETAIL INPUT'!W14</f>
        <v>0</v>
      </c>
      <c r="X15" s="171">
        <f>'ADJ DETAIL INPUT'!X14</f>
        <v>0</v>
      </c>
      <c r="Y15" s="171">
        <f>'ADJ DETAIL INPUT'!Z14</f>
        <v>-89786</v>
      </c>
      <c r="Z15" s="171">
        <f>'ADJ DETAIL INPUT'!AA14</f>
        <v>0</v>
      </c>
      <c r="AA15" s="171">
        <f>'ADJ DETAIL INPUT'!AB14</f>
        <v>0</v>
      </c>
      <c r="AB15" s="171">
        <f>'ADJ DETAIL INPUT'!AC14</f>
        <v>0</v>
      </c>
      <c r="AC15" s="171">
        <f>'ADJ DETAIL INPUT'!AD14</f>
        <v>0</v>
      </c>
      <c r="AD15" s="171">
        <f>'ADJ DETAIL INPUT'!AE14</f>
        <v>0</v>
      </c>
      <c r="AE15" s="171">
        <f>'ADJ DETAIL INPUT'!AF14</f>
        <v>0</v>
      </c>
      <c r="AF15" s="171">
        <f>'ADJ DETAIL INPUT'!AG14</f>
        <v>0</v>
      </c>
      <c r="AG15" s="171">
        <f>'ADJ DETAIL INPUT'!AH14</f>
        <v>0</v>
      </c>
      <c r="AH15" s="171">
        <f>'ADJ DETAIL INPUT'!AI14</f>
        <v>0</v>
      </c>
      <c r="AI15" s="171">
        <f>'ADJ DETAIL INPUT'!AJ14</f>
        <v>0</v>
      </c>
      <c r="AJ15" s="171">
        <f>'ADJ DETAIL INPUT'!AK14</f>
        <v>0</v>
      </c>
      <c r="AK15" s="171">
        <f>'ADJ DETAIL INPUT'!AL14</f>
        <v>0</v>
      </c>
      <c r="AL15" s="171">
        <f>'ADJ DETAIL INPUT'!AM14</f>
        <v>0</v>
      </c>
      <c r="AM15" s="171">
        <f>'ADJ DETAIL INPUT'!AN14</f>
        <v>0</v>
      </c>
      <c r="AN15" s="171">
        <f>'ADJ DETAIL INPUT'!AO14</f>
        <v>0</v>
      </c>
      <c r="AO15" s="171">
        <f>'ADJ DETAIL INPUT'!AP14</f>
        <v>0</v>
      </c>
      <c r="AP15" s="171">
        <f>'ADJ DETAIL INPUT'!AQ14</f>
        <v>0</v>
      </c>
      <c r="AQ15" s="171">
        <f>'ADJ DETAIL INPUT'!AR14</f>
        <v>0</v>
      </c>
      <c r="AR15" s="171">
        <f>'ADJ DETAIL INPUT'!AS14</f>
        <v>0</v>
      </c>
      <c r="AS15" s="171">
        <f>'ADJ DETAIL INPUT'!AT14</f>
        <v>0</v>
      </c>
      <c r="AT15" s="171">
        <f>'ADJ DETAIL INPUT'!AU14</f>
        <v>0</v>
      </c>
      <c r="AU15" s="171">
        <f>'ADJ DETAIL INPUT'!AY14</f>
        <v>0</v>
      </c>
      <c r="AV15" s="171">
        <f>'ADJ DETAIL INPUT'!AZ14</f>
        <v>0</v>
      </c>
      <c r="AW15" s="171">
        <f>'ADJ DETAIL INPUT'!BA14</f>
        <v>0</v>
      </c>
      <c r="AX15" s="171">
        <f>'ADJ DETAIL INPUT'!BB14</f>
        <v>0</v>
      </c>
      <c r="AY15" s="171">
        <f>'ADJ DETAIL INPUT'!BC14</f>
        <v>0</v>
      </c>
      <c r="AZ15" s="171">
        <f>'ADJ DETAIL INPUT'!BD14</f>
        <v>0</v>
      </c>
      <c r="BA15" s="171">
        <f>'ADJ DETAIL INPUT'!BE14</f>
        <v>0</v>
      </c>
      <c r="BB15" s="171">
        <f>'ADJ DETAIL INPUT'!BF14</f>
        <v>0</v>
      </c>
      <c r="BC15" s="171">
        <f>'ADJ DETAIL INPUT'!BG14</f>
        <v>0</v>
      </c>
      <c r="BD15" s="171">
        <f>'ADJ DETAIL INPUT'!BH14</f>
        <v>0</v>
      </c>
    </row>
    <row r="16" spans="1:57">
      <c r="A16" s="116">
        <v>2</v>
      </c>
      <c r="B16" s="118" t="s">
        <v>33</v>
      </c>
      <c r="D16" s="118"/>
      <c r="E16" s="134">
        <f>'ADJ DETAIL INPUT'!E15</f>
        <v>5180</v>
      </c>
      <c r="F16" s="134">
        <f>'ADJ DETAIL INPUT'!F15</f>
        <v>0</v>
      </c>
      <c r="G16" s="134">
        <f>'ADJ DETAIL INPUT'!G15</f>
        <v>0</v>
      </c>
      <c r="H16" s="134">
        <f>'ADJ DETAIL INPUT'!H15</f>
        <v>0</v>
      </c>
      <c r="I16" s="134">
        <f>'ADJ DETAIL INPUT'!I15</f>
        <v>-120</v>
      </c>
      <c r="J16" s="134">
        <f>'ADJ DETAIL INPUT'!J15</f>
        <v>0</v>
      </c>
      <c r="K16" s="134">
        <f>'ADJ DETAIL INPUT'!K15</f>
        <v>0</v>
      </c>
      <c r="L16" s="134">
        <f>'ADJ DETAIL INPUT'!L15</f>
        <v>0</v>
      </c>
      <c r="M16" s="134">
        <f>'ADJ DETAIL INPUT'!M15</f>
        <v>0</v>
      </c>
      <c r="N16" s="134">
        <f>'ADJ DETAIL INPUT'!N15</f>
        <v>0</v>
      </c>
      <c r="O16" s="134">
        <f>'ADJ DETAIL INPUT'!O15</f>
        <v>0</v>
      </c>
      <c r="P16" s="134">
        <f>'ADJ DETAIL INPUT'!P15</f>
        <v>0</v>
      </c>
      <c r="Q16" s="134">
        <f>'ADJ DETAIL INPUT'!Q15</f>
        <v>0</v>
      </c>
      <c r="R16" s="134">
        <f>'ADJ DETAIL INPUT'!R15</f>
        <v>0</v>
      </c>
      <c r="S16" s="134">
        <f>'ADJ DETAIL INPUT'!S15</f>
        <v>0</v>
      </c>
      <c r="T16" s="134">
        <f>'ADJ DETAIL INPUT'!T15</f>
        <v>0</v>
      </c>
      <c r="U16" s="134">
        <f>'ADJ DETAIL INPUT'!U15</f>
        <v>0</v>
      </c>
      <c r="V16" s="134">
        <f>'ADJ DETAIL INPUT'!V15</f>
        <v>0</v>
      </c>
      <c r="W16" s="134">
        <f>'ADJ DETAIL INPUT'!W15</f>
        <v>0</v>
      </c>
      <c r="X16" s="134">
        <f>'ADJ DETAIL INPUT'!X15</f>
        <v>0</v>
      </c>
      <c r="Y16" s="134">
        <f>'ADJ DETAIL INPUT'!Z15</f>
        <v>333</v>
      </c>
      <c r="Z16" s="134">
        <f>'ADJ DETAIL INPUT'!AA15</f>
        <v>0</v>
      </c>
      <c r="AA16" s="134">
        <f>'ADJ DETAIL INPUT'!AB15</f>
        <v>0</v>
      </c>
      <c r="AB16" s="134">
        <f>'ADJ DETAIL INPUT'!AC15</f>
        <v>0</v>
      </c>
      <c r="AC16" s="134">
        <f>'ADJ DETAIL INPUT'!AD15</f>
        <v>0</v>
      </c>
      <c r="AD16" s="134">
        <f>'ADJ DETAIL INPUT'!AE15</f>
        <v>0</v>
      </c>
      <c r="AE16" s="134">
        <f>'ADJ DETAIL INPUT'!AF15</f>
        <v>0</v>
      </c>
      <c r="AF16" s="134">
        <f>'ADJ DETAIL INPUT'!AG15</f>
        <v>0</v>
      </c>
      <c r="AG16" s="134">
        <f>'ADJ DETAIL INPUT'!AH15</f>
        <v>0</v>
      </c>
      <c r="AH16" s="134">
        <f>'ADJ DETAIL INPUT'!AI15</f>
        <v>0</v>
      </c>
      <c r="AI16" s="134">
        <f>'ADJ DETAIL INPUT'!AJ15</f>
        <v>0</v>
      </c>
      <c r="AJ16" s="134">
        <f>'ADJ DETAIL INPUT'!AK15</f>
        <v>0</v>
      </c>
      <c r="AK16" s="134">
        <f>'ADJ DETAIL INPUT'!AL15</f>
        <v>0</v>
      </c>
      <c r="AL16" s="134">
        <f>'ADJ DETAIL INPUT'!AM15</f>
        <v>0</v>
      </c>
      <c r="AM16" s="134">
        <f>'ADJ DETAIL INPUT'!AN15</f>
        <v>0</v>
      </c>
      <c r="AN16" s="134">
        <f>'ADJ DETAIL INPUT'!AO15</f>
        <v>0</v>
      </c>
      <c r="AO16" s="134">
        <f>'ADJ DETAIL INPUT'!AP15</f>
        <v>0</v>
      </c>
      <c r="AP16" s="134">
        <f>'ADJ DETAIL INPUT'!AQ15</f>
        <v>0</v>
      </c>
      <c r="AQ16" s="134">
        <f>'ADJ DETAIL INPUT'!AR15</f>
        <v>0</v>
      </c>
      <c r="AR16" s="134">
        <f>'ADJ DETAIL INPUT'!AS15</f>
        <v>0</v>
      </c>
      <c r="AS16" s="134">
        <f>'ADJ DETAIL INPUT'!AT15</f>
        <v>0</v>
      </c>
      <c r="AT16" s="134">
        <f>'ADJ DETAIL INPUT'!AU15</f>
        <v>0</v>
      </c>
      <c r="AU16" s="134">
        <f>'ADJ DETAIL INPUT'!AY15</f>
        <v>0</v>
      </c>
      <c r="AV16" s="134">
        <f>'ADJ DETAIL INPUT'!AZ15</f>
        <v>0</v>
      </c>
      <c r="AW16" s="134">
        <f>'ADJ DETAIL INPUT'!BA15</f>
        <v>0</v>
      </c>
      <c r="AX16" s="134">
        <f>'ADJ DETAIL INPUT'!BB15</f>
        <v>0</v>
      </c>
      <c r="AY16" s="134">
        <f>'ADJ DETAIL INPUT'!BC15</f>
        <v>0</v>
      </c>
      <c r="AZ16" s="134">
        <f>'ADJ DETAIL INPUT'!BD15</f>
        <v>0</v>
      </c>
      <c r="BA16" s="134">
        <f>'ADJ DETAIL INPUT'!BE15</f>
        <v>0</v>
      </c>
      <c r="BB16" s="134">
        <f>'ADJ DETAIL INPUT'!BF15</f>
        <v>0</v>
      </c>
      <c r="BC16" s="134">
        <f>'ADJ DETAIL INPUT'!BG15</f>
        <v>0</v>
      </c>
      <c r="BD16" s="134">
        <f>'ADJ DETAIL INPUT'!BH15</f>
        <v>0</v>
      </c>
    </row>
    <row r="17" spans="1:56">
      <c r="A17" s="116">
        <v>3</v>
      </c>
      <c r="B17" s="118" t="s">
        <v>34</v>
      </c>
      <c r="D17" s="118"/>
      <c r="E17" s="135">
        <f>'ADJ DETAIL INPUT'!E16</f>
        <v>37118</v>
      </c>
      <c r="F17" s="135">
        <f>'ADJ DETAIL INPUT'!F16</f>
        <v>0</v>
      </c>
      <c r="G17" s="135">
        <f>'ADJ DETAIL INPUT'!G16</f>
        <v>0</v>
      </c>
      <c r="H17" s="135">
        <f>'ADJ DETAIL INPUT'!H16</f>
        <v>0</v>
      </c>
      <c r="I17" s="135">
        <f>'ADJ DETAIL INPUT'!I16</f>
        <v>0</v>
      </c>
      <c r="J17" s="135">
        <f>'ADJ DETAIL INPUT'!J16</f>
        <v>0</v>
      </c>
      <c r="K17" s="135">
        <f>'ADJ DETAIL INPUT'!K16</f>
        <v>0</v>
      </c>
      <c r="L17" s="135">
        <f>'ADJ DETAIL INPUT'!L16</f>
        <v>0</v>
      </c>
      <c r="M17" s="135">
        <f>'ADJ DETAIL INPUT'!M16</f>
        <v>0</v>
      </c>
      <c r="N17" s="135">
        <f>'ADJ DETAIL INPUT'!N16</f>
        <v>0</v>
      </c>
      <c r="O17" s="135">
        <f>'ADJ DETAIL INPUT'!O16</f>
        <v>0</v>
      </c>
      <c r="P17" s="135">
        <f>'ADJ DETAIL INPUT'!P16</f>
        <v>0</v>
      </c>
      <c r="Q17" s="135">
        <f>'ADJ DETAIL INPUT'!Q16</f>
        <v>0</v>
      </c>
      <c r="R17" s="135">
        <f>'ADJ DETAIL INPUT'!R16</f>
        <v>-127</v>
      </c>
      <c r="S17" s="135">
        <f>'ADJ DETAIL INPUT'!S16</f>
        <v>-33904</v>
      </c>
      <c r="T17" s="135">
        <f>'ADJ DETAIL INPUT'!T16</f>
        <v>0</v>
      </c>
      <c r="U17" s="135">
        <f>'ADJ DETAIL INPUT'!U16</f>
        <v>0</v>
      </c>
      <c r="V17" s="135">
        <f>'ADJ DETAIL INPUT'!V16</f>
        <v>0</v>
      </c>
      <c r="W17" s="135">
        <f>'ADJ DETAIL INPUT'!W16</f>
        <v>0</v>
      </c>
      <c r="X17" s="135">
        <f>'ADJ DETAIL INPUT'!X16</f>
        <v>0</v>
      </c>
      <c r="Y17" s="135">
        <f>'ADJ DETAIL INPUT'!Z16</f>
        <v>-2714</v>
      </c>
      <c r="Z17" s="135">
        <f>'ADJ DETAIL INPUT'!AA16</f>
        <v>0</v>
      </c>
      <c r="AA17" s="135">
        <f>'ADJ DETAIL INPUT'!AB16</f>
        <v>0</v>
      </c>
      <c r="AB17" s="135">
        <f>'ADJ DETAIL INPUT'!AC16</f>
        <v>0</v>
      </c>
      <c r="AC17" s="135">
        <f>'ADJ DETAIL INPUT'!AD16</f>
        <v>0</v>
      </c>
      <c r="AD17" s="135">
        <f>'ADJ DETAIL INPUT'!AE16</f>
        <v>0</v>
      </c>
      <c r="AE17" s="135">
        <f>'ADJ DETAIL INPUT'!AF16</f>
        <v>0</v>
      </c>
      <c r="AF17" s="135">
        <f>'ADJ DETAIL INPUT'!AG16</f>
        <v>0</v>
      </c>
      <c r="AG17" s="135">
        <f>'ADJ DETAIL INPUT'!AH16</f>
        <v>0</v>
      </c>
      <c r="AH17" s="135">
        <f>'ADJ DETAIL INPUT'!AI16</f>
        <v>0</v>
      </c>
      <c r="AI17" s="135">
        <f>'ADJ DETAIL INPUT'!AJ16</f>
        <v>0</v>
      </c>
      <c r="AJ17" s="135">
        <f>'ADJ DETAIL INPUT'!AK16</f>
        <v>0</v>
      </c>
      <c r="AK17" s="135">
        <f>'ADJ DETAIL INPUT'!AL16</f>
        <v>0</v>
      </c>
      <c r="AL17" s="135">
        <f>'ADJ DETAIL INPUT'!AM16</f>
        <v>0</v>
      </c>
      <c r="AM17" s="135">
        <f>'ADJ DETAIL INPUT'!AN16</f>
        <v>0</v>
      </c>
      <c r="AN17" s="135">
        <f>'ADJ DETAIL INPUT'!AO16</f>
        <v>0</v>
      </c>
      <c r="AO17" s="135">
        <f>'ADJ DETAIL INPUT'!AP16</f>
        <v>0</v>
      </c>
      <c r="AP17" s="135">
        <f>'ADJ DETAIL INPUT'!AQ16</f>
        <v>0</v>
      </c>
      <c r="AQ17" s="135">
        <f>'ADJ DETAIL INPUT'!AR16</f>
        <v>0</v>
      </c>
      <c r="AR17" s="135">
        <f>'ADJ DETAIL INPUT'!AS16</f>
        <v>0</v>
      </c>
      <c r="AS17" s="135">
        <f>'ADJ DETAIL INPUT'!AT16</f>
        <v>0</v>
      </c>
      <c r="AT17" s="135">
        <f>'ADJ DETAIL INPUT'!AU16</f>
        <v>344</v>
      </c>
      <c r="AU17" s="135">
        <f>'ADJ DETAIL INPUT'!AY16</f>
        <v>0</v>
      </c>
      <c r="AV17" s="135">
        <f>'ADJ DETAIL INPUT'!AZ16</f>
        <v>0</v>
      </c>
      <c r="AW17" s="135">
        <f>'ADJ DETAIL INPUT'!BA16</f>
        <v>0</v>
      </c>
      <c r="AX17" s="135">
        <f>'ADJ DETAIL INPUT'!BB16</f>
        <v>0</v>
      </c>
      <c r="AY17" s="135">
        <f>'ADJ DETAIL INPUT'!BC16</f>
        <v>0</v>
      </c>
      <c r="AZ17" s="135">
        <f>'ADJ DETAIL INPUT'!BD16</f>
        <v>0</v>
      </c>
      <c r="BA17" s="135">
        <f>'ADJ DETAIL INPUT'!BE16</f>
        <v>0</v>
      </c>
      <c r="BB17" s="135">
        <f>'ADJ DETAIL INPUT'!BF16</f>
        <v>0</v>
      </c>
      <c r="BC17" s="135">
        <f>'ADJ DETAIL INPUT'!BG16</f>
        <v>39</v>
      </c>
      <c r="BD17" s="135">
        <f>'ADJ DETAIL INPUT'!BH16</f>
        <v>0</v>
      </c>
    </row>
    <row r="18" spans="1:56">
      <c r="A18" s="116">
        <v>4</v>
      </c>
      <c r="B18" s="92" t="s">
        <v>35</v>
      </c>
      <c r="C18" s="118"/>
      <c r="D18" s="118"/>
      <c r="E18" s="134">
        <f>SUM(E15:E17)</f>
        <v>288839</v>
      </c>
      <c r="F18" s="134">
        <f t="shared" ref="F18:R18" si="0">SUM(F15:F17)</f>
        <v>0</v>
      </c>
      <c r="G18" s="134">
        <f t="shared" si="0"/>
        <v>0</v>
      </c>
      <c r="H18" s="134">
        <f t="shared" si="0"/>
        <v>0</v>
      </c>
      <c r="I18" s="134">
        <f t="shared" si="0"/>
        <v>-8646</v>
      </c>
      <c r="J18" s="134">
        <f t="shared" si="0"/>
        <v>0</v>
      </c>
      <c r="K18" s="134">
        <f t="shared" si="0"/>
        <v>0</v>
      </c>
      <c r="L18" s="134">
        <f t="shared" si="0"/>
        <v>0</v>
      </c>
      <c r="M18" s="134">
        <f t="shared" si="0"/>
        <v>0</v>
      </c>
      <c r="N18" s="134">
        <f t="shared" si="0"/>
        <v>0</v>
      </c>
      <c r="O18" s="134">
        <f t="shared" si="0"/>
        <v>0</v>
      </c>
      <c r="P18" s="134">
        <f t="shared" si="0"/>
        <v>0</v>
      </c>
      <c r="Q18" s="134">
        <f t="shared" si="0"/>
        <v>0</v>
      </c>
      <c r="R18" s="134">
        <f t="shared" si="0"/>
        <v>-99</v>
      </c>
      <c r="S18" s="134">
        <f t="shared" ref="S18:T18" si="1">SUM(S15:S17)</f>
        <v>-60578</v>
      </c>
      <c r="T18" s="134">
        <f t="shared" si="1"/>
        <v>0</v>
      </c>
      <c r="U18" s="134">
        <f t="shared" ref="U18" si="2">SUM(U15:U17)</f>
        <v>0</v>
      </c>
      <c r="V18" s="134">
        <f>SUM(V15:V17)</f>
        <v>0</v>
      </c>
      <c r="W18" s="134">
        <f>SUM(W15:W17)</f>
        <v>0</v>
      </c>
      <c r="X18" s="134">
        <f>SUM(X15:X17)</f>
        <v>0</v>
      </c>
      <c r="Y18" s="134">
        <f>SUM(Y15:Y17)</f>
        <v>-92167</v>
      </c>
      <c r="Z18" s="134">
        <f t="shared" ref="Z18:BD18" si="3">SUM(Z15:Z17)</f>
        <v>0</v>
      </c>
      <c r="AA18" s="134">
        <f t="shared" si="3"/>
        <v>0</v>
      </c>
      <c r="AB18" s="134">
        <f t="shared" si="3"/>
        <v>0</v>
      </c>
      <c r="AC18" s="134">
        <f t="shared" si="3"/>
        <v>0</v>
      </c>
      <c r="AD18" s="134">
        <f t="shared" si="3"/>
        <v>0</v>
      </c>
      <c r="AE18" s="134">
        <f t="shared" si="3"/>
        <v>0</v>
      </c>
      <c r="AF18" s="134">
        <f t="shared" ref="AF18" si="4">SUM(AF15:AF17)</f>
        <v>0</v>
      </c>
      <c r="AG18" s="134">
        <f t="shared" si="3"/>
        <v>0</v>
      </c>
      <c r="AH18" s="134">
        <f t="shared" si="3"/>
        <v>0</v>
      </c>
      <c r="AI18" s="134">
        <f t="shared" si="3"/>
        <v>0</v>
      </c>
      <c r="AJ18" s="134">
        <f t="shared" si="3"/>
        <v>0</v>
      </c>
      <c r="AK18" s="134">
        <f t="shared" si="3"/>
        <v>0</v>
      </c>
      <c r="AL18" s="134">
        <f t="shared" si="3"/>
        <v>0</v>
      </c>
      <c r="AM18" s="134">
        <f t="shared" si="3"/>
        <v>0</v>
      </c>
      <c r="AN18" s="134">
        <f t="shared" ref="AN18:AO18" si="5">SUM(AN15:AN17)</f>
        <v>0</v>
      </c>
      <c r="AO18" s="134">
        <f t="shared" si="5"/>
        <v>0</v>
      </c>
      <c r="AP18" s="134">
        <f t="shared" ref="AP18" si="6">SUM(AP15:AP17)</f>
        <v>0</v>
      </c>
      <c r="AQ18" s="134">
        <f t="shared" si="3"/>
        <v>0</v>
      </c>
      <c r="AR18" s="134">
        <f t="shared" si="3"/>
        <v>0</v>
      </c>
      <c r="AS18" s="134">
        <f t="shared" si="3"/>
        <v>0</v>
      </c>
      <c r="AT18" s="134">
        <f t="shared" si="3"/>
        <v>344</v>
      </c>
      <c r="AU18" s="134">
        <f t="shared" ref="AU18" si="7">SUM(AU15:AU17)</f>
        <v>0</v>
      </c>
      <c r="AV18" s="134">
        <f t="shared" si="3"/>
        <v>0</v>
      </c>
      <c r="AW18" s="134">
        <f t="shared" si="3"/>
        <v>0</v>
      </c>
      <c r="AX18" s="134">
        <f t="shared" si="3"/>
        <v>0</v>
      </c>
      <c r="AY18" s="134">
        <f t="shared" si="3"/>
        <v>0</v>
      </c>
      <c r="AZ18" s="134">
        <f t="shared" si="3"/>
        <v>0</v>
      </c>
      <c r="BA18" s="134">
        <f t="shared" si="3"/>
        <v>0</v>
      </c>
      <c r="BB18" s="134">
        <f t="shared" si="3"/>
        <v>0</v>
      </c>
      <c r="BC18" s="134">
        <f t="shared" si="3"/>
        <v>39</v>
      </c>
      <c r="BD18" s="134">
        <f t="shared" si="3"/>
        <v>0</v>
      </c>
    </row>
    <row r="19" spans="1:56">
      <c r="C19" s="118"/>
      <c r="D19" s="118"/>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row>
    <row r="20" spans="1:56">
      <c r="B20" s="92" t="s">
        <v>36</v>
      </c>
      <c r="C20" s="118"/>
      <c r="D20" s="118"/>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row>
    <row r="21" spans="1:56">
      <c r="B21" s="118" t="s">
        <v>192</v>
      </c>
      <c r="D21" s="118"/>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row>
    <row r="22" spans="1:56">
      <c r="A22" s="116">
        <v>5</v>
      </c>
      <c r="C22" s="118" t="s">
        <v>37</v>
      </c>
      <c r="D22" s="118"/>
      <c r="E22" s="134">
        <f>'ADJ DETAIL INPUT'!E21</f>
        <v>139821</v>
      </c>
      <c r="F22" s="134">
        <f>'ADJ DETAIL INPUT'!F21</f>
        <v>0</v>
      </c>
      <c r="G22" s="134">
        <f>'ADJ DETAIL INPUT'!G21</f>
        <v>0</v>
      </c>
      <c r="H22" s="134">
        <f>'ADJ DETAIL INPUT'!H21</f>
        <v>0</v>
      </c>
      <c r="I22" s="134">
        <f>'ADJ DETAIL INPUT'!I21</f>
        <v>0</v>
      </c>
      <c r="J22" s="134">
        <f>'ADJ DETAIL INPUT'!J21</f>
        <v>0</v>
      </c>
      <c r="K22" s="134">
        <f>'ADJ DETAIL INPUT'!K21</f>
        <v>0</v>
      </c>
      <c r="L22" s="134">
        <f>'ADJ DETAIL INPUT'!L21</f>
        <v>0</v>
      </c>
      <c r="M22" s="134">
        <f>'ADJ DETAIL INPUT'!M21</f>
        <v>0</v>
      </c>
      <c r="N22" s="134">
        <f>'ADJ DETAIL INPUT'!N21</f>
        <v>0</v>
      </c>
      <c r="O22" s="134">
        <f>'ADJ DETAIL INPUT'!O21</f>
        <v>0</v>
      </c>
      <c r="P22" s="134">
        <f>'ADJ DETAIL INPUT'!P21</f>
        <v>0</v>
      </c>
      <c r="Q22" s="134">
        <f>'ADJ DETAIL INPUT'!Q21</f>
        <v>0</v>
      </c>
      <c r="R22" s="134">
        <f>'ADJ DETAIL INPUT'!R21</f>
        <v>-57</v>
      </c>
      <c r="S22" s="134">
        <f>'ADJ DETAIL INPUT'!S21</f>
        <v>-49394</v>
      </c>
      <c r="T22" s="134">
        <f>'ADJ DETAIL INPUT'!T21</f>
        <v>0</v>
      </c>
      <c r="U22" s="134">
        <f>'ADJ DETAIL INPUT'!U21</f>
        <v>0</v>
      </c>
      <c r="V22" s="134">
        <f>'ADJ DETAIL INPUT'!V21</f>
        <v>0</v>
      </c>
      <c r="W22" s="134">
        <f>'ADJ DETAIL INPUT'!W21</f>
        <v>0</v>
      </c>
      <c r="X22" s="134">
        <f>'ADJ DETAIL INPUT'!X21</f>
        <v>0</v>
      </c>
      <c r="Y22" s="134">
        <f>'ADJ DETAIL INPUT'!Z21</f>
        <v>-90370</v>
      </c>
      <c r="Z22" s="134">
        <f>'ADJ DETAIL INPUT'!AA21</f>
        <v>0</v>
      </c>
      <c r="AA22" s="134">
        <f>'ADJ DETAIL INPUT'!AB21</f>
        <v>0</v>
      </c>
      <c r="AB22" s="134">
        <f>'ADJ DETAIL INPUT'!AC21</f>
        <v>0</v>
      </c>
      <c r="AC22" s="134">
        <f>'ADJ DETAIL INPUT'!AD21</f>
        <v>0</v>
      </c>
      <c r="AD22" s="134">
        <f>'ADJ DETAIL INPUT'!AE21</f>
        <v>0</v>
      </c>
      <c r="AE22" s="134">
        <f>'ADJ DETAIL INPUT'!AF21</f>
        <v>0</v>
      </c>
      <c r="AF22" s="134">
        <f>'ADJ DETAIL INPUT'!AG21</f>
        <v>0</v>
      </c>
      <c r="AG22" s="134">
        <f>'ADJ DETAIL INPUT'!AH21</f>
        <v>0</v>
      </c>
      <c r="AH22" s="134">
        <f>'ADJ DETAIL INPUT'!AI21</f>
        <v>0</v>
      </c>
      <c r="AI22" s="134">
        <f>'ADJ DETAIL INPUT'!AJ21</f>
        <v>0</v>
      </c>
      <c r="AJ22" s="134">
        <f>'ADJ DETAIL INPUT'!AK21</f>
        <v>0</v>
      </c>
      <c r="AK22" s="134">
        <f>'ADJ DETAIL INPUT'!AL21</f>
        <v>0</v>
      </c>
      <c r="AL22" s="134">
        <f>'ADJ DETAIL INPUT'!AM21</f>
        <v>0</v>
      </c>
      <c r="AM22" s="134">
        <f>'ADJ DETAIL INPUT'!AN21</f>
        <v>0</v>
      </c>
      <c r="AN22" s="134">
        <f>'ADJ DETAIL INPUT'!AO21</f>
        <v>0</v>
      </c>
      <c r="AO22" s="134">
        <f>'ADJ DETAIL INPUT'!AP21</f>
        <v>0</v>
      </c>
      <c r="AP22" s="134">
        <f>'ADJ DETAIL INPUT'!AQ21</f>
        <v>0</v>
      </c>
      <c r="AQ22" s="134">
        <f>'ADJ DETAIL INPUT'!AR21</f>
        <v>0</v>
      </c>
      <c r="AR22" s="134">
        <f>'ADJ DETAIL INPUT'!AS21</f>
        <v>0</v>
      </c>
      <c r="AS22" s="134">
        <f>'ADJ DETAIL INPUT'!AT21</f>
        <v>0</v>
      </c>
      <c r="AT22" s="134">
        <f>'ADJ DETAIL INPUT'!AU21</f>
        <v>0</v>
      </c>
      <c r="AU22" s="134">
        <f>'ADJ DETAIL INPUT'!AY21</f>
        <v>0</v>
      </c>
      <c r="AV22" s="134">
        <f>'ADJ DETAIL INPUT'!AZ21</f>
        <v>0</v>
      </c>
      <c r="AW22" s="134">
        <f>'ADJ DETAIL INPUT'!BA21</f>
        <v>0</v>
      </c>
      <c r="AX22" s="134">
        <f>'ADJ DETAIL INPUT'!BB21</f>
        <v>0</v>
      </c>
      <c r="AY22" s="134">
        <f>'ADJ DETAIL INPUT'!BC21</f>
        <v>0</v>
      </c>
      <c r="AZ22" s="134">
        <f>'ADJ DETAIL INPUT'!BD21</f>
        <v>0</v>
      </c>
      <c r="BA22" s="134">
        <f>'ADJ DETAIL INPUT'!BE21</f>
        <v>0</v>
      </c>
      <c r="BB22" s="134">
        <f>'ADJ DETAIL INPUT'!BF21</f>
        <v>0</v>
      </c>
      <c r="BC22" s="134">
        <f>'ADJ DETAIL INPUT'!BG21</f>
        <v>0</v>
      </c>
      <c r="BD22" s="134">
        <f>'ADJ DETAIL INPUT'!BH21</f>
        <v>0</v>
      </c>
    </row>
    <row r="23" spans="1:56">
      <c r="A23" s="116">
        <v>6</v>
      </c>
      <c r="C23" s="118" t="s">
        <v>38</v>
      </c>
      <c r="D23" s="118"/>
      <c r="E23" s="134">
        <f>'ADJ DETAIL INPUT'!E22</f>
        <v>869</v>
      </c>
      <c r="F23" s="134">
        <f>'ADJ DETAIL INPUT'!F22</f>
        <v>0</v>
      </c>
      <c r="G23" s="134">
        <f>'ADJ DETAIL INPUT'!G22</f>
        <v>0</v>
      </c>
      <c r="H23" s="134">
        <f>'ADJ DETAIL INPUT'!H22</f>
        <v>0</v>
      </c>
      <c r="I23" s="134">
        <f>'ADJ DETAIL INPUT'!I22</f>
        <v>0</v>
      </c>
      <c r="J23" s="134">
        <f>'ADJ DETAIL INPUT'!J22</f>
        <v>0</v>
      </c>
      <c r="K23" s="134">
        <f>'ADJ DETAIL INPUT'!K22</f>
        <v>0</v>
      </c>
      <c r="L23" s="134">
        <f>'ADJ DETAIL INPUT'!L22</f>
        <v>0</v>
      </c>
      <c r="M23" s="134">
        <f>'ADJ DETAIL INPUT'!M22</f>
        <v>0</v>
      </c>
      <c r="N23" s="134">
        <f>'ADJ DETAIL INPUT'!N22</f>
        <v>0</v>
      </c>
      <c r="O23" s="134">
        <f>'ADJ DETAIL INPUT'!O22</f>
        <v>0</v>
      </c>
      <c r="P23" s="134">
        <f>'ADJ DETAIL INPUT'!P22</f>
        <v>0</v>
      </c>
      <c r="Q23" s="134">
        <f>'ADJ DETAIL INPUT'!Q22</f>
        <v>0</v>
      </c>
      <c r="R23" s="134">
        <f>'ADJ DETAIL INPUT'!R22</f>
        <v>0</v>
      </c>
      <c r="S23" s="134">
        <f>'ADJ DETAIL INPUT'!S22</f>
        <v>0</v>
      </c>
      <c r="T23" s="134">
        <f>'ADJ DETAIL INPUT'!T22</f>
        <v>0</v>
      </c>
      <c r="U23" s="134">
        <f>'ADJ DETAIL INPUT'!U22</f>
        <v>0</v>
      </c>
      <c r="V23" s="134">
        <f>'ADJ DETAIL INPUT'!V22</f>
        <v>0</v>
      </c>
      <c r="W23" s="134">
        <f>'ADJ DETAIL INPUT'!W22</f>
        <v>0</v>
      </c>
      <c r="X23" s="134">
        <f>'ADJ DETAIL INPUT'!X22</f>
        <v>0</v>
      </c>
      <c r="Y23" s="134">
        <f>'ADJ DETAIL INPUT'!Z22</f>
        <v>0</v>
      </c>
      <c r="Z23" s="134">
        <f>'ADJ DETAIL INPUT'!AA22</f>
        <v>0</v>
      </c>
      <c r="AA23" s="134">
        <f>'ADJ DETAIL INPUT'!AB22</f>
        <v>0</v>
      </c>
      <c r="AB23" s="134">
        <f>'ADJ DETAIL INPUT'!AC22</f>
        <v>0</v>
      </c>
      <c r="AC23" s="134">
        <f>'ADJ DETAIL INPUT'!AD22</f>
        <v>68.5</v>
      </c>
      <c r="AD23" s="134">
        <f>'ADJ DETAIL INPUT'!AE22</f>
        <v>0</v>
      </c>
      <c r="AE23" s="134">
        <f>'ADJ DETAIL INPUT'!AF22</f>
        <v>1.7</v>
      </c>
      <c r="AF23" s="134">
        <f>'ADJ DETAIL INPUT'!AG22</f>
        <v>0</v>
      </c>
      <c r="AG23" s="134">
        <f>'ADJ DETAIL INPUT'!AH22</f>
        <v>0</v>
      </c>
      <c r="AH23" s="134">
        <f>'ADJ DETAIL INPUT'!AI22</f>
        <v>0</v>
      </c>
      <c r="AI23" s="134">
        <f>'ADJ DETAIL INPUT'!AJ22</f>
        <v>0</v>
      </c>
      <c r="AJ23" s="134">
        <f>'ADJ DETAIL INPUT'!AK22</f>
        <v>0</v>
      </c>
      <c r="AK23" s="134">
        <f>'ADJ DETAIL INPUT'!AL22</f>
        <v>0</v>
      </c>
      <c r="AL23" s="134">
        <f>'ADJ DETAIL INPUT'!AM22</f>
        <v>12.583</v>
      </c>
      <c r="AM23" s="134">
        <f>'ADJ DETAIL INPUT'!AN22</f>
        <v>0</v>
      </c>
      <c r="AN23" s="134">
        <f>'ADJ DETAIL INPUT'!AO22</f>
        <v>0</v>
      </c>
      <c r="AO23" s="134">
        <f>'ADJ DETAIL INPUT'!AP22</f>
        <v>0</v>
      </c>
      <c r="AP23" s="134">
        <f>'ADJ DETAIL INPUT'!AQ22</f>
        <v>0</v>
      </c>
      <c r="AQ23" s="134">
        <f>'ADJ DETAIL INPUT'!AR22</f>
        <v>0</v>
      </c>
      <c r="AR23" s="134">
        <f>'ADJ DETAIL INPUT'!AS22</f>
        <v>0</v>
      </c>
      <c r="AS23" s="134">
        <f>'ADJ DETAIL INPUT'!AT22</f>
        <v>0</v>
      </c>
      <c r="AT23" s="134">
        <f>'ADJ DETAIL INPUT'!AU22</f>
        <v>0</v>
      </c>
      <c r="AU23" s="134">
        <f>'ADJ DETAIL INPUT'!AY22</f>
        <v>0</v>
      </c>
      <c r="AV23" s="134">
        <f>'ADJ DETAIL INPUT'!AZ22</f>
        <v>0</v>
      </c>
      <c r="AW23" s="134">
        <f>'ADJ DETAIL INPUT'!BA22</f>
        <v>26</v>
      </c>
      <c r="AX23" s="134">
        <f>'ADJ DETAIL INPUT'!BB22</f>
        <v>5.9</v>
      </c>
      <c r="AY23" s="134">
        <f>'ADJ DETAIL INPUT'!BC22</f>
        <v>0</v>
      </c>
      <c r="AZ23" s="134">
        <f>'ADJ DETAIL INPUT'!BD22</f>
        <v>0</v>
      </c>
      <c r="BA23" s="134">
        <f>'ADJ DETAIL INPUT'!BE22</f>
        <v>5.0330000000000004</v>
      </c>
      <c r="BB23" s="134">
        <f>'ADJ DETAIL INPUT'!BF22</f>
        <v>0</v>
      </c>
      <c r="BC23" s="134">
        <f>'ADJ DETAIL INPUT'!BG22</f>
        <v>0</v>
      </c>
      <c r="BD23" s="134">
        <f>'ADJ DETAIL INPUT'!BH22</f>
        <v>0</v>
      </c>
    </row>
    <row r="24" spans="1:56">
      <c r="A24" s="116">
        <v>7</v>
      </c>
      <c r="C24" s="118" t="s">
        <v>39</v>
      </c>
      <c r="D24" s="118"/>
      <c r="E24" s="135">
        <f>'ADJ DETAIL INPUT'!E23</f>
        <v>8789</v>
      </c>
      <c r="F24" s="135">
        <f>'ADJ DETAIL INPUT'!F23</f>
        <v>0</v>
      </c>
      <c r="G24" s="135">
        <f>'ADJ DETAIL INPUT'!G23</f>
        <v>0</v>
      </c>
      <c r="H24" s="135">
        <f>'ADJ DETAIL INPUT'!H23</f>
        <v>0</v>
      </c>
      <c r="I24" s="135">
        <f>'ADJ DETAIL INPUT'!I23</f>
        <v>0</v>
      </c>
      <c r="J24" s="135">
        <f>'ADJ DETAIL INPUT'!J23</f>
        <v>0</v>
      </c>
      <c r="K24" s="135">
        <f>'ADJ DETAIL INPUT'!K23</f>
        <v>0</v>
      </c>
      <c r="L24" s="135">
        <f>'ADJ DETAIL INPUT'!L23</f>
        <v>0</v>
      </c>
      <c r="M24" s="135">
        <f>'ADJ DETAIL INPUT'!M23</f>
        <v>0</v>
      </c>
      <c r="N24" s="135">
        <f>'ADJ DETAIL INPUT'!N23</f>
        <v>0</v>
      </c>
      <c r="O24" s="135">
        <f>'ADJ DETAIL INPUT'!O23</f>
        <v>0</v>
      </c>
      <c r="P24" s="135">
        <f>'ADJ DETAIL INPUT'!P23</f>
        <v>0</v>
      </c>
      <c r="Q24" s="135">
        <f>'ADJ DETAIL INPUT'!Q23</f>
        <v>0</v>
      </c>
      <c r="R24" s="135">
        <f>'ADJ DETAIL INPUT'!R23</f>
        <v>0</v>
      </c>
      <c r="S24" s="135">
        <f>'ADJ DETAIL INPUT'!S23</f>
        <v>-8789</v>
      </c>
      <c r="T24" s="135">
        <f>'ADJ DETAIL INPUT'!T23</f>
        <v>0</v>
      </c>
      <c r="U24" s="135">
        <f>'ADJ DETAIL INPUT'!U23</f>
        <v>0</v>
      </c>
      <c r="V24" s="135">
        <f>'ADJ DETAIL INPUT'!V23</f>
        <v>0</v>
      </c>
      <c r="W24" s="135">
        <f>'ADJ DETAIL INPUT'!W23</f>
        <v>0</v>
      </c>
      <c r="X24" s="135">
        <f>'ADJ DETAIL INPUT'!X23</f>
        <v>0</v>
      </c>
      <c r="Y24" s="135">
        <f>'ADJ DETAIL INPUT'!Z23</f>
        <v>0</v>
      </c>
      <c r="Z24" s="135">
        <f>'ADJ DETAIL INPUT'!AA23</f>
        <v>0</v>
      </c>
      <c r="AA24" s="135">
        <f>'ADJ DETAIL INPUT'!AB23</f>
        <v>0</v>
      </c>
      <c r="AB24" s="135">
        <f>'ADJ DETAIL INPUT'!AC23</f>
        <v>0</v>
      </c>
      <c r="AC24" s="135">
        <f>'ADJ DETAIL INPUT'!AD23</f>
        <v>0</v>
      </c>
      <c r="AD24" s="135">
        <f>'ADJ DETAIL INPUT'!AE23</f>
        <v>0</v>
      </c>
      <c r="AE24" s="135">
        <f>'ADJ DETAIL INPUT'!AF23</f>
        <v>0</v>
      </c>
      <c r="AF24" s="135">
        <f>'ADJ DETAIL INPUT'!AG23</f>
        <v>0</v>
      </c>
      <c r="AG24" s="135">
        <f>'ADJ DETAIL INPUT'!AH23</f>
        <v>0</v>
      </c>
      <c r="AH24" s="135">
        <f>'ADJ DETAIL INPUT'!AI23</f>
        <v>0</v>
      </c>
      <c r="AI24" s="135">
        <f>'ADJ DETAIL INPUT'!AJ23</f>
        <v>0</v>
      </c>
      <c r="AJ24" s="135">
        <f>'ADJ DETAIL INPUT'!AK23</f>
        <v>0</v>
      </c>
      <c r="AK24" s="135">
        <f>'ADJ DETAIL INPUT'!AL23</f>
        <v>0</v>
      </c>
      <c r="AL24" s="135">
        <f>'ADJ DETAIL INPUT'!AM23</f>
        <v>0</v>
      </c>
      <c r="AM24" s="135">
        <f>'ADJ DETAIL INPUT'!AN23</f>
        <v>0</v>
      </c>
      <c r="AN24" s="135">
        <f>'ADJ DETAIL INPUT'!AO23</f>
        <v>0</v>
      </c>
      <c r="AO24" s="135">
        <f>'ADJ DETAIL INPUT'!AP23</f>
        <v>0</v>
      </c>
      <c r="AP24" s="135">
        <f>'ADJ DETAIL INPUT'!AQ23</f>
        <v>0</v>
      </c>
      <c r="AQ24" s="135">
        <f>'ADJ DETAIL INPUT'!AR23</f>
        <v>0</v>
      </c>
      <c r="AR24" s="135">
        <f>'ADJ DETAIL INPUT'!AS23</f>
        <v>0</v>
      </c>
      <c r="AS24" s="135">
        <f>'ADJ DETAIL INPUT'!AT23</f>
        <v>0</v>
      </c>
      <c r="AT24" s="135">
        <f>'ADJ DETAIL INPUT'!AU23</f>
        <v>0</v>
      </c>
      <c r="AU24" s="135">
        <f>'ADJ DETAIL INPUT'!AY23</f>
        <v>0</v>
      </c>
      <c r="AV24" s="135">
        <f>'ADJ DETAIL INPUT'!AZ23</f>
        <v>0</v>
      </c>
      <c r="AW24" s="135">
        <f>'ADJ DETAIL INPUT'!BA23</f>
        <v>0</v>
      </c>
      <c r="AX24" s="135">
        <f>'ADJ DETAIL INPUT'!BB23</f>
        <v>0</v>
      </c>
      <c r="AY24" s="135">
        <f>'ADJ DETAIL INPUT'!BC23</f>
        <v>0</v>
      </c>
      <c r="AZ24" s="135">
        <f>'ADJ DETAIL INPUT'!BD23</f>
        <v>0</v>
      </c>
      <c r="BA24" s="135">
        <f>'ADJ DETAIL INPUT'!BE23</f>
        <v>0</v>
      </c>
      <c r="BB24" s="135">
        <f>'ADJ DETAIL INPUT'!BF23</f>
        <v>0</v>
      </c>
      <c r="BC24" s="135">
        <f>'ADJ DETAIL INPUT'!BG23</f>
        <v>0</v>
      </c>
      <c r="BD24" s="135">
        <f>'ADJ DETAIL INPUT'!BH23</f>
        <v>0</v>
      </c>
    </row>
    <row r="25" spans="1:56">
      <c r="A25" s="116">
        <v>8</v>
      </c>
      <c r="B25" s="118" t="s">
        <v>40</v>
      </c>
      <c r="C25" s="118"/>
      <c r="E25" s="136">
        <f>SUM(E22:E24)</f>
        <v>149479</v>
      </c>
      <c r="F25" s="136">
        <f t="shared" ref="F25:R25" si="8">SUM(F22:F24)</f>
        <v>0</v>
      </c>
      <c r="G25" s="136">
        <f t="shared" si="8"/>
        <v>0</v>
      </c>
      <c r="H25" s="136">
        <f t="shared" si="8"/>
        <v>0</v>
      </c>
      <c r="I25" s="136">
        <f t="shared" si="8"/>
        <v>0</v>
      </c>
      <c r="J25" s="136">
        <f t="shared" si="8"/>
        <v>0</v>
      </c>
      <c r="K25" s="136">
        <f t="shared" si="8"/>
        <v>0</v>
      </c>
      <c r="L25" s="136">
        <f t="shared" si="8"/>
        <v>0</v>
      </c>
      <c r="M25" s="136">
        <f t="shared" si="8"/>
        <v>0</v>
      </c>
      <c r="N25" s="136">
        <f t="shared" si="8"/>
        <v>0</v>
      </c>
      <c r="O25" s="136">
        <f t="shared" si="8"/>
        <v>0</v>
      </c>
      <c r="P25" s="136">
        <f t="shared" si="8"/>
        <v>0</v>
      </c>
      <c r="Q25" s="136">
        <f t="shared" si="8"/>
        <v>0</v>
      </c>
      <c r="R25" s="136">
        <f t="shared" si="8"/>
        <v>-57</v>
      </c>
      <c r="S25" s="136">
        <f t="shared" ref="S25:T25" si="9">SUM(S22:S24)</f>
        <v>-58183</v>
      </c>
      <c r="T25" s="136">
        <f t="shared" si="9"/>
        <v>0</v>
      </c>
      <c r="U25" s="136">
        <f t="shared" ref="U25" si="10">SUM(U22:U24)</f>
        <v>0</v>
      </c>
      <c r="V25" s="136">
        <f>SUM(V22:V24)</f>
        <v>0</v>
      </c>
      <c r="W25" s="136">
        <f>SUM(W22:W24)</f>
        <v>0</v>
      </c>
      <c r="X25" s="136">
        <f>SUM(X22:X24)</f>
        <v>0</v>
      </c>
      <c r="Y25" s="136">
        <f>SUM(Y22:Y24)</f>
        <v>-90370</v>
      </c>
      <c r="Z25" s="136">
        <f t="shared" ref="Z25:BD25" si="11">SUM(Z22:Z24)</f>
        <v>0</v>
      </c>
      <c r="AA25" s="136">
        <f t="shared" si="11"/>
        <v>0</v>
      </c>
      <c r="AB25" s="136">
        <f t="shared" si="11"/>
        <v>0</v>
      </c>
      <c r="AC25" s="136">
        <f t="shared" si="11"/>
        <v>68.5</v>
      </c>
      <c r="AD25" s="136">
        <f t="shared" si="11"/>
        <v>0</v>
      </c>
      <c r="AE25" s="136">
        <f t="shared" si="11"/>
        <v>1.7</v>
      </c>
      <c r="AF25" s="136">
        <f t="shared" ref="AF25" si="12">SUM(AF22:AF24)</f>
        <v>0</v>
      </c>
      <c r="AG25" s="136">
        <f t="shared" si="11"/>
        <v>0</v>
      </c>
      <c r="AH25" s="136">
        <f t="shared" si="11"/>
        <v>0</v>
      </c>
      <c r="AI25" s="136">
        <f t="shared" si="11"/>
        <v>0</v>
      </c>
      <c r="AJ25" s="136">
        <f t="shared" si="11"/>
        <v>0</v>
      </c>
      <c r="AK25" s="136">
        <f t="shared" si="11"/>
        <v>0</v>
      </c>
      <c r="AL25" s="136">
        <f t="shared" si="11"/>
        <v>12.583</v>
      </c>
      <c r="AM25" s="136">
        <f t="shared" si="11"/>
        <v>0</v>
      </c>
      <c r="AN25" s="136">
        <f t="shared" ref="AN25:AO25" si="13">SUM(AN22:AN24)</f>
        <v>0</v>
      </c>
      <c r="AO25" s="136">
        <f t="shared" si="13"/>
        <v>0</v>
      </c>
      <c r="AP25" s="136">
        <f t="shared" ref="AP25" si="14">SUM(AP22:AP24)</f>
        <v>0</v>
      </c>
      <c r="AQ25" s="136">
        <f t="shared" si="11"/>
        <v>0</v>
      </c>
      <c r="AR25" s="136">
        <f t="shared" si="11"/>
        <v>0</v>
      </c>
      <c r="AS25" s="136">
        <f t="shared" si="11"/>
        <v>0</v>
      </c>
      <c r="AT25" s="136">
        <f t="shared" si="11"/>
        <v>0</v>
      </c>
      <c r="AU25" s="136">
        <f t="shared" ref="AU25" si="15">SUM(AU22:AU24)</f>
        <v>0</v>
      </c>
      <c r="AV25" s="136">
        <f t="shared" si="11"/>
        <v>0</v>
      </c>
      <c r="AW25" s="136">
        <f t="shared" si="11"/>
        <v>26</v>
      </c>
      <c r="AX25" s="136">
        <f t="shared" si="11"/>
        <v>5.9</v>
      </c>
      <c r="AY25" s="136">
        <f t="shared" si="11"/>
        <v>0</v>
      </c>
      <c r="AZ25" s="136">
        <f t="shared" si="11"/>
        <v>0</v>
      </c>
      <c r="BA25" s="136">
        <f t="shared" si="11"/>
        <v>5.0330000000000004</v>
      </c>
      <c r="BB25" s="136">
        <f t="shared" si="11"/>
        <v>0</v>
      </c>
      <c r="BC25" s="136">
        <f t="shared" si="11"/>
        <v>0</v>
      </c>
      <c r="BD25" s="136">
        <f t="shared" si="11"/>
        <v>0</v>
      </c>
    </row>
    <row r="26" spans="1:56">
      <c r="B26" s="118"/>
      <c r="C26" s="118"/>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row>
    <row r="27" spans="1:56">
      <c r="B27" s="118" t="s">
        <v>41</v>
      </c>
      <c r="D27" s="118"/>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row>
    <row r="28" spans="1:56">
      <c r="A28" s="116">
        <v>9</v>
      </c>
      <c r="C28" s="118" t="s">
        <v>42</v>
      </c>
      <c r="D28" s="118"/>
      <c r="E28" s="134">
        <f>'ADJ DETAIL INPUT'!E27</f>
        <v>2062</v>
      </c>
      <c r="F28" s="134">
        <f>'ADJ DETAIL INPUT'!F27</f>
        <v>0</v>
      </c>
      <c r="G28" s="134">
        <f>'ADJ DETAIL INPUT'!G27</f>
        <v>0</v>
      </c>
      <c r="H28" s="134">
        <f>'ADJ DETAIL INPUT'!H27</f>
        <v>0</v>
      </c>
      <c r="I28" s="134">
        <f>'ADJ DETAIL INPUT'!I27</f>
        <v>0</v>
      </c>
      <c r="J28" s="134">
        <f>'ADJ DETAIL INPUT'!J27</f>
        <v>0</v>
      </c>
      <c r="K28" s="134">
        <f>'ADJ DETAIL INPUT'!K27</f>
        <v>0</v>
      </c>
      <c r="L28" s="134">
        <f>'ADJ DETAIL INPUT'!L27</f>
        <v>0</v>
      </c>
      <c r="M28" s="134">
        <f>'ADJ DETAIL INPUT'!M27</f>
        <v>0</v>
      </c>
      <c r="N28" s="134">
        <f>'ADJ DETAIL INPUT'!N27</f>
        <v>0</v>
      </c>
      <c r="O28" s="134">
        <f>'ADJ DETAIL INPUT'!O27</f>
        <v>0</v>
      </c>
      <c r="P28" s="134">
        <f>'ADJ DETAIL INPUT'!P27</f>
        <v>0</v>
      </c>
      <c r="Q28" s="134">
        <f>'ADJ DETAIL INPUT'!Q27</f>
        <v>0</v>
      </c>
      <c r="R28" s="134">
        <f>'ADJ DETAIL INPUT'!R27</f>
        <v>0</v>
      </c>
      <c r="S28" s="134">
        <f>'ADJ DETAIL INPUT'!S27</f>
        <v>0</v>
      </c>
      <c r="T28" s="134">
        <f>'ADJ DETAIL INPUT'!T27</f>
        <v>0</v>
      </c>
      <c r="U28" s="134">
        <f>'ADJ DETAIL INPUT'!U27</f>
        <v>0</v>
      </c>
      <c r="V28" s="134">
        <f>'ADJ DETAIL INPUT'!V27</f>
        <v>0</v>
      </c>
      <c r="W28" s="134">
        <f>'ADJ DETAIL INPUT'!W27</f>
        <v>0</v>
      </c>
      <c r="X28" s="134">
        <f>'ADJ DETAIL INPUT'!X27</f>
        <v>0</v>
      </c>
      <c r="Y28" s="134">
        <f>'ADJ DETAIL INPUT'!Z27</f>
        <v>0</v>
      </c>
      <c r="Z28" s="134">
        <f>'ADJ DETAIL INPUT'!AA27</f>
        <v>0</v>
      </c>
      <c r="AA28" s="134">
        <f>'ADJ DETAIL INPUT'!AB27</f>
        <v>0</v>
      </c>
      <c r="AB28" s="134">
        <f>'ADJ DETAIL INPUT'!AC27</f>
        <v>0</v>
      </c>
      <c r="AC28" s="134">
        <f>'ADJ DETAIL INPUT'!AD27</f>
        <v>0.3</v>
      </c>
      <c r="AD28" s="134">
        <f>'ADJ DETAIL INPUT'!AE27</f>
        <v>0</v>
      </c>
      <c r="AE28" s="134">
        <f>'ADJ DETAIL INPUT'!AF27</f>
        <v>0</v>
      </c>
      <c r="AF28" s="134">
        <f>'ADJ DETAIL INPUT'!AG27</f>
        <v>0</v>
      </c>
      <c r="AG28" s="134">
        <f>'ADJ DETAIL INPUT'!AH27</f>
        <v>0</v>
      </c>
      <c r="AH28" s="134">
        <f>'ADJ DETAIL INPUT'!AI27</f>
        <v>0</v>
      </c>
      <c r="AI28" s="134">
        <f>'ADJ DETAIL INPUT'!AJ27</f>
        <v>0</v>
      </c>
      <c r="AJ28" s="134">
        <f>'ADJ DETAIL INPUT'!AK27</f>
        <v>0</v>
      </c>
      <c r="AK28" s="134">
        <f>'ADJ DETAIL INPUT'!AL27</f>
        <v>0</v>
      </c>
      <c r="AL28" s="134">
        <f>'ADJ DETAIL INPUT'!AM27</f>
        <v>235.834</v>
      </c>
      <c r="AM28" s="134">
        <f>'ADJ DETAIL INPUT'!AN27</f>
        <v>0</v>
      </c>
      <c r="AN28" s="134">
        <f>'ADJ DETAIL INPUT'!AO27</f>
        <v>0</v>
      </c>
      <c r="AO28" s="134">
        <f>'ADJ DETAIL INPUT'!AP27</f>
        <v>0</v>
      </c>
      <c r="AP28" s="134">
        <f>'ADJ DETAIL INPUT'!AQ27</f>
        <v>0</v>
      </c>
      <c r="AQ28" s="134">
        <f>'ADJ DETAIL INPUT'!AR27</f>
        <v>0</v>
      </c>
      <c r="AR28" s="134">
        <f>'ADJ DETAIL INPUT'!AS27</f>
        <v>0</v>
      </c>
      <c r="AS28" s="134">
        <f>'ADJ DETAIL INPUT'!AT27</f>
        <v>0</v>
      </c>
      <c r="AT28" s="134">
        <f>'ADJ DETAIL INPUT'!AU27</f>
        <v>0</v>
      </c>
      <c r="AU28" s="134">
        <f>'ADJ DETAIL INPUT'!AY27</f>
        <v>0</v>
      </c>
      <c r="AV28" s="134">
        <f>'ADJ DETAIL INPUT'!AZ27</f>
        <v>0</v>
      </c>
      <c r="AW28" s="134">
        <f>'ADJ DETAIL INPUT'!BA27</f>
        <v>0</v>
      </c>
      <c r="AX28" s="134">
        <f>'ADJ DETAIL INPUT'!BB27</f>
        <v>0</v>
      </c>
      <c r="AY28" s="134">
        <f>'ADJ DETAIL INPUT'!BC27</f>
        <v>0</v>
      </c>
      <c r="AZ28" s="134">
        <f>'ADJ DETAIL INPUT'!BD27</f>
        <v>0</v>
      </c>
      <c r="BA28" s="134">
        <f>'ADJ DETAIL INPUT'!BE27</f>
        <v>94.334000000000003</v>
      </c>
      <c r="BB28" s="134">
        <f>'ADJ DETAIL INPUT'!BF27</f>
        <v>0</v>
      </c>
      <c r="BC28" s="134">
        <f>'ADJ DETAIL INPUT'!BG27</f>
        <v>0</v>
      </c>
      <c r="BD28" s="134">
        <f>'ADJ DETAIL INPUT'!BH27</f>
        <v>0</v>
      </c>
    </row>
    <row r="29" spans="1:56">
      <c r="A29" s="116">
        <v>10</v>
      </c>
      <c r="C29" s="118" t="s">
        <v>188</v>
      </c>
      <c r="D29" s="118"/>
      <c r="E29" s="134">
        <f>'ADJ DETAIL INPUT'!E28</f>
        <v>512</v>
      </c>
      <c r="F29" s="134">
        <f>'ADJ DETAIL INPUT'!F28</f>
        <v>0</v>
      </c>
      <c r="G29" s="134">
        <f>'ADJ DETAIL INPUT'!G28</f>
        <v>0</v>
      </c>
      <c r="H29" s="134">
        <f>'ADJ DETAIL INPUT'!H28</f>
        <v>0</v>
      </c>
      <c r="I29" s="134">
        <f>'ADJ DETAIL INPUT'!I28</f>
        <v>0</v>
      </c>
      <c r="J29" s="134">
        <f>'ADJ DETAIL INPUT'!J28</f>
        <v>0</v>
      </c>
      <c r="K29" s="134">
        <f>'ADJ DETAIL INPUT'!K28</f>
        <v>0</v>
      </c>
      <c r="L29" s="134">
        <f>'ADJ DETAIL INPUT'!L28</f>
        <v>0</v>
      </c>
      <c r="M29" s="134">
        <f>'ADJ DETAIL INPUT'!M28</f>
        <v>0</v>
      </c>
      <c r="N29" s="134">
        <f>'ADJ DETAIL INPUT'!N28</f>
        <v>0</v>
      </c>
      <c r="O29" s="134">
        <f>'ADJ DETAIL INPUT'!O28</f>
        <v>0</v>
      </c>
      <c r="P29" s="134">
        <f>'ADJ DETAIL INPUT'!P28</f>
        <v>0</v>
      </c>
      <c r="Q29" s="134">
        <f>'ADJ DETAIL INPUT'!Q28</f>
        <v>0</v>
      </c>
      <c r="R29" s="134">
        <f>'ADJ DETAIL INPUT'!R28</f>
        <v>0</v>
      </c>
      <c r="S29" s="134">
        <f>'ADJ DETAIL INPUT'!S28</f>
        <v>0</v>
      </c>
      <c r="T29" s="134">
        <f>'ADJ DETAIL INPUT'!T28</f>
        <v>0</v>
      </c>
      <c r="U29" s="134">
        <f>'ADJ DETAIL INPUT'!U28</f>
        <v>0</v>
      </c>
      <c r="V29" s="134">
        <f>'ADJ DETAIL INPUT'!V28</f>
        <v>0</v>
      </c>
      <c r="W29" s="134">
        <f>'ADJ DETAIL INPUT'!W28</f>
        <v>0</v>
      </c>
      <c r="X29" s="134">
        <f>'ADJ DETAIL INPUT'!X28</f>
        <v>0</v>
      </c>
      <c r="Y29" s="134">
        <f>'ADJ DETAIL INPUT'!Z28</f>
        <v>0</v>
      </c>
      <c r="Z29" s="134">
        <f>'ADJ DETAIL INPUT'!AA28</f>
        <v>0</v>
      </c>
      <c r="AA29" s="134">
        <f>'ADJ DETAIL INPUT'!AB28</f>
        <v>0</v>
      </c>
      <c r="AB29" s="134">
        <f>'ADJ DETAIL INPUT'!AC28</f>
        <v>0</v>
      </c>
      <c r="AC29" s="134">
        <f>'ADJ DETAIL INPUT'!AD28</f>
        <v>0</v>
      </c>
      <c r="AD29" s="134">
        <f>'ADJ DETAIL INPUT'!AE28</f>
        <v>0</v>
      </c>
      <c r="AE29" s="134">
        <f>'ADJ DETAIL INPUT'!AF28</f>
        <v>0</v>
      </c>
      <c r="AF29" s="134">
        <f>'ADJ DETAIL INPUT'!AG28</f>
        <v>0</v>
      </c>
      <c r="AG29" s="134">
        <f>'ADJ DETAIL INPUT'!AH28</f>
        <v>0</v>
      </c>
      <c r="AH29" s="134">
        <f>'ADJ DETAIL INPUT'!AI28</f>
        <v>0</v>
      </c>
      <c r="AI29" s="134">
        <f>'ADJ DETAIL INPUT'!AJ28</f>
        <v>0</v>
      </c>
      <c r="AJ29" s="134">
        <f>'ADJ DETAIL INPUT'!AK28</f>
        <v>0</v>
      </c>
      <c r="AK29" s="134">
        <f>'ADJ DETAIL INPUT'!AL28</f>
        <v>0</v>
      </c>
      <c r="AL29" s="134">
        <f>'ADJ DETAIL INPUT'!AM28</f>
        <v>0</v>
      </c>
      <c r="AM29" s="134">
        <f>'ADJ DETAIL INPUT'!AN28</f>
        <v>12</v>
      </c>
      <c r="AN29" s="134">
        <f>'ADJ DETAIL INPUT'!AO28</f>
        <v>-6.8</v>
      </c>
      <c r="AO29" s="134">
        <f>'ADJ DETAIL INPUT'!AP28</f>
        <v>27</v>
      </c>
      <c r="AP29" s="134">
        <f>'ADJ DETAIL INPUT'!AQ28</f>
        <v>0</v>
      </c>
      <c r="AQ29" s="134">
        <f>'ADJ DETAIL INPUT'!AR28</f>
        <v>0</v>
      </c>
      <c r="AR29" s="134">
        <f>'ADJ DETAIL INPUT'!AS28</f>
        <v>0</v>
      </c>
      <c r="AS29" s="134">
        <f>'ADJ DETAIL INPUT'!AT28</f>
        <v>22</v>
      </c>
      <c r="AT29" s="134">
        <f>'ADJ DETAIL INPUT'!AU28</f>
        <v>0</v>
      </c>
      <c r="AU29" s="134">
        <f>'ADJ DETAIL INPUT'!AY28</f>
        <v>0</v>
      </c>
      <c r="AV29" s="134">
        <f>'ADJ DETAIL INPUT'!AZ28</f>
        <v>0</v>
      </c>
      <c r="AW29" s="134">
        <f>'ADJ DETAIL INPUT'!BA28</f>
        <v>0</v>
      </c>
      <c r="AX29" s="134">
        <f>'ADJ DETAIL INPUT'!BB28</f>
        <v>0</v>
      </c>
      <c r="AY29" s="134">
        <f>'ADJ DETAIL INPUT'!BC28</f>
        <v>0</v>
      </c>
      <c r="AZ29" s="134">
        <f>'ADJ DETAIL INPUT'!BD28</f>
        <v>0</v>
      </c>
      <c r="BA29" s="134">
        <f>'ADJ DETAIL INPUT'!BE28</f>
        <v>0</v>
      </c>
      <c r="BB29" s="134">
        <f>'ADJ DETAIL INPUT'!BF28</f>
        <v>22</v>
      </c>
      <c r="BC29" s="134">
        <f>'ADJ DETAIL INPUT'!BG28</f>
        <v>0</v>
      </c>
      <c r="BD29" s="134">
        <f>'ADJ DETAIL INPUT'!BH28</f>
        <v>0</v>
      </c>
    </row>
    <row r="30" spans="1:56">
      <c r="A30" s="116">
        <v>11</v>
      </c>
      <c r="C30" s="118" t="s">
        <v>20</v>
      </c>
      <c r="D30" s="118"/>
      <c r="E30" s="135">
        <f>'ADJ DETAIL INPUT'!E29</f>
        <v>161</v>
      </c>
      <c r="F30" s="135">
        <f>'ADJ DETAIL INPUT'!F29</f>
        <v>0</v>
      </c>
      <c r="G30" s="135">
        <f>'ADJ DETAIL INPUT'!G29</f>
        <v>0</v>
      </c>
      <c r="H30" s="135">
        <f>'ADJ DETAIL INPUT'!H29</f>
        <v>0</v>
      </c>
      <c r="I30" s="135">
        <f>'ADJ DETAIL INPUT'!I29</f>
        <v>0</v>
      </c>
      <c r="J30" s="135">
        <f>'ADJ DETAIL INPUT'!J29</f>
        <v>32</v>
      </c>
      <c r="K30" s="135">
        <f>'ADJ DETAIL INPUT'!K29</f>
        <v>0</v>
      </c>
      <c r="L30" s="135">
        <f>'ADJ DETAIL INPUT'!L29</f>
        <v>0</v>
      </c>
      <c r="M30" s="135">
        <f>'ADJ DETAIL INPUT'!M29</f>
        <v>0</v>
      </c>
      <c r="N30" s="135">
        <f>'ADJ DETAIL INPUT'!N29</f>
        <v>0</v>
      </c>
      <c r="O30" s="135">
        <f>'ADJ DETAIL INPUT'!O29</f>
        <v>0</v>
      </c>
      <c r="P30" s="135">
        <f>'ADJ DETAIL INPUT'!P29</f>
        <v>0</v>
      </c>
      <c r="Q30" s="135">
        <f>'ADJ DETAIL INPUT'!Q29</f>
        <v>0</v>
      </c>
      <c r="R30" s="135">
        <f>'ADJ DETAIL INPUT'!R29</f>
        <v>0</v>
      </c>
      <c r="S30" s="135">
        <f>'ADJ DETAIL INPUT'!S29</f>
        <v>0</v>
      </c>
      <c r="T30" s="135">
        <f>'ADJ DETAIL INPUT'!T29</f>
        <v>0</v>
      </c>
      <c r="U30" s="135">
        <f>'ADJ DETAIL INPUT'!U29</f>
        <v>0</v>
      </c>
      <c r="V30" s="135">
        <f>'ADJ DETAIL INPUT'!V29</f>
        <v>0</v>
      </c>
      <c r="W30" s="135">
        <f>'ADJ DETAIL INPUT'!W29</f>
        <v>0</v>
      </c>
      <c r="X30" s="135">
        <f>'ADJ DETAIL INPUT'!X29</f>
        <v>0</v>
      </c>
      <c r="Y30" s="135">
        <f>'ADJ DETAIL INPUT'!Z29</f>
        <v>0</v>
      </c>
      <c r="Z30" s="135">
        <f>'ADJ DETAIL INPUT'!AA29</f>
        <v>0</v>
      </c>
      <c r="AA30" s="135">
        <f>'ADJ DETAIL INPUT'!AB29</f>
        <v>0</v>
      </c>
      <c r="AB30" s="135">
        <f>'ADJ DETAIL INPUT'!AC29</f>
        <v>0</v>
      </c>
      <c r="AC30" s="135">
        <f>'ADJ DETAIL INPUT'!AD29</f>
        <v>0</v>
      </c>
      <c r="AD30" s="135">
        <f>'ADJ DETAIL INPUT'!AE29</f>
        <v>0</v>
      </c>
      <c r="AE30" s="135">
        <f>'ADJ DETAIL INPUT'!AF29</f>
        <v>0</v>
      </c>
      <c r="AF30" s="135">
        <f>'ADJ DETAIL INPUT'!AG29</f>
        <v>0</v>
      </c>
      <c r="AG30" s="135">
        <f>'ADJ DETAIL INPUT'!AH29</f>
        <v>0</v>
      </c>
      <c r="AH30" s="135">
        <f>'ADJ DETAIL INPUT'!AI29</f>
        <v>0</v>
      </c>
      <c r="AI30" s="135">
        <f>'ADJ DETAIL INPUT'!AJ29</f>
        <v>57</v>
      </c>
      <c r="AJ30" s="135">
        <f>'ADJ DETAIL INPUT'!AK29</f>
        <v>0</v>
      </c>
      <c r="AK30" s="135">
        <f>'ADJ DETAIL INPUT'!AL29</f>
        <v>0</v>
      </c>
      <c r="AL30" s="135">
        <f>'ADJ DETAIL INPUT'!AM29</f>
        <v>0</v>
      </c>
      <c r="AM30" s="135">
        <f>'ADJ DETAIL INPUT'!AN29</f>
        <v>0</v>
      </c>
      <c r="AN30" s="135">
        <f>'ADJ DETAIL INPUT'!AO29</f>
        <v>0</v>
      </c>
      <c r="AO30" s="135">
        <f>'ADJ DETAIL INPUT'!AP29</f>
        <v>0</v>
      </c>
      <c r="AP30" s="135">
        <f>'ADJ DETAIL INPUT'!AQ29</f>
        <v>0</v>
      </c>
      <c r="AQ30" s="135">
        <f>'ADJ DETAIL INPUT'!AR29</f>
        <v>0</v>
      </c>
      <c r="AR30" s="135">
        <f>'ADJ DETAIL INPUT'!AS29</f>
        <v>0</v>
      </c>
      <c r="AS30" s="135">
        <f>'ADJ DETAIL INPUT'!AT29</f>
        <v>0</v>
      </c>
      <c r="AT30" s="135">
        <f>'ADJ DETAIL INPUT'!AU29</f>
        <v>0</v>
      </c>
      <c r="AU30" s="135">
        <f>'ADJ DETAIL INPUT'!AY29</f>
        <v>0</v>
      </c>
      <c r="AV30" s="135">
        <f>'ADJ DETAIL INPUT'!AZ29</f>
        <v>0</v>
      </c>
      <c r="AW30" s="135">
        <f>'ADJ DETAIL INPUT'!BA29</f>
        <v>0</v>
      </c>
      <c r="AX30" s="135">
        <f>'ADJ DETAIL INPUT'!BB29</f>
        <v>0</v>
      </c>
      <c r="AY30" s="135">
        <f>'ADJ DETAIL INPUT'!BC29</f>
        <v>2</v>
      </c>
      <c r="AZ30" s="135">
        <f>'ADJ DETAIL INPUT'!BD29</f>
        <v>0</v>
      </c>
      <c r="BA30" s="135">
        <f>'ADJ DETAIL INPUT'!BE29</f>
        <v>0</v>
      </c>
      <c r="BB30" s="135">
        <f>'ADJ DETAIL INPUT'!BF29</f>
        <v>0</v>
      </c>
      <c r="BC30" s="135">
        <f>'ADJ DETAIL INPUT'!BG29</f>
        <v>0</v>
      </c>
      <c r="BD30" s="135">
        <f>'ADJ DETAIL INPUT'!BH29</f>
        <v>0</v>
      </c>
    </row>
    <row r="31" spans="1:56">
      <c r="A31" s="116">
        <v>12</v>
      </c>
      <c r="B31" s="118" t="s">
        <v>44</v>
      </c>
      <c r="C31" s="118"/>
      <c r="E31" s="134">
        <f t="shared" ref="E31" si="16">SUM(E28:E30)</f>
        <v>2735</v>
      </c>
      <c r="F31" s="134">
        <f t="shared" ref="F31:R31" si="17">SUM(F28:F30)</f>
        <v>0</v>
      </c>
      <c r="G31" s="134">
        <f t="shared" si="17"/>
        <v>0</v>
      </c>
      <c r="H31" s="134">
        <f t="shared" si="17"/>
        <v>0</v>
      </c>
      <c r="I31" s="134">
        <f t="shared" si="17"/>
        <v>0</v>
      </c>
      <c r="J31" s="134">
        <f t="shared" si="17"/>
        <v>32</v>
      </c>
      <c r="K31" s="134">
        <f t="shared" si="17"/>
        <v>0</v>
      </c>
      <c r="L31" s="134">
        <f t="shared" si="17"/>
        <v>0</v>
      </c>
      <c r="M31" s="134">
        <f t="shared" si="17"/>
        <v>0</v>
      </c>
      <c r="N31" s="134">
        <f t="shared" si="17"/>
        <v>0</v>
      </c>
      <c r="O31" s="134">
        <f t="shared" si="17"/>
        <v>0</v>
      </c>
      <c r="P31" s="134">
        <f t="shared" si="17"/>
        <v>0</v>
      </c>
      <c r="Q31" s="134">
        <f t="shared" si="17"/>
        <v>0</v>
      </c>
      <c r="R31" s="134">
        <f t="shared" si="17"/>
        <v>0</v>
      </c>
      <c r="S31" s="134">
        <f t="shared" ref="S31:T31" si="18">SUM(S28:S30)</f>
        <v>0</v>
      </c>
      <c r="T31" s="134">
        <f t="shared" si="18"/>
        <v>0</v>
      </c>
      <c r="U31" s="134">
        <f t="shared" ref="U31" si="19">SUM(U28:U30)</f>
        <v>0</v>
      </c>
      <c r="V31" s="134">
        <f>SUM(V28:V30)</f>
        <v>0</v>
      </c>
      <c r="W31" s="134">
        <f>SUM(W28:W30)</f>
        <v>0</v>
      </c>
      <c r="X31" s="134">
        <f>SUM(X28:X30)</f>
        <v>0</v>
      </c>
      <c r="Y31" s="134">
        <f>SUM(Y28:Y30)</f>
        <v>0</v>
      </c>
      <c r="Z31" s="134">
        <f t="shared" ref="Z31:BD31" si="20">SUM(Z28:Z30)</f>
        <v>0</v>
      </c>
      <c r="AA31" s="134">
        <f t="shared" si="20"/>
        <v>0</v>
      </c>
      <c r="AB31" s="134">
        <f t="shared" si="20"/>
        <v>0</v>
      </c>
      <c r="AC31" s="134">
        <f t="shared" si="20"/>
        <v>0.3</v>
      </c>
      <c r="AD31" s="134">
        <f t="shared" si="20"/>
        <v>0</v>
      </c>
      <c r="AE31" s="134">
        <f t="shared" si="20"/>
        <v>0</v>
      </c>
      <c r="AF31" s="134">
        <f t="shared" ref="AF31" si="21">SUM(AF28:AF30)</f>
        <v>0</v>
      </c>
      <c r="AG31" s="134">
        <f t="shared" si="20"/>
        <v>0</v>
      </c>
      <c r="AH31" s="134">
        <f t="shared" si="20"/>
        <v>0</v>
      </c>
      <c r="AI31" s="134">
        <f t="shared" si="20"/>
        <v>57</v>
      </c>
      <c r="AJ31" s="134">
        <f t="shared" si="20"/>
        <v>0</v>
      </c>
      <c r="AK31" s="134">
        <f t="shared" si="20"/>
        <v>0</v>
      </c>
      <c r="AL31" s="134">
        <f t="shared" si="20"/>
        <v>235.834</v>
      </c>
      <c r="AM31" s="134">
        <f t="shared" si="20"/>
        <v>12</v>
      </c>
      <c r="AN31" s="134">
        <f t="shared" ref="AN31:AO31" si="22">SUM(AN28:AN30)</f>
        <v>-6.8</v>
      </c>
      <c r="AO31" s="134">
        <f t="shared" si="22"/>
        <v>27</v>
      </c>
      <c r="AP31" s="134">
        <f t="shared" ref="AP31" si="23">SUM(AP28:AP30)</f>
        <v>0</v>
      </c>
      <c r="AQ31" s="134">
        <f t="shared" si="20"/>
        <v>0</v>
      </c>
      <c r="AR31" s="134">
        <f t="shared" si="20"/>
        <v>0</v>
      </c>
      <c r="AS31" s="134">
        <f t="shared" si="20"/>
        <v>22</v>
      </c>
      <c r="AT31" s="134">
        <f t="shared" si="20"/>
        <v>0</v>
      </c>
      <c r="AU31" s="134">
        <f t="shared" ref="AU31" si="24">SUM(AU28:AU30)</f>
        <v>0</v>
      </c>
      <c r="AV31" s="134">
        <f t="shared" si="20"/>
        <v>0</v>
      </c>
      <c r="AW31" s="134">
        <f t="shared" si="20"/>
        <v>0</v>
      </c>
      <c r="AX31" s="134">
        <f t="shared" si="20"/>
        <v>0</v>
      </c>
      <c r="AY31" s="134">
        <f t="shared" si="20"/>
        <v>2</v>
      </c>
      <c r="AZ31" s="134">
        <f t="shared" si="20"/>
        <v>0</v>
      </c>
      <c r="BA31" s="134">
        <f t="shared" si="20"/>
        <v>94.334000000000003</v>
      </c>
      <c r="BB31" s="134">
        <f t="shared" si="20"/>
        <v>22</v>
      </c>
      <c r="BC31" s="134">
        <f t="shared" si="20"/>
        <v>0</v>
      </c>
      <c r="BD31" s="134">
        <f t="shared" si="20"/>
        <v>0</v>
      </c>
    </row>
    <row r="32" spans="1:56">
      <c r="B32" s="118"/>
      <c r="C32" s="118"/>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row>
    <row r="33" spans="1:56">
      <c r="B33" s="118" t="s">
        <v>45</v>
      </c>
      <c r="D33" s="118"/>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row>
    <row r="34" spans="1:56">
      <c r="A34" s="116">
        <v>13</v>
      </c>
      <c r="C34" s="118" t="s">
        <v>42</v>
      </c>
      <c r="D34" s="118"/>
      <c r="E34" s="134">
        <f>'ADJ DETAIL INPUT'!E33</f>
        <v>12916</v>
      </c>
      <c r="F34" s="134">
        <f>'ADJ DETAIL INPUT'!F33</f>
        <v>0</v>
      </c>
      <c r="G34" s="134">
        <f>'ADJ DETAIL INPUT'!G33</f>
        <v>0</v>
      </c>
      <c r="H34" s="134">
        <f>'ADJ DETAIL INPUT'!H33</f>
        <v>0</v>
      </c>
      <c r="I34" s="134">
        <f>'ADJ DETAIL INPUT'!I33</f>
        <v>0</v>
      </c>
      <c r="J34" s="134">
        <f>'ADJ DETAIL INPUT'!J33</f>
        <v>0</v>
      </c>
      <c r="K34" s="134">
        <f>'ADJ DETAIL INPUT'!K33</f>
        <v>0</v>
      </c>
      <c r="L34" s="134">
        <f>'ADJ DETAIL INPUT'!L33</f>
        <v>0</v>
      </c>
      <c r="M34" s="134">
        <f>'ADJ DETAIL INPUT'!M33</f>
        <v>0</v>
      </c>
      <c r="N34" s="134">
        <f>'ADJ DETAIL INPUT'!N33</f>
        <v>0</v>
      </c>
      <c r="O34" s="134">
        <f>'ADJ DETAIL INPUT'!O33</f>
        <v>0</v>
      </c>
      <c r="P34" s="134">
        <f>'ADJ DETAIL INPUT'!P33</f>
        <v>0</v>
      </c>
      <c r="Q34" s="134">
        <f>'ADJ DETAIL INPUT'!Q33</f>
        <v>0</v>
      </c>
      <c r="R34" s="134">
        <f>'ADJ DETAIL INPUT'!R33</f>
        <v>0</v>
      </c>
      <c r="S34" s="134">
        <f>'ADJ DETAIL INPUT'!S33</f>
        <v>0</v>
      </c>
      <c r="T34" s="134">
        <f>'ADJ DETAIL INPUT'!T33</f>
        <v>-5</v>
      </c>
      <c r="U34" s="134">
        <f>'ADJ DETAIL INPUT'!U33</f>
        <v>0</v>
      </c>
      <c r="V34" s="134">
        <f>'ADJ DETAIL INPUT'!V33</f>
        <v>0</v>
      </c>
      <c r="W34" s="134">
        <f>'ADJ DETAIL INPUT'!W33</f>
        <v>0</v>
      </c>
      <c r="X34" s="134">
        <f>'ADJ DETAIL INPUT'!X33</f>
        <v>0</v>
      </c>
      <c r="Y34" s="134">
        <f>'ADJ DETAIL INPUT'!Z33</f>
        <v>0</v>
      </c>
      <c r="Z34" s="134">
        <f>'ADJ DETAIL INPUT'!AA33</f>
        <v>0</v>
      </c>
      <c r="AA34" s="134">
        <f>'ADJ DETAIL INPUT'!AB33</f>
        <v>0</v>
      </c>
      <c r="AB34" s="134">
        <f>'ADJ DETAIL INPUT'!AC33</f>
        <v>-691</v>
      </c>
      <c r="AC34" s="134">
        <f>'ADJ DETAIL INPUT'!AD33</f>
        <v>815.1</v>
      </c>
      <c r="AD34" s="134">
        <f>'ADJ DETAIL INPUT'!AE33</f>
        <v>0</v>
      </c>
      <c r="AE34" s="134">
        <f>'ADJ DETAIL INPUT'!AF33</f>
        <v>18.399999999999999</v>
      </c>
      <c r="AF34" s="134">
        <f>'ADJ DETAIL INPUT'!AG33</f>
        <v>0</v>
      </c>
      <c r="AG34" s="134">
        <f>'ADJ DETAIL INPUT'!AH33</f>
        <v>0</v>
      </c>
      <c r="AH34" s="134">
        <f>'ADJ DETAIL INPUT'!AI33</f>
        <v>0</v>
      </c>
      <c r="AI34" s="134">
        <f>'ADJ DETAIL INPUT'!AJ33</f>
        <v>0</v>
      </c>
      <c r="AJ34" s="134">
        <f>'ADJ DETAIL INPUT'!AK33</f>
        <v>0</v>
      </c>
      <c r="AK34" s="134">
        <f>'ADJ DETAIL INPUT'!AL33</f>
        <v>0</v>
      </c>
      <c r="AL34" s="134">
        <f>'ADJ DETAIL INPUT'!AM33</f>
        <v>580.36699999999996</v>
      </c>
      <c r="AM34" s="134">
        <f>'ADJ DETAIL INPUT'!AN33</f>
        <v>0</v>
      </c>
      <c r="AN34" s="134">
        <f>'ADJ DETAIL INPUT'!AO33</f>
        <v>0</v>
      </c>
      <c r="AO34" s="134">
        <f>'ADJ DETAIL INPUT'!AP33</f>
        <v>0</v>
      </c>
      <c r="AP34" s="134">
        <f>'ADJ DETAIL INPUT'!AQ33</f>
        <v>0</v>
      </c>
      <c r="AQ34" s="134">
        <f>'ADJ DETAIL INPUT'!AR33</f>
        <v>0</v>
      </c>
      <c r="AR34" s="134">
        <f>'ADJ DETAIL INPUT'!AS33</f>
        <v>0</v>
      </c>
      <c r="AS34" s="134">
        <f>'ADJ DETAIL INPUT'!AT33</f>
        <v>0</v>
      </c>
      <c r="AT34" s="134">
        <f>'ADJ DETAIL INPUT'!AU33</f>
        <v>-190.31200000000001</v>
      </c>
      <c r="AU34" s="134">
        <f>'ADJ DETAIL INPUT'!AY33</f>
        <v>0</v>
      </c>
      <c r="AV34" s="134">
        <f>'ADJ DETAIL INPUT'!AZ33</f>
        <v>-105</v>
      </c>
      <c r="AW34" s="134">
        <f>'ADJ DETAIL INPUT'!BA33</f>
        <v>345.2</v>
      </c>
      <c r="AX34" s="134">
        <f>'ADJ DETAIL INPUT'!BB33</f>
        <v>64.599999999999994</v>
      </c>
      <c r="AY34" s="134">
        <f>'ADJ DETAIL INPUT'!BC33</f>
        <v>0</v>
      </c>
      <c r="AZ34" s="134">
        <f>'ADJ DETAIL INPUT'!BD33</f>
        <v>0</v>
      </c>
      <c r="BA34" s="134">
        <f>'ADJ DETAIL INPUT'!BE33</f>
        <v>232.14699999999999</v>
      </c>
      <c r="BB34" s="134">
        <f>'ADJ DETAIL INPUT'!BF33</f>
        <v>0</v>
      </c>
      <c r="BC34" s="134">
        <f>'ADJ DETAIL INPUT'!BG33</f>
        <v>-70.043999999999997</v>
      </c>
      <c r="BD34" s="134">
        <f>'ADJ DETAIL INPUT'!BH33</f>
        <v>0</v>
      </c>
    </row>
    <row r="35" spans="1:56">
      <c r="A35" s="116">
        <v>14</v>
      </c>
      <c r="C35" s="118" t="s">
        <v>188</v>
      </c>
      <c r="D35" s="118"/>
      <c r="E35" s="136">
        <f>'ADJ DETAIL INPUT'!E34</f>
        <v>16440</v>
      </c>
      <c r="F35" s="136">
        <f>'ADJ DETAIL INPUT'!F34</f>
        <v>0</v>
      </c>
      <c r="G35" s="136">
        <f>'ADJ DETAIL INPUT'!G34</f>
        <v>0</v>
      </c>
      <c r="H35" s="136">
        <f>'ADJ DETAIL INPUT'!H34</f>
        <v>0</v>
      </c>
      <c r="I35" s="136">
        <f>'ADJ DETAIL INPUT'!I34</f>
        <v>0</v>
      </c>
      <c r="J35" s="136">
        <f>'ADJ DETAIL INPUT'!J34</f>
        <v>0</v>
      </c>
      <c r="K35" s="136">
        <f>'ADJ DETAIL INPUT'!K34</f>
        <v>0</v>
      </c>
      <c r="L35" s="136">
        <f>'ADJ DETAIL INPUT'!L34</f>
        <v>0</v>
      </c>
      <c r="M35" s="136">
        <f>'ADJ DETAIL INPUT'!M34</f>
        <v>0</v>
      </c>
      <c r="N35" s="136">
        <f>'ADJ DETAIL INPUT'!N34</f>
        <v>0</v>
      </c>
      <c r="O35" s="136">
        <f>'ADJ DETAIL INPUT'!O34</f>
        <v>0</v>
      </c>
      <c r="P35" s="136">
        <f>'ADJ DETAIL INPUT'!P34</f>
        <v>0</v>
      </c>
      <c r="Q35" s="136">
        <f>'ADJ DETAIL INPUT'!Q34</f>
        <v>-11</v>
      </c>
      <c r="R35" s="136">
        <f>'ADJ DETAIL INPUT'!R34</f>
        <v>0</v>
      </c>
      <c r="S35" s="136">
        <f>'ADJ DETAIL INPUT'!S34</f>
        <v>0</v>
      </c>
      <c r="T35" s="136">
        <f>'ADJ DETAIL INPUT'!T34</f>
        <v>0</v>
      </c>
      <c r="U35" s="136">
        <f>'ADJ DETAIL INPUT'!U34</f>
        <v>0</v>
      </c>
      <c r="V35" s="136">
        <f>'ADJ DETAIL INPUT'!V34</f>
        <v>0</v>
      </c>
      <c r="W35" s="136">
        <f>'ADJ DETAIL INPUT'!W34</f>
        <v>0</v>
      </c>
      <c r="X35" s="136">
        <f>'ADJ DETAIL INPUT'!X34</f>
        <v>0</v>
      </c>
      <c r="Y35" s="136">
        <f>'ADJ DETAIL INPUT'!Z34</f>
        <v>0</v>
      </c>
      <c r="Z35" s="136">
        <f>'ADJ DETAIL INPUT'!AA34</f>
        <v>0</v>
      </c>
      <c r="AA35" s="136">
        <f>'ADJ DETAIL INPUT'!AB34</f>
        <v>0</v>
      </c>
      <c r="AB35" s="136">
        <f>'ADJ DETAIL INPUT'!AC34</f>
        <v>0</v>
      </c>
      <c r="AC35" s="136">
        <f>'ADJ DETAIL INPUT'!AD34</f>
        <v>0</v>
      </c>
      <c r="AD35" s="136">
        <f>'ADJ DETAIL INPUT'!AE34</f>
        <v>0</v>
      </c>
      <c r="AE35" s="136">
        <f>'ADJ DETAIL INPUT'!AF34</f>
        <v>0</v>
      </c>
      <c r="AF35" s="136">
        <f>'ADJ DETAIL INPUT'!AG34</f>
        <v>0</v>
      </c>
      <c r="AG35" s="136">
        <f>'ADJ DETAIL INPUT'!AH34</f>
        <v>0</v>
      </c>
      <c r="AH35" s="136">
        <f>'ADJ DETAIL INPUT'!AI34</f>
        <v>0</v>
      </c>
      <c r="AI35" s="136">
        <f>'ADJ DETAIL INPUT'!AJ34</f>
        <v>0</v>
      </c>
      <c r="AJ35" s="136">
        <f>'ADJ DETAIL INPUT'!AK34</f>
        <v>0</v>
      </c>
      <c r="AK35" s="136">
        <f>'ADJ DETAIL INPUT'!AL34</f>
        <v>0</v>
      </c>
      <c r="AL35" s="136">
        <f>'ADJ DETAIL INPUT'!AM34</f>
        <v>0</v>
      </c>
      <c r="AM35" s="136">
        <f>'ADJ DETAIL INPUT'!AN34</f>
        <v>633</v>
      </c>
      <c r="AN35" s="136">
        <f>'ADJ DETAIL INPUT'!AO34</f>
        <v>-433.7</v>
      </c>
      <c r="AO35" s="136">
        <f>'ADJ DETAIL INPUT'!AP34</f>
        <v>963</v>
      </c>
      <c r="AP35" s="136">
        <f>'ADJ DETAIL INPUT'!AQ34</f>
        <v>0</v>
      </c>
      <c r="AQ35" s="136">
        <f>'ADJ DETAIL INPUT'!AR34</f>
        <v>0</v>
      </c>
      <c r="AR35" s="136">
        <f>'ADJ DETAIL INPUT'!AS34</f>
        <v>0</v>
      </c>
      <c r="AS35" s="136">
        <f>'ADJ DETAIL INPUT'!AT34</f>
        <v>903</v>
      </c>
      <c r="AT35" s="136">
        <f>'ADJ DETAIL INPUT'!AU34</f>
        <v>0</v>
      </c>
      <c r="AU35" s="136">
        <f>'ADJ DETAIL INPUT'!AY34</f>
        <v>0</v>
      </c>
      <c r="AV35" s="136">
        <f>'ADJ DETAIL INPUT'!AZ34</f>
        <v>0</v>
      </c>
      <c r="AW35" s="136">
        <f>'ADJ DETAIL INPUT'!BA34</f>
        <v>0</v>
      </c>
      <c r="AX35" s="136">
        <f>'ADJ DETAIL INPUT'!BB34</f>
        <v>0</v>
      </c>
      <c r="AY35" s="136">
        <f>'ADJ DETAIL INPUT'!BC34</f>
        <v>0</v>
      </c>
      <c r="AZ35" s="136">
        <f>'ADJ DETAIL INPUT'!BD34</f>
        <v>0</v>
      </c>
      <c r="BA35" s="136">
        <f>'ADJ DETAIL INPUT'!BE34</f>
        <v>0</v>
      </c>
      <c r="BB35" s="136">
        <f>'ADJ DETAIL INPUT'!BF34</f>
        <v>823</v>
      </c>
      <c r="BC35" s="136">
        <f>'ADJ DETAIL INPUT'!BG34</f>
        <v>0</v>
      </c>
      <c r="BD35" s="136">
        <f>'ADJ DETAIL INPUT'!BH34</f>
        <v>0</v>
      </c>
    </row>
    <row r="36" spans="1:56">
      <c r="A36" s="116">
        <v>15</v>
      </c>
      <c r="C36" s="118" t="s">
        <v>20</v>
      </c>
      <c r="D36" s="118"/>
      <c r="E36" s="135">
        <f>'ADJ DETAIL INPUT'!E35</f>
        <v>21003</v>
      </c>
      <c r="F36" s="135">
        <f>'ADJ DETAIL INPUT'!F35</f>
        <v>0</v>
      </c>
      <c r="G36" s="135">
        <f>'ADJ DETAIL INPUT'!G35</f>
        <v>0</v>
      </c>
      <c r="H36" s="135">
        <f>'ADJ DETAIL INPUT'!H35</f>
        <v>0</v>
      </c>
      <c r="I36" s="135">
        <f>'ADJ DETAIL INPUT'!I35</f>
        <v>-8688</v>
      </c>
      <c r="J36" s="135">
        <f>'ADJ DETAIL INPUT'!J35</f>
        <v>256</v>
      </c>
      <c r="K36" s="135">
        <f>'ADJ DETAIL INPUT'!K35</f>
        <v>0</v>
      </c>
      <c r="L36" s="135">
        <f>'ADJ DETAIL INPUT'!L35</f>
        <v>0</v>
      </c>
      <c r="M36" s="135">
        <f>'ADJ DETAIL INPUT'!M35</f>
        <v>0</v>
      </c>
      <c r="N36" s="135">
        <f>'ADJ DETAIL INPUT'!N35</f>
        <v>0</v>
      </c>
      <c r="O36" s="135">
        <f>'ADJ DETAIL INPUT'!O35</f>
        <v>0</v>
      </c>
      <c r="P36" s="135">
        <f>'ADJ DETAIL INPUT'!P35</f>
        <v>-4</v>
      </c>
      <c r="Q36" s="135">
        <f>'ADJ DETAIL INPUT'!Q35</f>
        <v>0</v>
      </c>
      <c r="R36" s="135">
        <f>'ADJ DETAIL INPUT'!R35</f>
        <v>1</v>
      </c>
      <c r="S36" s="135">
        <f>'ADJ DETAIL INPUT'!S35</f>
        <v>-1022</v>
      </c>
      <c r="T36" s="135">
        <f>'ADJ DETAIL INPUT'!T35</f>
        <v>0</v>
      </c>
      <c r="U36" s="135">
        <f>'ADJ DETAIL INPUT'!U35</f>
        <v>0</v>
      </c>
      <c r="V36" s="135">
        <f>'ADJ DETAIL INPUT'!V35</f>
        <v>0</v>
      </c>
      <c r="W36" s="135">
        <f>'ADJ DETAIL INPUT'!W35</f>
        <v>0</v>
      </c>
      <c r="X36" s="135">
        <f>'ADJ DETAIL INPUT'!X35</f>
        <v>0</v>
      </c>
      <c r="Y36" s="135">
        <f>'ADJ DETAIL INPUT'!Z35</f>
        <v>-3429</v>
      </c>
      <c r="Z36" s="135">
        <f>'ADJ DETAIL INPUT'!AA35</f>
        <v>0</v>
      </c>
      <c r="AA36" s="135">
        <f>'ADJ DETAIL INPUT'!AB35</f>
        <v>0</v>
      </c>
      <c r="AB36" s="135">
        <f>'ADJ DETAIL INPUT'!AC35</f>
        <v>0</v>
      </c>
      <c r="AC36" s="135">
        <f>'ADJ DETAIL INPUT'!AD35</f>
        <v>0</v>
      </c>
      <c r="AD36" s="135">
        <f>'ADJ DETAIL INPUT'!AE35</f>
        <v>0</v>
      </c>
      <c r="AE36" s="135">
        <f>'ADJ DETAIL INPUT'!AF35</f>
        <v>0</v>
      </c>
      <c r="AF36" s="135">
        <f>'ADJ DETAIL INPUT'!AG35</f>
        <v>0</v>
      </c>
      <c r="AG36" s="135">
        <f>'ADJ DETAIL INPUT'!AH35</f>
        <v>0</v>
      </c>
      <c r="AH36" s="135">
        <f>'ADJ DETAIL INPUT'!AI35</f>
        <v>0</v>
      </c>
      <c r="AI36" s="135">
        <f>'ADJ DETAIL INPUT'!AJ35</f>
        <v>889</v>
      </c>
      <c r="AJ36" s="135">
        <f>'ADJ DETAIL INPUT'!AK35</f>
        <v>0</v>
      </c>
      <c r="AK36" s="135">
        <f>'ADJ DETAIL INPUT'!AL35</f>
        <v>0</v>
      </c>
      <c r="AL36" s="135">
        <f>'ADJ DETAIL INPUT'!AM35</f>
        <v>0</v>
      </c>
      <c r="AM36" s="135">
        <f>'ADJ DETAIL INPUT'!AN35</f>
        <v>0</v>
      </c>
      <c r="AN36" s="135">
        <f>'ADJ DETAIL INPUT'!AO35</f>
        <v>0</v>
      </c>
      <c r="AO36" s="135">
        <f>'ADJ DETAIL INPUT'!AP35</f>
        <v>0</v>
      </c>
      <c r="AP36" s="135">
        <f>'ADJ DETAIL INPUT'!AQ35</f>
        <v>0</v>
      </c>
      <c r="AQ36" s="135">
        <f>'ADJ DETAIL INPUT'!AR35</f>
        <v>0</v>
      </c>
      <c r="AR36" s="135">
        <f>'ADJ DETAIL INPUT'!AS35</f>
        <v>0</v>
      </c>
      <c r="AS36" s="135">
        <f>'ADJ DETAIL INPUT'!AT35</f>
        <v>0</v>
      </c>
      <c r="AT36" s="135">
        <f>'ADJ DETAIL INPUT'!AU35</f>
        <v>0</v>
      </c>
      <c r="AU36" s="135">
        <f>'ADJ DETAIL INPUT'!AY35</f>
        <v>0</v>
      </c>
      <c r="AV36" s="135">
        <f>'ADJ DETAIL INPUT'!AZ35</f>
        <v>0</v>
      </c>
      <c r="AW36" s="135">
        <f>'ADJ DETAIL INPUT'!BA35</f>
        <v>0</v>
      </c>
      <c r="AX36" s="135">
        <f>'ADJ DETAIL INPUT'!BB35</f>
        <v>0</v>
      </c>
      <c r="AY36" s="135">
        <f>'ADJ DETAIL INPUT'!BC35</f>
        <v>28</v>
      </c>
      <c r="AZ36" s="135">
        <f>'ADJ DETAIL INPUT'!BD35</f>
        <v>0</v>
      </c>
      <c r="BA36" s="135">
        <f>'ADJ DETAIL INPUT'!BE35</f>
        <v>0</v>
      </c>
      <c r="BB36" s="135">
        <f>'ADJ DETAIL INPUT'!BF35</f>
        <v>0</v>
      </c>
      <c r="BC36" s="135">
        <f>'ADJ DETAIL INPUT'!BG35</f>
        <v>0</v>
      </c>
      <c r="BD36" s="135">
        <f>'ADJ DETAIL INPUT'!BH35</f>
        <v>0</v>
      </c>
    </row>
    <row r="37" spans="1:56" ht="13.15" customHeight="1">
      <c r="A37" s="116">
        <v>16</v>
      </c>
      <c r="B37" s="118" t="s">
        <v>46</v>
      </c>
      <c r="C37" s="118"/>
      <c r="E37" s="134">
        <f t="shared" ref="E37" si="25">SUM(E34:E36)</f>
        <v>50359</v>
      </c>
      <c r="F37" s="134">
        <f t="shared" ref="F37:R37" si="26">SUM(F34:F36)</f>
        <v>0</v>
      </c>
      <c r="G37" s="134">
        <f t="shared" si="26"/>
        <v>0</v>
      </c>
      <c r="H37" s="134">
        <f t="shared" si="26"/>
        <v>0</v>
      </c>
      <c r="I37" s="134">
        <f t="shared" si="26"/>
        <v>-8688</v>
      </c>
      <c r="J37" s="134">
        <f t="shared" si="26"/>
        <v>256</v>
      </c>
      <c r="K37" s="134">
        <f t="shared" si="26"/>
        <v>0</v>
      </c>
      <c r="L37" s="134">
        <f t="shared" si="26"/>
        <v>0</v>
      </c>
      <c r="M37" s="134">
        <f t="shared" si="26"/>
        <v>0</v>
      </c>
      <c r="N37" s="134">
        <f t="shared" si="26"/>
        <v>0</v>
      </c>
      <c r="O37" s="134">
        <f t="shared" si="26"/>
        <v>0</v>
      </c>
      <c r="P37" s="134">
        <f t="shared" si="26"/>
        <v>-4</v>
      </c>
      <c r="Q37" s="134">
        <f t="shared" si="26"/>
        <v>-11</v>
      </c>
      <c r="R37" s="134">
        <f t="shared" si="26"/>
        <v>1</v>
      </c>
      <c r="S37" s="134">
        <f t="shared" ref="S37:T37" si="27">SUM(S34:S36)</f>
        <v>-1022</v>
      </c>
      <c r="T37" s="134">
        <f t="shared" si="27"/>
        <v>-5</v>
      </c>
      <c r="U37" s="134">
        <f t="shared" ref="U37" si="28">SUM(U34:U36)</f>
        <v>0</v>
      </c>
      <c r="V37" s="134">
        <f>SUM(V34:V36)</f>
        <v>0</v>
      </c>
      <c r="W37" s="134">
        <f>SUM(W34:W36)</f>
        <v>0</v>
      </c>
      <c r="X37" s="134">
        <f>SUM(X34:X36)</f>
        <v>0</v>
      </c>
      <c r="Y37" s="134">
        <f>SUM(Y34:Y36)</f>
        <v>-3429</v>
      </c>
      <c r="Z37" s="134">
        <f t="shared" ref="Z37:BD37" si="29">SUM(Z34:Z36)</f>
        <v>0</v>
      </c>
      <c r="AA37" s="134">
        <f t="shared" si="29"/>
        <v>0</v>
      </c>
      <c r="AB37" s="134">
        <f t="shared" si="29"/>
        <v>-691</v>
      </c>
      <c r="AC37" s="134">
        <f t="shared" si="29"/>
        <v>815.1</v>
      </c>
      <c r="AD37" s="134">
        <f t="shared" si="29"/>
        <v>0</v>
      </c>
      <c r="AE37" s="134">
        <f t="shared" si="29"/>
        <v>18.399999999999999</v>
      </c>
      <c r="AF37" s="134">
        <f t="shared" ref="AF37" si="30">SUM(AF34:AF36)</f>
        <v>0</v>
      </c>
      <c r="AG37" s="134">
        <f t="shared" si="29"/>
        <v>0</v>
      </c>
      <c r="AH37" s="134">
        <f t="shared" si="29"/>
        <v>0</v>
      </c>
      <c r="AI37" s="134">
        <f t="shared" si="29"/>
        <v>889</v>
      </c>
      <c r="AJ37" s="134">
        <f t="shared" si="29"/>
        <v>0</v>
      </c>
      <c r="AK37" s="134">
        <f t="shared" si="29"/>
        <v>0</v>
      </c>
      <c r="AL37" s="134">
        <f t="shared" si="29"/>
        <v>580.36699999999996</v>
      </c>
      <c r="AM37" s="134">
        <f t="shared" si="29"/>
        <v>633</v>
      </c>
      <c r="AN37" s="134">
        <f t="shared" ref="AN37:AO37" si="31">SUM(AN34:AN36)</f>
        <v>-433.7</v>
      </c>
      <c r="AO37" s="134">
        <f t="shared" si="31"/>
        <v>963</v>
      </c>
      <c r="AP37" s="134">
        <f t="shared" ref="AP37" si="32">SUM(AP34:AP36)</f>
        <v>0</v>
      </c>
      <c r="AQ37" s="134">
        <f t="shared" si="29"/>
        <v>0</v>
      </c>
      <c r="AR37" s="134">
        <f t="shared" si="29"/>
        <v>0</v>
      </c>
      <c r="AS37" s="134">
        <f t="shared" si="29"/>
        <v>903</v>
      </c>
      <c r="AT37" s="134">
        <f t="shared" si="29"/>
        <v>-190.31200000000001</v>
      </c>
      <c r="AU37" s="134">
        <f t="shared" ref="AU37" si="33">SUM(AU34:AU36)</f>
        <v>0</v>
      </c>
      <c r="AV37" s="134">
        <f t="shared" si="29"/>
        <v>-105</v>
      </c>
      <c r="AW37" s="134">
        <f t="shared" si="29"/>
        <v>345.2</v>
      </c>
      <c r="AX37" s="134">
        <f t="shared" si="29"/>
        <v>64.599999999999994</v>
      </c>
      <c r="AY37" s="134">
        <f t="shared" si="29"/>
        <v>28</v>
      </c>
      <c r="AZ37" s="134">
        <f t="shared" si="29"/>
        <v>0</v>
      </c>
      <c r="BA37" s="134">
        <f t="shared" si="29"/>
        <v>232.14699999999999</v>
      </c>
      <c r="BB37" s="134">
        <f t="shared" si="29"/>
        <v>823</v>
      </c>
      <c r="BC37" s="134">
        <f t="shared" si="29"/>
        <v>-70.043999999999997</v>
      </c>
      <c r="BD37" s="134">
        <f t="shared" si="29"/>
        <v>0</v>
      </c>
    </row>
    <row r="38" spans="1:56" ht="13.15" customHeight="1">
      <c r="C38" s="118"/>
      <c r="D38" s="118"/>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row>
    <row r="39" spans="1:56" ht="13.15" customHeight="1">
      <c r="A39" s="116">
        <v>17</v>
      </c>
      <c r="B39" s="92" t="s">
        <v>47</v>
      </c>
      <c r="C39" s="118"/>
      <c r="D39" s="118"/>
      <c r="E39" s="134">
        <f>'ADJ DETAIL INPUT'!E38</f>
        <v>3993</v>
      </c>
      <c r="F39" s="134">
        <f>'ADJ DETAIL INPUT'!F38</f>
        <v>0</v>
      </c>
      <c r="G39" s="134">
        <f>'ADJ DETAIL INPUT'!G38</f>
        <v>0</v>
      </c>
      <c r="H39" s="134">
        <f>'ADJ DETAIL INPUT'!H38</f>
        <v>0</v>
      </c>
      <c r="I39" s="134">
        <f>'ADJ DETAIL INPUT'!I38</f>
        <v>0</v>
      </c>
      <c r="J39" s="134">
        <f>'ADJ DETAIL INPUT'!J38</f>
        <v>0</v>
      </c>
      <c r="K39" s="134">
        <f>'ADJ DETAIL INPUT'!K38</f>
        <v>927</v>
      </c>
      <c r="L39" s="134">
        <f>'ADJ DETAIL INPUT'!L38</f>
        <v>0</v>
      </c>
      <c r="M39" s="134">
        <f>'ADJ DETAIL INPUT'!M38</f>
        <v>0</v>
      </c>
      <c r="N39" s="134">
        <f>'ADJ DETAIL INPUT'!N38</f>
        <v>0</v>
      </c>
      <c r="O39" s="134">
        <f>'ADJ DETAIL INPUT'!O38</f>
        <v>0</v>
      </c>
      <c r="P39" s="134">
        <f>'ADJ DETAIL INPUT'!P38</f>
        <v>0</v>
      </c>
      <c r="Q39" s="134">
        <f>'ADJ DETAIL INPUT'!Q38</f>
        <v>0</v>
      </c>
      <c r="R39" s="134">
        <f>'ADJ DETAIL INPUT'!R38</f>
        <v>0</v>
      </c>
      <c r="S39" s="134">
        <f>'ADJ DETAIL INPUT'!S38</f>
        <v>-132</v>
      </c>
      <c r="T39" s="134">
        <f>'ADJ DETAIL INPUT'!T38</f>
        <v>0</v>
      </c>
      <c r="U39" s="134">
        <f>'ADJ DETAIL INPUT'!U38</f>
        <v>0</v>
      </c>
      <c r="V39" s="134">
        <f>'ADJ DETAIL INPUT'!V38</f>
        <v>0</v>
      </c>
      <c r="W39" s="134">
        <f>'ADJ DETAIL INPUT'!W38</f>
        <v>0</v>
      </c>
      <c r="X39" s="134">
        <f>'ADJ DETAIL INPUT'!X38</f>
        <v>0</v>
      </c>
      <c r="Y39" s="134">
        <f>'ADJ DETAIL INPUT'!Z38</f>
        <v>-443</v>
      </c>
      <c r="Z39" s="134">
        <f>'ADJ DETAIL INPUT'!AA38</f>
        <v>0</v>
      </c>
      <c r="AA39" s="134">
        <f>'ADJ DETAIL INPUT'!AB38</f>
        <v>0</v>
      </c>
      <c r="AB39" s="134">
        <f>'ADJ DETAIL INPUT'!AC38</f>
        <v>0</v>
      </c>
      <c r="AC39" s="134">
        <f>'ADJ DETAIL INPUT'!AD38</f>
        <v>273.7</v>
      </c>
      <c r="AD39" s="134">
        <f>'ADJ DETAIL INPUT'!AE38</f>
        <v>0</v>
      </c>
      <c r="AE39" s="134">
        <f>'ADJ DETAIL INPUT'!AF38</f>
        <v>6.3</v>
      </c>
      <c r="AF39" s="134">
        <f>'ADJ DETAIL INPUT'!AG38</f>
        <v>0</v>
      </c>
      <c r="AG39" s="134">
        <f>'ADJ DETAIL INPUT'!AH38</f>
        <v>0</v>
      </c>
      <c r="AH39" s="134">
        <f>'ADJ DETAIL INPUT'!AI38</f>
        <v>0</v>
      </c>
      <c r="AI39" s="134">
        <f>'ADJ DETAIL INPUT'!AJ38</f>
        <v>0</v>
      </c>
      <c r="AJ39" s="134">
        <f>'ADJ DETAIL INPUT'!AK38</f>
        <v>0</v>
      </c>
      <c r="AK39" s="134">
        <f>'ADJ DETAIL INPUT'!AL38</f>
        <v>0</v>
      </c>
      <c r="AL39" s="134">
        <f>'ADJ DETAIL INPUT'!AM38</f>
        <v>183.53399999999999</v>
      </c>
      <c r="AM39" s="134">
        <f>'ADJ DETAIL INPUT'!AN38</f>
        <v>0</v>
      </c>
      <c r="AN39" s="134">
        <f>'ADJ DETAIL INPUT'!AO38</f>
        <v>0</v>
      </c>
      <c r="AO39" s="134">
        <f>'ADJ DETAIL INPUT'!AP38</f>
        <v>0</v>
      </c>
      <c r="AP39" s="134">
        <f>'ADJ DETAIL INPUT'!AQ38</f>
        <v>0</v>
      </c>
      <c r="AQ39" s="134">
        <f>'ADJ DETAIL INPUT'!AR38</f>
        <v>0</v>
      </c>
      <c r="AR39" s="134">
        <f>'ADJ DETAIL INPUT'!AS38</f>
        <v>0</v>
      </c>
      <c r="AS39" s="134">
        <f>'ADJ DETAIL INPUT'!AT38</f>
        <v>0</v>
      </c>
      <c r="AT39" s="134">
        <f>'ADJ DETAIL INPUT'!AU38</f>
        <v>0</v>
      </c>
      <c r="AU39" s="134">
        <f>'ADJ DETAIL INPUT'!AY38</f>
        <v>0</v>
      </c>
      <c r="AV39" s="134">
        <f>'ADJ DETAIL INPUT'!AZ38</f>
        <v>0</v>
      </c>
      <c r="AW39" s="134">
        <f>'ADJ DETAIL INPUT'!BA38</f>
        <v>105.8</v>
      </c>
      <c r="AX39" s="134">
        <f>'ADJ DETAIL INPUT'!BB38</f>
        <v>22</v>
      </c>
      <c r="AY39" s="134">
        <f>'ADJ DETAIL INPUT'!BC38</f>
        <v>0</v>
      </c>
      <c r="AZ39" s="134">
        <f>'ADJ DETAIL INPUT'!BD38</f>
        <v>0</v>
      </c>
      <c r="BA39" s="134">
        <f>'ADJ DETAIL INPUT'!BE38</f>
        <v>73.414000000000001</v>
      </c>
      <c r="BB39" s="134">
        <f>'ADJ DETAIL INPUT'!BF38</f>
        <v>0</v>
      </c>
      <c r="BC39" s="134">
        <f>'ADJ DETAIL INPUT'!BG38</f>
        <v>0</v>
      </c>
      <c r="BD39" s="134">
        <f>'ADJ DETAIL INPUT'!BH38</f>
        <v>0</v>
      </c>
    </row>
    <row r="40" spans="1:56">
      <c r="A40" s="116">
        <v>18</v>
      </c>
      <c r="B40" s="92" t="s">
        <v>48</v>
      </c>
      <c r="C40" s="118"/>
      <c r="D40" s="118"/>
      <c r="E40" s="134">
        <f>'ADJ DETAIL INPUT'!E39</f>
        <v>14067</v>
      </c>
      <c r="F40" s="134">
        <f>'ADJ DETAIL INPUT'!F39</f>
        <v>0</v>
      </c>
      <c r="G40" s="134">
        <f>'ADJ DETAIL INPUT'!G39</f>
        <v>0</v>
      </c>
      <c r="H40" s="134">
        <f>'ADJ DETAIL INPUT'!H39</f>
        <v>0</v>
      </c>
      <c r="I40" s="134">
        <f>'ADJ DETAIL INPUT'!I39</f>
        <v>0</v>
      </c>
      <c r="J40" s="134">
        <f>'ADJ DETAIL INPUT'!J39</f>
        <v>0</v>
      </c>
      <c r="K40" s="134">
        <f>'ADJ DETAIL INPUT'!K39</f>
        <v>0</v>
      </c>
      <c r="L40" s="134">
        <f>'ADJ DETAIL INPUT'!L39</f>
        <v>0</v>
      </c>
      <c r="M40" s="134">
        <f>'ADJ DETAIL INPUT'!M39</f>
        <v>0</v>
      </c>
      <c r="N40" s="134">
        <f>'ADJ DETAIL INPUT'!N39</f>
        <v>0</v>
      </c>
      <c r="O40" s="134">
        <f>'ADJ DETAIL INPUT'!O39</f>
        <v>0</v>
      </c>
      <c r="P40" s="134">
        <f>'ADJ DETAIL INPUT'!P39</f>
        <v>0</v>
      </c>
      <c r="Q40" s="134">
        <f>'ADJ DETAIL INPUT'!Q39</f>
        <v>0</v>
      </c>
      <c r="R40" s="134">
        <f>'ADJ DETAIL INPUT'!R39</f>
        <v>0</v>
      </c>
      <c r="S40" s="134">
        <f>'ADJ DETAIL INPUT'!S39</f>
        <v>-13330</v>
      </c>
      <c r="T40" s="134">
        <f>'ADJ DETAIL INPUT'!T39</f>
        <v>-1</v>
      </c>
      <c r="U40" s="134">
        <f>'ADJ DETAIL INPUT'!U39</f>
        <v>0</v>
      </c>
      <c r="V40" s="134">
        <f>'ADJ DETAIL INPUT'!V39</f>
        <v>0</v>
      </c>
      <c r="W40" s="134">
        <f>'ADJ DETAIL INPUT'!W39</f>
        <v>0</v>
      </c>
      <c r="X40" s="134">
        <f>'ADJ DETAIL INPUT'!X39</f>
        <v>0</v>
      </c>
      <c r="Y40" s="134">
        <f>'ADJ DETAIL INPUT'!Z39</f>
        <v>0</v>
      </c>
      <c r="Z40" s="134">
        <f>'ADJ DETAIL INPUT'!AA39</f>
        <v>0</v>
      </c>
      <c r="AA40" s="134">
        <f>'ADJ DETAIL INPUT'!AB39</f>
        <v>0</v>
      </c>
      <c r="AB40" s="134">
        <f>'ADJ DETAIL INPUT'!AC39</f>
        <v>0</v>
      </c>
      <c r="AC40" s="134">
        <f>'ADJ DETAIL INPUT'!AD39</f>
        <v>19.7</v>
      </c>
      <c r="AD40" s="134">
        <f>'ADJ DETAIL INPUT'!AE39</f>
        <v>0</v>
      </c>
      <c r="AE40" s="134">
        <f>'ADJ DETAIL INPUT'!AF39</f>
        <v>0.4</v>
      </c>
      <c r="AF40" s="134">
        <f>'ADJ DETAIL INPUT'!AG39</f>
        <v>0.4</v>
      </c>
      <c r="AG40" s="134">
        <f>'ADJ DETAIL INPUT'!AH39</f>
        <v>78</v>
      </c>
      <c r="AH40" s="134">
        <f>'ADJ DETAIL INPUT'!AI39</f>
        <v>0</v>
      </c>
      <c r="AI40" s="134">
        <f>'ADJ DETAIL INPUT'!AJ39</f>
        <v>0</v>
      </c>
      <c r="AJ40" s="134">
        <f>'ADJ DETAIL INPUT'!AK39</f>
        <v>0</v>
      </c>
      <c r="AK40" s="134">
        <f>'ADJ DETAIL INPUT'!AL39</f>
        <v>0</v>
      </c>
      <c r="AL40" s="134">
        <f>'ADJ DETAIL INPUT'!AM39</f>
        <v>64.974999999999994</v>
      </c>
      <c r="AM40" s="134">
        <f>'ADJ DETAIL INPUT'!AN39</f>
        <v>0</v>
      </c>
      <c r="AN40" s="134">
        <f>'ADJ DETAIL INPUT'!AO39</f>
        <v>0</v>
      </c>
      <c r="AO40" s="134">
        <f>'ADJ DETAIL INPUT'!AP39</f>
        <v>0</v>
      </c>
      <c r="AP40" s="134">
        <f>'ADJ DETAIL INPUT'!AQ39</f>
        <v>0</v>
      </c>
      <c r="AQ40" s="134">
        <f>'ADJ DETAIL INPUT'!AR39</f>
        <v>0</v>
      </c>
      <c r="AR40" s="134">
        <f>'ADJ DETAIL INPUT'!AS39</f>
        <v>0</v>
      </c>
      <c r="AS40" s="134">
        <f>'ADJ DETAIL INPUT'!AT39</f>
        <v>0</v>
      </c>
      <c r="AT40" s="134">
        <f>'ADJ DETAIL INPUT'!AU39</f>
        <v>0</v>
      </c>
      <c r="AU40" s="134">
        <f>'ADJ DETAIL INPUT'!AY39</f>
        <v>0</v>
      </c>
      <c r="AV40" s="134">
        <f>'ADJ DETAIL INPUT'!AZ39</f>
        <v>0</v>
      </c>
      <c r="AW40" s="134">
        <f>'ADJ DETAIL INPUT'!BA39</f>
        <v>7.5</v>
      </c>
      <c r="AX40" s="134">
        <f>'ADJ DETAIL INPUT'!BB39</f>
        <v>1.5</v>
      </c>
      <c r="AY40" s="134">
        <f>'ADJ DETAIL INPUT'!BC39</f>
        <v>0</v>
      </c>
      <c r="AZ40" s="134">
        <f>'ADJ DETAIL INPUT'!BD39</f>
        <v>0</v>
      </c>
      <c r="BA40" s="134">
        <f>'ADJ DETAIL INPUT'!BE39</f>
        <v>25.99</v>
      </c>
      <c r="BB40" s="134">
        <f>'ADJ DETAIL INPUT'!BF39</f>
        <v>0</v>
      </c>
      <c r="BC40" s="134">
        <f>'ADJ DETAIL INPUT'!BG39</f>
        <v>0</v>
      </c>
      <c r="BD40" s="134">
        <f>'ADJ DETAIL INPUT'!BH39</f>
        <v>0</v>
      </c>
    </row>
    <row r="41" spans="1:56">
      <c r="A41" s="116">
        <v>19</v>
      </c>
      <c r="B41" s="92" t="s">
        <v>49</v>
      </c>
      <c r="C41" s="118"/>
      <c r="D41" s="118"/>
      <c r="E41" s="134">
        <f>'ADJ DETAIL INPUT'!E40</f>
        <v>0</v>
      </c>
      <c r="F41" s="134">
        <f>'ADJ DETAIL INPUT'!F40</f>
        <v>0</v>
      </c>
      <c r="G41" s="134">
        <f>'ADJ DETAIL INPUT'!G40</f>
        <v>0</v>
      </c>
      <c r="H41" s="134">
        <f>'ADJ DETAIL INPUT'!H40</f>
        <v>0</v>
      </c>
      <c r="I41" s="134">
        <f>'ADJ DETAIL INPUT'!I40</f>
        <v>0</v>
      </c>
      <c r="J41" s="134">
        <f>'ADJ DETAIL INPUT'!J40</f>
        <v>0</v>
      </c>
      <c r="K41" s="134">
        <f>'ADJ DETAIL INPUT'!K40</f>
        <v>0</v>
      </c>
      <c r="L41" s="134">
        <f>'ADJ DETAIL INPUT'!L40</f>
        <v>0</v>
      </c>
      <c r="M41" s="134">
        <f>'ADJ DETAIL INPUT'!M40</f>
        <v>0</v>
      </c>
      <c r="N41" s="134">
        <f>'ADJ DETAIL INPUT'!N40</f>
        <v>0</v>
      </c>
      <c r="O41" s="134">
        <f>'ADJ DETAIL INPUT'!O40</f>
        <v>0</v>
      </c>
      <c r="P41" s="134">
        <f>'ADJ DETAIL INPUT'!P40</f>
        <v>0</v>
      </c>
      <c r="Q41" s="134">
        <f>'ADJ DETAIL INPUT'!Q40</f>
        <v>0</v>
      </c>
      <c r="R41" s="134">
        <f>'ADJ DETAIL INPUT'!R40</f>
        <v>0</v>
      </c>
      <c r="S41" s="134">
        <f>'ADJ DETAIL INPUT'!S40</f>
        <v>0</v>
      </c>
      <c r="T41" s="134">
        <f>'ADJ DETAIL INPUT'!T40</f>
        <v>0</v>
      </c>
      <c r="U41" s="134">
        <f>'ADJ DETAIL INPUT'!U40</f>
        <v>0</v>
      </c>
      <c r="V41" s="134">
        <f>'ADJ DETAIL INPUT'!V40</f>
        <v>0</v>
      </c>
      <c r="W41" s="134">
        <f>'ADJ DETAIL INPUT'!W40</f>
        <v>0</v>
      </c>
      <c r="X41" s="134">
        <f>'ADJ DETAIL INPUT'!X40</f>
        <v>0</v>
      </c>
      <c r="Y41" s="134">
        <f>'ADJ DETAIL INPUT'!Z40</f>
        <v>0</v>
      </c>
      <c r="Z41" s="134">
        <f>'ADJ DETAIL INPUT'!AA40</f>
        <v>0</v>
      </c>
      <c r="AA41" s="134">
        <f>'ADJ DETAIL INPUT'!AB40</f>
        <v>0</v>
      </c>
      <c r="AB41" s="134">
        <f>'ADJ DETAIL INPUT'!AC40</f>
        <v>0</v>
      </c>
      <c r="AC41" s="134">
        <f>'ADJ DETAIL INPUT'!AD40</f>
        <v>0</v>
      </c>
      <c r="AD41" s="134">
        <f>'ADJ DETAIL INPUT'!AE40</f>
        <v>0</v>
      </c>
      <c r="AE41" s="134">
        <f>'ADJ DETAIL INPUT'!AF40</f>
        <v>0</v>
      </c>
      <c r="AF41" s="134">
        <f>'ADJ DETAIL INPUT'!AG40</f>
        <v>0</v>
      </c>
      <c r="AG41" s="134">
        <f>'ADJ DETAIL INPUT'!AH40</f>
        <v>0</v>
      </c>
      <c r="AH41" s="134">
        <f>'ADJ DETAIL INPUT'!AI40</f>
        <v>0</v>
      </c>
      <c r="AI41" s="134">
        <f>'ADJ DETAIL INPUT'!AJ40</f>
        <v>0</v>
      </c>
      <c r="AJ41" s="134">
        <f>'ADJ DETAIL INPUT'!AK40</f>
        <v>0</v>
      </c>
      <c r="AK41" s="134">
        <f>'ADJ DETAIL INPUT'!AL40</f>
        <v>0</v>
      </c>
      <c r="AL41" s="134">
        <f>'ADJ DETAIL INPUT'!AM40</f>
        <v>0</v>
      </c>
      <c r="AM41" s="134">
        <f>'ADJ DETAIL INPUT'!AN40</f>
        <v>0</v>
      </c>
      <c r="AN41" s="134">
        <f>'ADJ DETAIL INPUT'!AO40</f>
        <v>0</v>
      </c>
      <c r="AO41" s="134">
        <f>'ADJ DETAIL INPUT'!AP40</f>
        <v>0</v>
      </c>
      <c r="AP41" s="134">
        <f>'ADJ DETAIL INPUT'!AQ40</f>
        <v>0</v>
      </c>
      <c r="AQ41" s="134">
        <f>'ADJ DETAIL INPUT'!AR40</f>
        <v>0</v>
      </c>
      <c r="AR41" s="134">
        <f>'ADJ DETAIL INPUT'!AS40</f>
        <v>0</v>
      </c>
      <c r="AS41" s="134">
        <f>'ADJ DETAIL INPUT'!AT40</f>
        <v>0</v>
      </c>
      <c r="AT41" s="134">
        <f>'ADJ DETAIL INPUT'!AU40</f>
        <v>0</v>
      </c>
      <c r="AU41" s="134">
        <f>'ADJ DETAIL INPUT'!AY40</f>
        <v>0</v>
      </c>
      <c r="AV41" s="134">
        <f>'ADJ DETAIL INPUT'!AZ40</f>
        <v>0</v>
      </c>
      <c r="AW41" s="134">
        <f>'ADJ DETAIL INPUT'!BA40</f>
        <v>0</v>
      </c>
      <c r="AX41" s="134">
        <f>'ADJ DETAIL INPUT'!BB40</f>
        <v>0</v>
      </c>
      <c r="AY41" s="134">
        <f>'ADJ DETAIL INPUT'!BC40</f>
        <v>0</v>
      </c>
      <c r="AZ41" s="134">
        <f>'ADJ DETAIL INPUT'!BD40</f>
        <v>0</v>
      </c>
      <c r="BA41" s="134">
        <f>'ADJ DETAIL INPUT'!BE40</f>
        <v>0</v>
      </c>
      <c r="BB41" s="134">
        <f>'ADJ DETAIL INPUT'!BF40</f>
        <v>0</v>
      </c>
      <c r="BC41" s="134">
        <f>'ADJ DETAIL INPUT'!BG40</f>
        <v>0</v>
      </c>
      <c r="BD41" s="134">
        <f>'ADJ DETAIL INPUT'!BH40</f>
        <v>0</v>
      </c>
    </row>
    <row r="42" spans="1:56">
      <c r="C42" s="118"/>
      <c r="D42" s="118"/>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row>
    <row r="43" spans="1:56">
      <c r="B43" s="92" t="s">
        <v>50</v>
      </c>
      <c r="C43" s="118"/>
      <c r="D43" s="118"/>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row>
    <row r="44" spans="1:56">
      <c r="A44" s="116">
        <v>20</v>
      </c>
      <c r="C44" s="118" t="s">
        <v>42</v>
      </c>
      <c r="D44" s="118"/>
      <c r="E44" s="134">
        <f>'ADJ DETAIL INPUT'!E43</f>
        <v>24398</v>
      </c>
      <c r="F44" s="134">
        <f>'ADJ DETAIL INPUT'!F43</f>
        <v>0</v>
      </c>
      <c r="G44" s="134">
        <f>'ADJ DETAIL INPUT'!G43</f>
        <v>0</v>
      </c>
      <c r="H44" s="134">
        <f>'ADJ DETAIL INPUT'!H43</f>
        <v>0</v>
      </c>
      <c r="I44" s="134">
        <f>'ADJ DETAIL INPUT'!I43</f>
        <v>0</v>
      </c>
      <c r="J44" s="134">
        <f>'ADJ DETAIL INPUT'!J43</f>
        <v>0</v>
      </c>
      <c r="K44" s="134">
        <f>'ADJ DETAIL INPUT'!K43</f>
        <v>0</v>
      </c>
      <c r="L44" s="134">
        <f>'ADJ DETAIL INPUT'!L43</f>
        <v>398</v>
      </c>
      <c r="M44" s="134">
        <f>'ADJ DETAIL INPUT'!M43</f>
        <v>-18</v>
      </c>
      <c r="N44" s="134">
        <f>'ADJ DETAIL INPUT'!N43</f>
        <v>0</v>
      </c>
      <c r="O44" s="134">
        <f>'ADJ DETAIL INPUT'!O43</f>
        <v>-10</v>
      </c>
      <c r="P44" s="134">
        <f>'ADJ DETAIL INPUT'!P43</f>
        <v>0</v>
      </c>
      <c r="Q44" s="134">
        <f>'ADJ DETAIL INPUT'!Q43</f>
        <v>0</v>
      </c>
      <c r="R44" s="134">
        <f>'ADJ DETAIL INPUT'!R43</f>
        <v>0</v>
      </c>
      <c r="S44" s="134">
        <f>'ADJ DETAIL INPUT'!S43</f>
        <v>-107</v>
      </c>
      <c r="T44" s="134">
        <f>'ADJ DETAIL INPUT'!T43</f>
        <v>-409.2</v>
      </c>
      <c r="U44" s="134">
        <f>'ADJ DETAIL INPUT'!U43</f>
        <v>250.28299999999999</v>
      </c>
      <c r="V44" s="134">
        <f>'ADJ DETAIL INPUT'!V43</f>
        <v>0</v>
      </c>
      <c r="W44" s="134">
        <f>'ADJ DETAIL INPUT'!W43</f>
        <v>0</v>
      </c>
      <c r="X44" s="134">
        <f>'ADJ DETAIL INPUT'!X43</f>
        <v>0</v>
      </c>
      <c r="Y44" s="134">
        <f>'ADJ DETAIL INPUT'!Z43</f>
        <v>-358</v>
      </c>
      <c r="Z44" s="134">
        <f>'ADJ DETAIL INPUT'!AA43</f>
        <v>0</v>
      </c>
      <c r="AA44" s="134">
        <f>'ADJ DETAIL INPUT'!AB43</f>
        <v>0</v>
      </c>
      <c r="AB44" s="134">
        <f>'ADJ DETAIL INPUT'!AC43</f>
        <v>0</v>
      </c>
      <c r="AC44" s="134">
        <f>'ADJ DETAIL INPUT'!AD43</f>
        <v>648</v>
      </c>
      <c r="AD44" s="134">
        <f>'ADJ DETAIL INPUT'!AE43</f>
        <v>19.004999999999999</v>
      </c>
      <c r="AE44" s="134">
        <f>'ADJ DETAIL INPUT'!AF43</f>
        <v>15</v>
      </c>
      <c r="AF44" s="134">
        <f>'ADJ DETAIL INPUT'!AG43</f>
        <v>368.4</v>
      </c>
      <c r="AG44" s="134">
        <f>'ADJ DETAIL INPUT'!AH43</f>
        <v>0</v>
      </c>
      <c r="AH44" s="134">
        <f>'ADJ DETAIL INPUT'!AI43</f>
        <v>112.90900000000001</v>
      </c>
      <c r="AI44" s="134">
        <f>'ADJ DETAIL INPUT'!AJ43</f>
        <v>0</v>
      </c>
      <c r="AJ44" s="134">
        <f>'ADJ DETAIL INPUT'!AK43</f>
        <v>598</v>
      </c>
      <c r="AK44" s="134">
        <f>'ADJ DETAIL INPUT'!AL43</f>
        <v>20.6</v>
      </c>
      <c r="AL44" s="134">
        <f>'ADJ DETAIL INPUT'!AM43</f>
        <v>556.36900000000003</v>
      </c>
      <c r="AM44" s="134">
        <f>'ADJ DETAIL INPUT'!AN43</f>
        <v>0</v>
      </c>
      <c r="AN44" s="134">
        <f>'ADJ DETAIL INPUT'!AO43</f>
        <v>0</v>
      </c>
      <c r="AO44" s="134">
        <f>'ADJ DETAIL INPUT'!AP43</f>
        <v>0</v>
      </c>
      <c r="AP44" s="134">
        <f>'ADJ DETAIL INPUT'!AQ43</f>
        <v>0</v>
      </c>
      <c r="AQ44" s="134">
        <f>'ADJ DETAIL INPUT'!AR43</f>
        <v>178</v>
      </c>
      <c r="AR44" s="134">
        <f>'ADJ DETAIL INPUT'!AS43</f>
        <v>150</v>
      </c>
      <c r="AS44" s="134">
        <f>'ADJ DETAIL INPUT'!AT43</f>
        <v>0</v>
      </c>
      <c r="AT44" s="134">
        <f>'ADJ DETAIL INPUT'!AU43</f>
        <v>-88.394999999999996</v>
      </c>
      <c r="AU44" s="134">
        <f>'ADJ DETAIL INPUT'!AY43</f>
        <v>0</v>
      </c>
      <c r="AV44" s="134">
        <f>'ADJ DETAIL INPUT'!AZ43</f>
        <v>0</v>
      </c>
      <c r="AW44" s="134">
        <f>'ADJ DETAIL INPUT'!BA43</f>
        <v>250.4</v>
      </c>
      <c r="AX44" s="134">
        <f>'ADJ DETAIL INPUT'!BB43</f>
        <v>52.8</v>
      </c>
      <c r="AY44" s="134">
        <f>'ADJ DETAIL INPUT'!BC43</f>
        <v>0</v>
      </c>
      <c r="AZ44" s="134">
        <f>'ADJ DETAIL INPUT'!BD43</f>
        <v>-65</v>
      </c>
      <c r="BA44" s="134">
        <f>'ADJ DETAIL INPUT'!BE43</f>
        <v>222.548</v>
      </c>
      <c r="BB44" s="134">
        <f>'ADJ DETAIL INPUT'!BF43</f>
        <v>0</v>
      </c>
      <c r="BC44" s="134">
        <f>'ADJ DETAIL INPUT'!BG43</f>
        <v>-130.83500000000001</v>
      </c>
      <c r="BD44" s="134">
        <f>'ADJ DETAIL INPUT'!BH43</f>
        <v>0</v>
      </c>
    </row>
    <row r="45" spans="1:56">
      <c r="A45" s="116">
        <v>21</v>
      </c>
      <c r="C45" s="118" t="s">
        <v>188</v>
      </c>
      <c r="D45" s="118"/>
      <c r="E45" s="134">
        <f>'ADJ DETAIL INPUT'!E44</f>
        <v>12802</v>
      </c>
      <c r="F45" s="134">
        <f>'ADJ DETAIL INPUT'!F44</f>
        <v>0</v>
      </c>
      <c r="G45" s="134">
        <f>'ADJ DETAIL INPUT'!G44</f>
        <v>0</v>
      </c>
      <c r="H45" s="134">
        <f>'ADJ DETAIL INPUT'!H44</f>
        <v>0</v>
      </c>
      <c r="I45" s="134">
        <f>'ADJ DETAIL INPUT'!I44</f>
        <v>0</v>
      </c>
      <c r="J45" s="134">
        <f>'ADJ DETAIL INPUT'!J44</f>
        <v>0</v>
      </c>
      <c r="K45" s="134">
        <f>'ADJ DETAIL INPUT'!K44</f>
        <v>0</v>
      </c>
      <c r="L45" s="134">
        <f>'ADJ DETAIL INPUT'!L44</f>
        <v>0</v>
      </c>
      <c r="M45" s="134">
        <f>'ADJ DETAIL INPUT'!M44</f>
        <v>0</v>
      </c>
      <c r="N45" s="134">
        <f>'ADJ DETAIL INPUT'!N44</f>
        <v>0</v>
      </c>
      <c r="O45" s="134">
        <f>'ADJ DETAIL INPUT'!O44</f>
        <v>0</v>
      </c>
      <c r="P45" s="134">
        <f>'ADJ DETAIL INPUT'!P44</f>
        <v>0</v>
      </c>
      <c r="Q45" s="134">
        <f>'ADJ DETAIL INPUT'!Q44</f>
        <v>0</v>
      </c>
      <c r="R45" s="134">
        <f>'ADJ DETAIL INPUT'!R44</f>
        <v>0</v>
      </c>
      <c r="S45" s="134">
        <f>'ADJ DETAIL INPUT'!S44</f>
        <v>0</v>
      </c>
      <c r="T45" s="134">
        <f>'ADJ DETAIL INPUT'!T44</f>
        <v>0</v>
      </c>
      <c r="U45" s="134">
        <f>'ADJ DETAIL INPUT'!U44</f>
        <v>0</v>
      </c>
      <c r="V45" s="134">
        <f>'ADJ DETAIL INPUT'!V44</f>
        <v>0</v>
      </c>
      <c r="W45" s="134">
        <f>'ADJ DETAIL INPUT'!W44</f>
        <v>0</v>
      </c>
      <c r="X45" s="134">
        <f>'ADJ DETAIL INPUT'!X44</f>
        <v>0</v>
      </c>
      <c r="Y45" s="134">
        <f>'ADJ DETAIL INPUT'!Z44</f>
        <v>0</v>
      </c>
      <c r="Z45" s="134">
        <f>'ADJ DETAIL INPUT'!AA44</f>
        <v>0</v>
      </c>
      <c r="AA45" s="134">
        <f>'ADJ DETAIL INPUT'!AB44</f>
        <v>0</v>
      </c>
      <c r="AB45" s="134">
        <f>'ADJ DETAIL INPUT'!AC44</f>
        <v>0</v>
      </c>
      <c r="AC45" s="134">
        <f>'ADJ DETAIL INPUT'!AD44</f>
        <v>0</v>
      </c>
      <c r="AD45" s="134">
        <f>'ADJ DETAIL INPUT'!AE44</f>
        <v>0</v>
      </c>
      <c r="AE45" s="134">
        <f>'ADJ DETAIL INPUT'!AF44</f>
        <v>0</v>
      </c>
      <c r="AF45" s="134">
        <f>'ADJ DETAIL INPUT'!AG44</f>
        <v>0</v>
      </c>
      <c r="AG45" s="134">
        <f>'ADJ DETAIL INPUT'!AH44</f>
        <v>0</v>
      </c>
      <c r="AH45" s="134">
        <f>'ADJ DETAIL INPUT'!AI44</f>
        <v>0</v>
      </c>
      <c r="AI45" s="134">
        <f>'ADJ DETAIL INPUT'!AJ44</f>
        <v>0</v>
      </c>
      <c r="AJ45" s="134">
        <f>'ADJ DETAIL INPUT'!AK44</f>
        <v>0</v>
      </c>
      <c r="AK45" s="134">
        <f>'ADJ DETAIL INPUT'!AL44</f>
        <v>0</v>
      </c>
      <c r="AL45" s="134">
        <f>'ADJ DETAIL INPUT'!AM44</f>
        <v>0</v>
      </c>
      <c r="AM45" s="134">
        <f>'ADJ DETAIL INPUT'!AN44</f>
        <v>625</v>
      </c>
      <c r="AN45" s="134">
        <f>'ADJ DETAIL INPUT'!AO44</f>
        <v>-463.7</v>
      </c>
      <c r="AO45" s="134">
        <f>'ADJ DETAIL INPUT'!AP44</f>
        <v>967</v>
      </c>
      <c r="AP45" s="134">
        <f>'ADJ DETAIL INPUT'!AQ44</f>
        <v>0</v>
      </c>
      <c r="AQ45" s="134">
        <f>'ADJ DETAIL INPUT'!AR44</f>
        <v>0</v>
      </c>
      <c r="AR45" s="134">
        <f>'ADJ DETAIL INPUT'!AS44</f>
        <v>0</v>
      </c>
      <c r="AS45" s="134">
        <f>'ADJ DETAIL INPUT'!AT44</f>
        <v>1245</v>
      </c>
      <c r="AT45" s="134">
        <f>'ADJ DETAIL INPUT'!AU44</f>
        <v>0</v>
      </c>
      <c r="AU45" s="134">
        <f>'ADJ DETAIL INPUT'!AY44</f>
        <v>0</v>
      </c>
      <c r="AV45" s="134">
        <f>'ADJ DETAIL INPUT'!AZ44</f>
        <v>0</v>
      </c>
      <c r="AW45" s="134">
        <f>'ADJ DETAIL INPUT'!BA44</f>
        <v>0</v>
      </c>
      <c r="AX45" s="134">
        <f>'ADJ DETAIL INPUT'!BB44</f>
        <v>0</v>
      </c>
      <c r="AY45" s="134">
        <f>'ADJ DETAIL INPUT'!BC44</f>
        <v>0</v>
      </c>
      <c r="AZ45" s="134">
        <f>'ADJ DETAIL INPUT'!BD44</f>
        <v>0</v>
      </c>
      <c r="BA45" s="134">
        <f>'ADJ DETAIL INPUT'!BE44</f>
        <v>0</v>
      </c>
      <c r="BB45" s="134">
        <f>'ADJ DETAIL INPUT'!BF44</f>
        <v>895</v>
      </c>
      <c r="BC45" s="134">
        <f>'ADJ DETAIL INPUT'!BG44</f>
        <v>0</v>
      </c>
      <c r="BD45" s="134">
        <f>'ADJ DETAIL INPUT'!BH44</f>
        <v>0</v>
      </c>
    </row>
    <row r="46" spans="1:56">
      <c r="A46" s="116">
        <v>22</v>
      </c>
      <c r="C46" s="7" t="s">
        <v>370</v>
      </c>
      <c r="D46" s="118"/>
      <c r="E46" s="134">
        <f>'ADJ DETAIL INPUT'!E45</f>
        <v>1612</v>
      </c>
      <c r="F46" s="134">
        <f>'ADJ DETAIL INPUT'!F45</f>
        <v>0</v>
      </c>
      <c r="G46" s="134">
        <f>'ADJ DETAIL INPUT'!G45</f>
        <v>0</v>
      </c>
      <c r="H46" s="134">
        <f>'ADJ DETAIL INPUT'!H45</f>
        <v>0</v>
      </c>
      <c r="I46" s="134">
        <f>'ADJ DETAIL INPUT'!I45</f>
        <v>0</v>
      </c>
      <c r="J46" s="134">
        <f>'ADJ DETAIL INPUT'!J45</f>
        <v>0</v>
      </c>
      <c r="K46" s="134">
        <f>'ADJ DETAIL INPUT'!K45</f>
        <v>0</v>
      </c>
      <c r="L46" s="134">
        <f>'ADJ DETAIL INPUT'!L45</f>
        <v>0</v>
      </c>
      <c r="M46" s="134">
        <f>'ADJ DETAIL INPUT'!M45</f>
        <v>0</v>
      </c>
      <c r="N46" s="134">
        <f>'ADJ DETAIL INPUT'!N45</f>
        <v>0</v>
      </c>
      <c r="O46" s="134">
        <f>'ADJ DETAIL INPUT'!O45</f>
        <v>0</v>
      </c>
      <c r="P46" s="134">
        <f>'ADJ DETAIL INPUT'!P45</f>
        <v>0</v>
      </c>
      <c r="Q46" s="134">
        <f>'ADJ DETAIL INPUT'!Q45</f>
        <v>0</v>
      </c>
      <c r="R46" s="134">
        <f>'ADJ DETAIL INPUT'!R45</f>
        <v>0</v>
      </c>
      <c r="S46" s="134">
        <f>'ADJ DETAIL INPUT'!S45</f>
        <v>1</v>
      </c>
      <c r="T46" s="134">
        <f>'ADJ DETAIL INPUT'!T45</f>
        <v>0</v>
      </c>
      <c r="U46" s="134">
        <f>'ADJ DETAIL INPUT'!U45</f>
        <v>0</v>
      </c>
      <c r="V46" s="134">
        <f>'ADJ DETAIL INPUT'!V45</f>
        <v>0</v>
      </c>
      <c r="W46" s="134">
        <f>'ADJ DETAIL INPUT'!W45</f>
        <v>0</v>
      </c>
      <c r="X46" s="134">
        <f>'ADJ DETAIL INPUT'!X45</f>
        <v>0</v>
      </c>
      <c r="Y46" s="134">
        <f>'ADJ DETAIL INPUT'!Z45</f>
        <v>0</v>
      </c>
      <c r="Z46" s="134">
        <f>'ADJ DETAIL INPUT'!AA45</f>
        <v>-244</v>
      </c>
      <c r="AA46" s="134">
        <f>'ADJ DETAIL INPUT'!AB45</f>
        <v>0</v>
      </c>
      <c r="AB46" s="134">
        <f>'ADJ DETAIL INPUT'!AC45</f>
        <v>-112</v>
      </c>
      <c r="AC46" s="134">
        <f>'ADJ DETAIL INPUT'!AD45</f>
        <v>0</v>
      </c>
      <c r="AD46" s="134">
        <f>'ADJ DETAIL INPUT'!AE45</f>
        <v>0</v>
      </c>
      <c r="AE46" s="134">
        <f>'ADJ DETAIL INPUT'!AF45</f>
        <v>-1731</v>
      </c>
      <c r="AF46" s="134">
        <f>'ADJ DETAIL INPUT'!AG45</f>
        <v>0</v>
      </c>
      <c r="AG46" s="134">
        <f>'ADJ DETAIL INPUT'!AH45</f>
        <v>0</v>
      </c>
      <c r="AH46" s="134">
        <f>'ADJ DETAIL INPUT'!AI45</f>
        <v>0</v>
      </c>
      <c r="AI46" s="134">
        <f>'ADJ DETAIL INPUT'!AJ45</f>
        <v>0</v>
      </c>
      <c r="AJ46" s="134">
        <f>'ADJ DETAIL INPUT'!AK45</f>
        <v>0</v>
      </c>
      <c r="AK46" s="134">
        <f>'ADJ DETAIL INPUT'!AL45</f>
        <v>0</v>
      </c>
      <c r="AL46" s="134">
        <f>'ADJ DETAIL INPUT'!AM45</f>
        <v>0</v>
      </c>
      <c r="AM46" s="134">
        <f>'ADJ DETAIL INPUT'!AN45</f>
        <v>0</v>
      </c>
      <c r="AN46" s="134">
        <f>'ADJ DETAIL INPUT'!AO45</f>
        <v>0</v>
      </c>
      <c r="AO46" s="134">
        <f>'ADJ DETAIL INPUT'!AP45</f>
        <v>0</v>
      </c>
      <c r="AP46" s="134">
        <f>'ADJ DETAIL INPUT'!AQ45</f>
        <v>300</v>
      </c>
      <c r="AQ46" s="134">
        <f>'ADJ DETAIL INPUT'!AR45</f>
        <v>0</v>
      </c>
      <c r="AR46" s="134">
        <f>'ADJ DETAIL INPUT'!AS45</f>
        <v>0</v>
      </c>
      <c r="AS46" s="134">
        <f>'ADJ DETAIL INPUT'!AT45</f>
        <v>0</v>
      </c>
      <c r="AT46" s="134">
        <f>'ADJ DETAIL INPUT'!AU45</f>
        <v>0</v>
      </c>
      <c r="AU46" s="134">
        <f>'ADJ DETAIL INPUT'!AY45</f>
        <v>0</v>
      </c>
      <c r="AV46" s="134">
        <f>'ADJ DETAIL INPUT'!AZ45</f>
        <v>0</v>
      </c>
      <c r="AW46" s="134">
        <f>'ADJ DETAIL INPUT'!BA45</f>
        <v>0</v>
      </c>
      <c r="AX46" s="134">
        <f>'ADJ DETAIL INPUT'!BB45</f>
        <v>0</v>
      </c>
      <c r="AY46" s="134">
        <f>'ADJ DETAIL INPUT'!BC45</f>
        <v>0</v>
      </c>
      <c r="AZ46" s="134">
        <f>'ADJ DETAIL INPUT'!BD45</f>
        <v>0</v>
      </c>
      <c r="BA46" s="134">
        <f>'ADJ DETAIL INPUT'!BE45</f>
        <v>0</v>
      </c>
      <c r="BB46" s="134">
        <f>'ADJ DETAIL INPUT'!BF45</f>
        <v>0</v>
      </c>
      <c r="BC46" s="134">
        <f>'ADJ DETAIL INPUT'!BG45</f>
        <v>0</v>
      </c>
      <c r="BD46" s="134">
        <f>'ADJ DETAIL INPUT'!BH45</f>
        <v>0</v>
      </c>
    </row>
    <row r="47" spans="1:56">
      <c r="A47" s="116">
        <v>23</v>
      </c>
      <c r="C47" s="118" t="s">
        <v>20</v>
      </c>
      <c r="D47" s="118"/>
      <c r="E47" s="135">
        <f>'ADJ DETAIL INPUT'!E46</f>
        <v>1132</v>
      </c>
      <c r="F47" s="135">
        <f>'ADJ DETAIL INPUT'!F46</f>
        <v>0</v>
      </c>
      <c r="G47" s="135">
        <f>'ADJ DETAIL INPUT'!G46</f>
        <v>0</v>
      </c>
      <c r="H47" s="135">
        <f>'ADJ DETAIL INPUT'!H46</f>
        <v>0</v>
      </c>
      <c r="I47" s="135">
        <f>'ADJ DETAIL INPUT'!I46</f>
        <v>0</v>
      </c>
      <c r="J47" s="135">
        <f>'ADJ DETAIL INPUT'!J46</f>
        <v>0</v>
      </c>
      <c r="K47" s="135">
        <f>'ADJ DETAIL INPUT'!K46</f>
        <v>0</v>
      </c>
      <c r="L47" s="135">
        <f>'ADJ DETAIL INPUT'!L46</f>
        <v>0</v>
      </c>
      <c r="M47" s="135">
        <f>'ADJ DETAIL INPUT'!M46</f>
        <v>0</v>
      </c>
      <c r="N47" s="135">
        <f>'ADJ DETAIL INPUT'!N46</f>
        <v>0</v>
      </c>
      <c r="O47" s="135">
        <f>'ADJ DETAIL INPUT'!O46</f>
        <v>0</v>
      </c>
      <c r="P47" s="135">
        <f>'ADJ DETAIL INPUT'!P46</f>
        <v>0</v>
      </c>
      <c r="Q47" s="135">
        <f>'ADJ DETAIL INPUT'!Q46</f>
        <v>0</v>
      </c>
      <c r="R47" s="135">
        <f>'ADJ DETAIL INPUT'!R46</f>
        <v>0</v>
      </c>
      <c r="S47" s="135">
        <f>'ADJ DETAIL INPUT'!S46</f>
        <v>0</v>
      </c>
      <c r="T47" s="135">
        <f>'ADJ DETAIL INPUT'!T46</f>
        <v>0</v>
      </c>
      <c r="U47" s="135">
        <f>'ADJ DETAIL INPUT'!U46</f>
        <v>0</v>
      </c>
      <c r="V47" s="135">
        <f>'ADJ DETAIL INPUT'!V46</f>
        <v>0</v>
      </c>
      <c r="W47" s="135">
        <f>'ADJ DETAIL INPUT'!W46</f>
        <v>0</v>
      </c>
      <c r="X47" s="135">
        <f>'ADJ DETAIL INPUT'!X46</f>
        <v>0</v>
      </c>
      <c r="Y47" s="135">
        <f>'ADJ DETAIL INPUT'!Z46</f>
        <v>0</v>
      </c>
      <c r="Z47" s="135">
        <f>'ADJ DETAIL INPUT'!AA46</f>
        <v>0</v>
      </c>
      <c r="AA47" s="135">
        <f>'ADJ DETAIL INPUT'!AB46</f>
        <v>0</v>
      </c>
      <c r="AB47" s="135">
        <f>'ADJ DETAIL INPUT'!AC46</f>
        <v>0</v>
      </c>
      <c r="AC47" s="135">
        <f>'ADJ DETAIL INPUT'!AD46</f>
        <v>0</v>
      </c>
      <c r="AD47" s="135">
        <f>'ADJ DETAIL INPUT'!AE46</f>
        <v>0</v>
      </c>
      <c r="AE47" s="135">
        <f>'ADJ DETAIL INPUT'!AF46</f>
        <v>0</v>
      </c>
      <c r="AF47" s="135">
        <f>'ADJ DETAIL INPUT'!AG46</f>
        <v>0</v>
      </c>
      <c r="AG47" s="135">
        <f>'ADJ DETAIL INPUT'!AH46</f>
        <v>0</v>
      </c>
      <c r="AH47" s="135">
        <f>'ADJ DETAIL INPUT'!AI46</f>
        <v>0</v>
      </c>
      <c r="AI47" s="135">
        <f>'ADJ DETAIL INPUT'!AJ46</f>
        <v>0</v>
      </c>
      <c r="AJ47" s="135">
        <f>'ADJ DETAIL INPUT'!AK46</f>
        <v>0</v>
      </c>
      <c r="AK47" s="135">
        <f>'ADJ DETAIL INPUT'!AL46</f>
        <v>0</v>
      </c>
      <c r="AL47" s="135">
        <f>'ADJ DETAIL INPUT'!AM46</f>
        <v>0</v>
      </c>
      <c r="AM47" s="135">
        <f>'ADJ DETAIL INPUT'!AN46</f>
        <v>0</v>
      </c>
      <c r="AN47" s="135">
        <f>'ADJ DETAIL INPUT'!AO46</f>
        <v>0</v>
      </c>
      <c r="AO47" s="135">
        <f>'ADJ DETAIL INPUT'!AP46</f>
        <v>0</v>
      </c>
      <c r="AP47" s="135">
        <f>'ADJ DETAIL INPUT'!AQ46</f>
        <v>0</v>
      </c>
      <c r="AQ47" s="135">
        <f>'ADJ DETAIL INPUT'!AR46</f>
        <v>0</v>
      </c>
      <c r="AR47" s="135">
        <f>'ADJ DETAIL INPUT'!AS46</f>
        <v>0</v>
      </c>
      <c r="AS47" s="135">
        <f>'ADJ DETAIL INPUT'!AT46</f>
        <v>0</v>
      </c>
      <c r="AT47" s="135">
        <f>'ADJ DETAIL INPUT'!AU46</f>
        <v>0</v>
      </c>
      <c r="AU47" s="135">
        <f>'ADJ DETAIL INPUT'!AY46</f>
        <v>0</v>
      </c>
      <c r="AV47" s="135">
        <f>'ADJ DETAIL INPUT'!AZ46</f>
        <v>0</v>
      </c>
      <c r="AW47" s="135">
        <f>'ADJ DETAIL INPUT'!BA46</f>
        <v>0</v>
      </c>
      <c r="AX47" s="135">
        <f>'ADJ DETAIL INPUT'!BB46</f>
        <v>0</v>
      </c>
      <c r="AY47" s="135">
        <f>'ADJ DETAIL INPUT'!BC46</f>
        <v>0</v>
      </c>
      <c r="AZ47" s="135">
        <f>'ADJ DETAIL INPUT'!BD46</f>
        <v>0</v>
      </c>
      <c r="BA47" s="135">
        <f>'ADJ DETAIL INPUT'!BE46</f>
        <v>0</v>
      </c>
      <c r="BB47" s="135">
        <f>'ADJ DETAIL INPUT'!BF46</f>
        <v>0</v>
      </c>
      <c r="BC47" s="135">
        <f>'ADJ DETAIL INPUT'!BG46</f>
        <v>0</v>
      </c>
      <c r="BD47" s="135">
        <f>'ADJ DETAIL INPUT'!BH46</f>
        <v>0</v>
      </c>
    </row>
    <row r="48" spans="1:56">
      <c r="A48" s="116">
        <v>24</v>
      </c>
      <c r="B48" s="118" t="s">
        <v>51</v>
      </c>
      <c r="C48" s="118"/>
      <c r="E48" s="135">
        <f>SUM(E44:E47)</f>
        <v>39944</v>
      </c>
      <c r="F48" s="135">
        <f t="shared" ref="F48:R48" si="34">SUM(F44:F47)</f>
        <v>0</v>
      </c>
      <c r="G48" s="135">
        <f t="shared" si="34"/>
        <v>0</v>
      </c>
      <c r="H48" s="135">
        <f t="shared" si="34"/>
        <v>0</v>
      </c>
      <c r="I48" s="135">
        <f t="shared" si="34"/>
        <v>0</v>
      </c>
      <c r="J48" s="135">
        <f t="shared" si="34"/>
        <v>0</v>
      </c>
      <c r="K48" s="135">
        <f t="shared" si="34"/>
        <v>0</v>
      </c>
      <c r="L48" s="135">
        <f t="shared" si="34"/>
        <v>398</v>
      </c>
      <c r="M48" s="135">
        <f t="shared" si="34"/>
        <v>-18</v>
      </c>
      <c r="N48" s="135">
        <f t="shared" si="34"/>
        <v>0</v>
      </c>
      <c r="O48" s="135">
        <f t="shared" si="34"/>
        <v>-10</v>
      </c>
      <c r="P48" s="135">
        <f t="shared" si="34"/>
        <v>0</v>
      </c>
      <c r="Q48" s="135">
        <f t="shared" si="34"/>
        <v>0</v>
      </c>
      <c r="R48" s="135">
        <f t="shared" si="34"/>
        <v>0</v>
      </c>
      <c r="S48" s="135">
        <f t="shared" ref="S48:T48" si="35">SUM(S44:S47)</f>
        <v>-106</v>
      </c>
      <c r="T48" s="135">
        <f t="shared" si="35"/>
        <v>-409.2</v>
      </c>
      <c r="U48" s="135">
        <f t="shared" ref="U48" si="36">SUM(U44:U47)</f>
        <v>250.28299999999999</v>
      </c>
      <c r="V48" s="135">
        <f>SUM(V44:V47)</f>
        <v>0</v>
      </c>
      <c r="W48" s="135">
        <f>SUM(W44:W47)</f>
        <v>0</v>
      </c>
      <c r="X48" s="135">
        <f>SUM(X44:X47)</f>
        <v>0</v>
      </c>
      <c r="Y48" s="135">
        <f>SUM(Y44:Y47)</f>
        <v>-358</v>
      </c>
      <c r="Z48" s="135">
        <f t="shared" ref="Z48:BD48" si="37">SUM(Z44:Z47)</f>
        <v>-244</v>
      </c>
      <c r="AA48" s="135">
        <f t="shared" si="37"/>
        <v>0</v>
      </c>
      <c r="AB48" s="135">
        <f t="shared" si="37"/>
        <v>-112</v>
      </c>
      <c r="AC48" s="135">
        <f t="shared" si="37"/>
        <v>648</v>
      </c>
      <c r="AD48" s="135">
        <f t="shared" si="37"/>
        <v>19.004999999999999</v>
      </c>
      <c r="AE48" s="135">
        <f t="shared" si="37"/>
        <v>-1716</v>
      </c>
      <c r="AF48" s="135">
        <f t="shared" ref="AF48" si="38">SUM(AF44:AF47)</f>
        <v>368.4</v>
      </c>
      <c r="AG48" s="135">
        <f t="shared" si="37"/>
        <v>0</v>
      </c>
      <c r="AH48" s="135">
        <f t="shared" si="37"/>
        <v>112.90900000000001</v>
      </c>
      <c r="AI48" s="135">
        <f t="shared" si="37"/>
        <v>0</v>
      </c>
      <c r="AJ48" s="135">
        <f t="shared" si="37"/>
        <v>598</v>
      </c>
      <c r="AK48" s="135">
        <f t="shared" si="37"/>
        <v>20.6</v>
      </c>
      <c r="AL48" s="135">
        <f t="shared" si="37"/>
        <v>556.36900000000003</v>
      </c>
      <c r="AM48" s="135">
        <f t="shared" si="37"/>
        <v>625</v>
      </c>
      <c r="AN48" s="135">
        <f t="shared" ref="AN48:AO48" si="39">SUM(AN44:AN47)</f>
        <v>-463.7</v>
      </c>
      <c r="AO48" s="135">
        <f t="shared" si="39"/>
        <v>967</v>
      </c>
      <c r="AP48" s="135">
        <f t="shared" ref="AP48" si="40">SUM(AP44:AP47)</f>
        <v>300</v>
      </c>
      <c r="AQ48" s="135">
        <f t="shared" si="37"/>
        <v>178</v>
      </c>
      <c r="AR48" s="135">
        <f t="shared" si="37"/>
        <v>150</v>
      </c>
      <c r="AS48" s="135">
        <f t="shared" si="37"/>
        <v>1245</v>
      </c>
      <c r="AT48" s="135">
        <f t="shared" si="37"/>
        <v>-88.394999999999996</v>
      </c>
      <c r="AU48" s="135">
        <f t="shared" ref="AU48" si="41">SUM(AU44:AU47)</f>
        <v>0</v>
      </c>
      <c r="AV48" s="135">
        <f t="shared" si="37"/>
        <v>0</v>
      </c>
      <c r="AW48" s="135">
        <f t="shared" si="37"/>
        <v>250.4</v>
      </c>
      <c r="AX48" s="135">
        <f t="shared" si="37"/>
        <v>52.8</v>
      </c>
      <c r="AY48" s="135">
        <f t="shared" si="37"/>
        <v>0</v>
      </c>
      <c r="AZ48" s="135">
        <f t="shared" si="37"/>
        <v>-65</v>
      </c>
      <c r="BA48" s="135">
        <f t="shared" si="37"/>
        <v>222.548</v>
      </c>
      <c r="BB48" s="135">
        <f t="shared" si="37"/>
        <v>895</v>
      </c>
      <c r="BC48" s="135">
        <f t="shared" si="37"/>
        <v>-130.83500000000001</v>
      </c>
      <c r="BD48" s="135">
        <f t="shared" si="37"/>
        <v>0</v>
      </c>
    </row>
    <row r="49" spans="1:56" ht="19.5" customHeight="1">
      <c r="A49" s="116">
        <v>25</v>
      </c>
      <c r="B49" s="92" t="s">
        <v>52</v>
      </c>
      <c r="C49" s="118"/>
      <c r="D49" s="118"/>
      <c r="E49" s="135">
        <f t="shared" ref="E49" si="42">E21+E25+E31+E37+E39+E40+E41+E48</f>
        <v>260577</v>
      </c>
      <c r="F49" s="135">
        <f t="shared" ref="F49:R49" si="43">F21+F25+F31+F37+F39+F40+F41+F48</f>
        <v>0</v>
      </c>
      <c r="G49" s="135">
        <f t="shared" si="43"/>
        <v>0</v>
      </c>
      <c r="H49" s="135">
        <f t="shared" si="43"/>
        <v>0</v>
      </c>
      <c r="I49" s="135">
        <f t="shared" si="43"/>
        <v>-8688</v>
      </c>
      <c r="J49" s="135">
        <f t="shared" si="43"/>
        <v>288</v>
      </c>
      <c r="K49" s="135">
        <f t="shared" si="43"/>
        <v>927</v>
      </c>
      <c r="L49" s="135">
        <f t="shared" si="43"/>
        <v>398</v>
      </c>
      <c r="M49" s="135">
        <f t="shared" si="43"/>
        <v>-18</v>
      </c>
      <c r="N49" s="135">
        <f t="shared" si="43"/>
        <v>0</v>
      </c>
      <c r="O49" s="135">
        <f t="shared" si="43"/>
        <v>-10</v>
      </c>
      <c r="P49" s="135">
        <f t="shared" si="43"/>
        <v>-4</v>
      </c>
      <c r="Q49" s="135">
        <f t="shared" si="43"/>
        <v>-11</v>
      </c>
      <c r="R49" s="135">
        <f t="shared" si="43"/>
        <v>-56</v>
      </c>
      <c r="S49" s="135">
        <f t="shared" ref="S49:T49" si="44">S21+S25+S31+S37+S39+S40+S41+S48</f>
        <v>-72773</v>
      </c>
      <c r="T49" s="135">
        <f t="shared" si="44"/>
        <v>-415.2</v>
      </c>
      <c r="U49" s="135">
        <f t="shared" ref="U49" si="45">U21+U25+U31+U37+U39+U40+U41+U48</f>
        <v>250.28299999999999</v>
      </c>
      <c r="V49" s="135">
        <f>V21+V25+V31+V37+V39+V40+V41+V48</f>
        <v>0</v>
      </c>
      <c r="W49" s="135">
        <f>W21+W25+W31+W37+W39+W40+W41+W48</f>
        <v>0</v>
      </c>
      <c r="X49" s="135">
        <f>X21+X25+X31+X37+X39+X40+X41+X48</f>
        <v>0</v>
      </c>
      <c r="Y49" s="135">
        <f>Y21+Y25+Y31+Y37+Y39+Y40+Y41+Y48</f>
        <v>-94600</v>
      </c>
      <c r="Z49" s="135">
        <f t="shared" ref="Z49:BD49" si="46">Z21+Z25+Z31+Z37+Z39+Z40+Z41+Z48</f>
        <v>-244</v>
      </c>
      <c r="AA49" s="135">
        <f t="shared" si="46"/>
        <v>0</v>
      </c>
      <c r="AB49" s="135">
        <f t="shared" si="46"/>
        <v>-803</v>
      </c>
      <c r="AC49" s="135">
        <f t="shared" si="46"/>
        <v>1825.3</v>
      </c>
      <c r="AD49" s="135">
        <f t="shared" si="46"/>
        <v>19.004999999999999</v>
      </c>
      <c r="AE49" s="135">
        <f t="shared" si="46"/>
        <v>-1689.2</v>
      </c>
      <c r="AF49" s="135">
        <f t="shared" ref="AF49" si="47">AF21+AF25+AF31+AF37+AF39+AF40+AF41+AF48</f>
        <v>368.79999999999995</v>
      </c>
      <c r="AG49" s="135">
        <f t="shared" si="46"/>
        <v>78</v>
      </c>
      <c r="AH49" s="135">
        <f t="shared" si="46"/>
        <v>112.90900000000001</v>
      </c>
      <c r="AI49" s="135">
        <f t="shared" si="46"/>
        <v>946</v>
      </c>
      <c r="AJ49" s="135">
        <f t="shared" si="46"/>
        <v>598</v>
      </c>
      <c r="AK49" s="135">
        <f t="shared" si="46"/>
        <v>20.6</v>
      </c>
      <c r="AL49" s="135">
        <f t="shared" si="46"/>
        <v>1633.6619999999998</v>
      </c>
      <c r="AM49" s="135">
        <f t="shared" si="46"/>
        <v>1270</v>
      </c>
      <c r="AN49" s="135">
        <f t="shared" ref="AN49:AO49" si="48">AN21+AN25+AN31+AN37+AN39+AN40+AN41+AN48</f>
        <v>-904.2</v>
      </c>
      <c r="AO49" s="135">
        <f t="shared" si="48"/>
        <v>1957</v>
      </c>
      <c r="AP49" s="135">
        <f t="shared" ref="AP49" si="49">AP21+AP25+AP31+AP37+AP39+AP40+AP41+AP48</f>
        <v>300</v>
      </c>
      <c r="AQ49" s="135">
        <f t="shared" si="46"/>
        <v>178</v>
      </c>
      <c r="AR49" s="135">
        <f t="shared" si="46"/>
        <v>150</v>
      </c>
      <c r="AS49" s="135">
        <f t="shared" si="46"/>
        <v>2170</v>
      </c>
      <c r="AT49" s="135">
        <f t="shared" si="46"/>
        <v>-278.70699999999999</v>
      </c>
      <c r="AU49" s="135">
        <f t="shared" ref="AU49" si="50">AU21+AU25+AU31+AU37+AU39+AU40+AU41+AU48</f>
        <v>0</v>
      </c>
      <c r="AV49" s="135">
        <f t="shared" si="46"/>
        <v>-105</v>
      </c>
      <c r="AW49" s="135">
        <f t="shared" si="46"/>
        <v>734.9</v>
      </c>
      <c r="AX49" s="135">
        <f t="shared" si="46"/>
        <v>146.80000000000001</v>
      </c>
      <c r="AY49" s="135">
        <f t="shared" si="46"/>
        <v>30</v>
      </c>
      <c r="AZ49" s="135">
        <f t="shared" si="46"/>
        <v>-65</v>
      </c>
      <c r="BA49" s="135">
        <f t="shared" si="46"/>
        <v>653.46600000000001</v>
      </c>
      <c r="BB49" s="135">
        <f t="shared" si="46"/>
        <v>1740</v>
      </c>
      <c r="BC49" s="135">
        <f t="shared" si="46"/>
        <v>-200.87900000000002</v>
      </c>
      <c r="BD49" s="135">
        <f t="shared" si="46"/>
        <v>0</v>
      </c>
    </row>
    <row r="50" spans="1:56">
      <c r="C50" s="118"/>
      <c r="D50" s="118"/>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row>
    <row r="51" spans="1:56" ht="13.15" customHeight="1">
      <c r="A51" s="116">
        <v>26</v>
      </c>
      <c r="B51" s="92" t="s">
        <v>53</v>
      </c>
      <c r="C51" s="118"/>
      <c r="D51" s="118"/>
      <c r="E51" s="134">
        <f>E18-E49</f>
        <v>28262</v>
      </c>
      <c r="F51" s="134">
        <f t="shared" ref="F51:R51" si="51">F18-F49</f>
        <v>0</v>
      </c>
      <c r="G51" s="134">
        <f t="shared" si="51"/>
        <v>0</v>
      </c>
      <c r="H51" s="134">
        <f t="shared" si="51"/>
        <v>0</v>
      </c>
      <c r="I51" s="134">
        <f t="shared" si="51"/>
        <v>42</v>
      </c>
      <c r="J51" s="134">
        <f t="shared" si="51"/>
        <v>-288</v>
      </c>
      <c r="K51" s="134">
        <f t="shared" si="51"/>
        <v>-927</v>
      </c>
      <c r="L51" s="134">
        <f t="shared" si="51"/>
        <v>-398</v>
      </c>
      <c r="M51" s="134">
        <f t="shared" si="51"/>
        <v>18</v>
      </c>
      <c r="N51" s="134">
        <f t="shared" si="51"/>
        <v>0</v>
      </c>
      <c r="O51" s="134">
        <f t="shared" si="51"/>
        <v>10</v>
      </c>
      <c r="P51" s="134">
        <f t="shared" si="51"/>
        <v>4</v>
      </c>
      <c r="Q51" s="134">
        <f t="shared" si="51"/>
        <v>11</v>
      </c>
      <c r="R51" s="134">
        <f t="shared" si="51"/>
        <v>-43</v>
      </c>
      <c r="S51" s="134">
        <f t="shared" ref="S51:T51" si="52">S18-S49</f>
        <v>12195</v>
      </c>
      <c r="T51" s="134">
        <f t="shared" si="52"/>
        <v>415.2</v>
      </c>
      <c r="U51" s="134">
        <f t="shared" ref="U51" si="53">U18-U49</f>
        <v>-250.28299999999999</v>
      </c>
      <c r="V51" s="134">
        <f>V18-V49</f>
        <v>0</v>
      </c>
      <c r="W51" s="134">
        <f>W18-W49</f>
        <v>0</v>
      </c>
      <c r="X51" s="134">
        <f>X18-X49</f>
        <v>0</v>
      </c>
      <c r="Y51" s="134">
        <f>Y18-Y49</f>
        <v>2433</v>
      </c>
      <c r="Z51" s="134">
        <f t="shared" ref="Z51:BD51" si="54">Z18-Z49</f>
        <v>244</v>
      </c>
      <c r="AA51" s="134">
        <f t="shared" si="54"/>
        <v>0</v>
      </c>
      <c r="AB51" s="134">
        <f t="shared" si="54"/>
        <v>803</v>
      </c>
      <c r="AC51" s="134">
        <f t="shared" si="54"/>
        <v>-1825.3</v>
      </c>
      <c r="AD51" s="134">
        <f t="shared" si="54"/>
        <v>-19.004999999999999</v>
      </c>
      <c r="AE51" s="134">
        <f t="shared" si="54"/>
        <v>1689.2</v>
      </c>
      <c r="AF51" s="134">
        <f t="shared" ref="AF51" si="55">AF18-AF49</f>
        <v>-368.79999999999995</v>
      </c>
      <c r="AG51" s="134">
        <f t="shared" si="54"/>
        <v>-78</v>
      </c>
      <c r="AH51" s="134">
        <f t="shared" si="54"/>
        <v>-112.90900000000001</v>
      </c>
      <c r="AI51" s="134">
        <f t="shared" si="54"/>
        <v>-946</v>
      </c>
      <c r="AJ51" s="134">
        <f t="shared" si="54"/>
        <v>-598</v>
      </c>
      <c r="AK51" s="134">
        <f t="shared" si="54"/>
        <v>-20.6</v>
      </c>
      <c r="AL51" s="134">
        <f t="shared" si="54"/>
        <v>-1633.6619999999998</v>
      </c>
      <c r="AM51" s="134">
        <f t="shared" si="54"/>
        <v>-1270</v>
      </c>
      <c r="AN51" s="134">
        <f t="shared" ref="AN51:AO51" si="56">AN18-AN49</f>
        <v>904.2</v>
      </c>
      <c r="AO51" s="134">
        <f t="shared" si="56"/>
        <v>-1957</v>
      </c>
      <c r="AP51" s="134">
        <f t="shared" ref="AP51" si="57">AP18-AP49</f>
        <v>-300</v>
      </c>
      <c r="AQ51" s="134">
        <f t="shared" si="54"/>
        <v>-178</v>
      </c>
      <c r="AR51" s="134">
        <f t="shared" si="54"/>
        <v>-150</v>
      </c>
      <c r="AS51" s="134">
        <f t="shared" si="54"/>
        <v>-2170</v>
      </c>
      <c r="AT51" s="134">
        <f t="shared" si="54"/>
        <v>622.70699999999999</v>
      </c>
      <c r="AU51" s="134">
        <f t="shared" ref="AU51" si="58">AU18-AU49</f>
        <v>0</v>
      </c>
      <c r="AV51" s="134">
        <f t="shared" si="54"/>
        <v>105</v>
      </c>
      <c r="AW51" s="134">
        <f t="shared" si="54"/>
        <v>-734.9</v>
      </c>
      <c r="AX51" s="134">
        <f t="shared" si="54"/>
        <v>-146.80000000000001</v>
      </c>
      <c r="AY51" s="134">
        <f t="shared" si="54"/>
        <v>-30</v>
      </c>
      <c r="AZ51" s="134">
        <f t="shared" si="54"/>
        <v>65</v>
      </c>
      <c r="BA51" s="134">
        <f t="shared" si="54"/>
        <v>-653.46600000000001</v>
      </c>
      <c r="BB51" s="134">
        <f t="shared" si="54"/>
        <v>-1740</v>
      </c>
      <c r="BC51" s="134">
        <f t="shared" si="54"/>
        <v>239.87900000000002</v>
      </c>
      <c r="BD51" s="134">
        <f t="shared" si="54"/>
        <v>0</v>
      </c>
    </row>
    <row r="52" spans="1:56" ht="13.15" customHeight="1">
      <c r="C52" s="118"/>
      <c r="D52" s="118"/>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row>
    <row r="53" spans="1:56" ht="13.15" customHeight="1">
      <c r="B53" s="92" t="s">
        <v>54</v>
      </c>
      <c r="C53" s="118"/>
      <c r="D53" s="118"/>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row>
    <row r="54" spans="1:56">
      <c r="A54" s="116">
        <v>27</v>
      </c>
      <c r="B54" s="118" t="s">
        <v>55</v>
      </c>
      <c r="D54" s="118"/>
      <c r="E54" s="134">
        <f>'ADJ DETAIL INPUT'!E53</f>
        <v>-4387</v>
      </c>
      <c r="F54" s="134">
        <f>'ADJ DETAIL INPUT'!F53</f>
        <v>0</v>
      </c>
      <c r="G54" s="134">
        <f>'ADJ DETAIL INPUT'!G53</f>
        <v>0</v>
      </c>
      <c r="H54" s="134">
        <f>'ADJ DETAIL INPUT'!H53</f>
        <v>0</v>
      </c>
      <c r="I54" s="134">
        <f>'ADJ DETAIL INPUT'!I53</f>
        <v>8.82</v>
      </c>
      <c r="J54" s="134">
        <f>'ADJ DETAIL INPUT'!J53</f>
        <v>-60.48</v>
      </c>
      <c r="K54" s="134">
        <f>'ADJ DETAIL INPUT'!K53</f>
        <v>-194.67</v>
      </c>
      <c r="L54" s="134">
        <f>'ADJ DETAIL INPUT'!L53</f>
        <v>-83.58</v>
      </c>
      <c r="M54" s="134">
        <f>'ADJ DETAIL INPUT'!M53</f>
        <v>3.78</v>
      </c>
      <c r="N54" s="134">
        <f>'ADJ DETAIL INPUT'!N53</f>
        <v>0</v>
      </c>
      <c r="O54" s="134">
        <f>'ADJ DETAIL INPUT'!O53</f>
        <v>2.1</v>
      </c>
      <c r="P54" s="134">
        <f>'ADJ DETAIL INPUT'!P53</f>
        <v>0.84</v>
      </c>
      <c r="Q54" s="134">
        <f>'ADJ DETAIL INPUT'!Q53</f>
        <v>2.31</v>
      </c>
      <c r="R54" s="134">
        <f>'ADJ DETAIL INPUT'!R53</f>
        <v>-9.0299999999999994</v>
      </c>
      <c r="S54" s="134">
        <f>'ADJ DETAIL INPUT'!S53</f>
        <v>2560.9499999999998</v>
      </c>
      <c r="T54" s="134">
        <f>'ADJ DETAIL INPUT'!T53</f>
        <v>87.191999999999993</v>
      </c>
      <c r="U54" s="134">
        <f>'ADJ DETAIL INPUT'!U53</f>
        <v>-52.559429999999992</v>
      </c>
      <c r="V54" s="134">
        <f>'ADJ DETAIL INPUT'!V53</f>
        <v>57</v>
      </c>
      <c r="W54" s="134">
        <f>'ADJ DETAIL INPUT'!W53</f>
        <v>0</v>
      </c>
      <c r="X54" s="134">
        <f>'ADJ DETAIL INPUT'!X53</f>
        <v>0</v>
      </c>
      <c r="Y54" s="134">
        <f>'ADJ DETAIL INPUT'!Z53</f>
        <v>510.93</v>
      </c>
      <c r="Z54" s="134">
        <f>'ADJ DETAIL INPUT'!AA53</f>
        <v>51.239999999999995</v>
      </c>
      <c r="AA54" s="134">
        <f>'ADJ DETAIL INPUT'!AB53</f>
        <v>0</v>
      </c>
      <c r="AB54" s="134">
        <f>'ADJ DETAIL INPUT'!AC53</f>
        <v>168.63</v>
      </c>
      <c r="AC54" s="134">
        <f>'ADJ DETAIL INPUT'!AD53</f>
        <v>-383.31299999999999</v>
      </c>
      <c r="AD54" s="134">
        <f>'ADJ DETAIL INPUT'!AE53</f>
        <v>-3.9910499999999995</v>
      </c>
      <c r="AE54" s="134">
        <f>'ADJ DETAIL INPUT'!AF53</f>
        <v>354.73199999999997</v>
      </c>
      <c r="AF54" s="134">
        <f>'ADJ DETAIL INPUT'!AG53</f>
        <v>-77.447999999999993</v>
      </c>
      <c r="AG54" s="134">
        <f>'ADJ DETAIL INPUT'!AH53</f>
        <v>-16.38</v>
      </c>
      <c r="AH54" s="134">
        <f>'ADJ DETAIL INPUT'!AI53</f>
        <v>-23.710889999999999</v>
      </c>
      <c r="AI54" s="134">
        <f>'ADJ DETAIL INPUT'!AJ53</f>
        <v>-198.66</v>
      </c>
      <c r="AJ54" s="134">
        <f>'ADJ DETAIL INPUT'!AK53</f>
        <v>-125.58</v>
      </c>
      <c r="AK54" s="134">
        <f>'ADJ DETAIL INPUT'!AL53</f>
        <v>-4.3260000000000005</v>
      </c>
      <c r="AL54" s="134">
        <f>'ADJ DETAIL INPUT'!AM53</f>
        <v>-343.06901999999997</v>
      </c>
      <c r="AM54" s="134">
        <f>'ADJ DETAIL INPUT'!AN53</f>
        <v>-266.7</v>
      </c>
      <c r="AN54" s="134">
        <f>'ADJ DETAIL INPUT'!AO53</f>
        <v>189.88200000000001</v>
      </c>
      <c r="AO54" s="134">
        <f>'ADJ DETAIL INPUT'!AP53</f>
        <v>-410.96999999999997</v>
      </c>
      <c r="AP54" s="134">
        <f>'ADJ DETAIL INPUT'!AQ53</f>
        <v>-63</v>
      </c>
      <c r="AQ54" s="134">
        <f>'ADJ DETAIL INPUT'!AR53</f>
        <v>-37.379999999999995</v>
      </c>
      <c r="AR54" s="134">
        <f>'ADJ DETAIL INPUT'!AS53</f>
        <v>-31.5</v>
      </c>
      <c r="AS54" s="134">
        <f>'ADJ DETAIL INPUT'!AT53</f>
        <v>-455.7</v>
      </c>
      <c r="AT54" s="134">
        <f>'ADJ DETAIL INPUT'!AU53</f>
        <v>130.76847000000001</v>
      </c>
      <c r="AU54" s="134">
        <f>'ADJ DETAIL INPUT'!AY53</f>
        <v>0</v>
      </c>
      <c r="AV54" s="134">
        <f>'ADJ DETAIL INPUT'!AZ53</f>
        <v>22.05</v>
      </c>
      <c r="AW54" s="134">
        <f>'ADJ DETAIL INPUT'!BA53</f>
        <v>-154.32899999999998</v>
      </c>
      <c r="AX54" s="134">
        <f>'ADJ DETAIL INPUT'!BB53</f>
        <v>-30.828000000000003</v>
      </c>
      <c r="AY54" s="134">
        <f>'ADJ DETAIL INPUT'!BC53</f>
        <v>-6.3</v>
      </c>
      <c r="AZ54" s="134">
        <f>'ADJ DETAIL INPUT'!BD53</f>
        <v>13.65</v>
      </c>
      <c r="BA54" s="134">
        <f>'ADJ DETAIL INPUT'!BE53</f>
        <v>-137.22785999999999</v>
      </c>
      <c r="BB54" s="134">
        <f>'ADJ DETAIL INPUT'!BF53</f>
        <v>-365.4</v>
      </c>
      <c r="BC54" s="134">
        <f>'ADJ DETAIL INPUT'!BG53</f>
        <v>50.374590000000005</v>
      </c>
      <c r="BD54" s="134">
        <f>'ADJ DETAIL INPUT'!BH53</f>
        <v>0</v>
      </c>
    </row>
    <row r="55" spans="1:56">
      <c r="A55" s="116">
        <v>28</v>
      </c>
      <c r="B55" s="118" t="s">
        <v>170</v>
      </c>
      <c r="D55" s="118"/>
      <c r="E55" s="134">
        <f>'ADJ DETAIL INPUT'!E54</f>
        <v>0</v>
      </c>
      <c r="F55" s="134">
        <f>'ADJ DETAIL INPUT'!F54</f>
        <v>1.208928</v>
      </c>
      <c r="G55" s="134">
        <f>'ADJ DETAIL INPUT'!G54</f>
        <v>0</v>
      </c>
      <c r="H55" s="134">
        <f>'ADJ DETAIL INPUT'!H54</f>
        <v>3.4972560000000001</v>
      </c>
      <c r="I55" s="134">
        <f>'ADJ DETAIL INPUT'!I54</f>
        <v>0</v>
      </c>
      <c r="J55" s="134">
        <f>'ADJ DETAIL INPUT'!J54</f>
        <v>0</v>
      </c>
      <c r="K55" s="134">
        <f>'ADJ DETAIL INPUT'!K54</f>
        <v>0</v>
      </c>
      <c r="L55" s="134">
        <f>'ADJ DETAIL INPUT'!L54</f>
        <v>0</v>
      </c>
      <c r="M55" s="134">
        <f>'ADJ DETAIL INPUT'!M54</f>
        <v>0</v>
      </c>
      <c r="N55" s="134">
        <f>'ADJ DETAIL INPUT'!N54</f>
        <v>0</v>
      </c>
      <c r="O55" s="134">
        <f>'ADJ DETAIL INPUT'!O54</f>
        <v>0</v>
      </c>
      <c r="P55" s="134">
        <f>'ADJ DETAIL INPUT'!P54</f>
        <v>0</v>
      </c>
      <c r="Q55" s="134">
        <f>'ADJ DETAIL INPUT'!Q54</f>
        <v>0</v>
      </c>
      <c r="R55" s="134">
        <f>'ADJ DETAIL INPUT'!R54</f>
        <v>0</v>
      </c>
      <c r="S55" s="134">
        <f>'ADJ DETAIL INPUT'!S54</f>
        <v>0</v>
      </c>
      <c r="T55" s="134">
        <f>'ADJ DETAIL INPUT'!T54</f>
        <v>0</v>
      </c>
      <c r="U55" s="134">
        <f>'ADJ DETAIL INPUT'!U54</f>
        <v>0</v>
      </c>
      <c r="V55" s="134">
        <f>'ADJ DETAIL INPUT'!V54</f>
        <v>0</v>
      </c>
      <c r="W55" s="134">
        <f>'ADJ DETAIL INPUT'!W54</f>
        <v>-66.965975999999998</v>
      </c>
      <c r="X55" s="134">
        <f>'ADJ DETAIL INPUT'!X54</f>
        <v>0</v>
      </c>
      <c r="Y55" s="134">
        <f>'ADJ DETAIL INPUT'!Z54</f>
        <v>0</v>
      </c>
      <c r="Z55" s="134">
        <f>'ADJ DETAIL INPUT'!AA54</f>
        <v>0</v>
      </c>
      <c r="AA55" s="134">
        <f>'ADJ DETAIL INPUT'!AB54</f>
        <v>0</v>
      </c>
      <c r="AB55" s="134">
        <f>'ADJ DETAIL INPUT'!AC54</f>
        <v>11.554976999999999</v>
      </c>
      <c r="AC55" s="134">
        <f>'ADJ DETAIL INPUT'!AD54</f>
        <v>0</v>
      </c>
      <c r="AD55" s="134">
        <f>'ADJ DETAIL INPUT'!AE54</f>
        <v>0</v>
      </c>
      <c r="AE55" s="134">
        <f>'ADJ DETAIL INPUT'!AF54</f>
        <v>0</v>
      </c>
      <c r="AF55" s="134">
        <f>'ADJ DETAIL INPUT'!AG54</f>
        <v>0</v>
      </c>
      <c r="AG55" s="134">
        <f>'ADJ DETAIL INPUT'!AH54</f>
        <v>0</v>
      </c>
      <c r="AH55" s="134">
        <f>'ADJ DETAIL INPUT'!AI54</f>
        <v>0</v>
      </c>
      <c r="AI55" s="134">
        <f>'ADJ DETAIL INPUT'!AJ54</f>
        <v>0</v>
      </c>
      <c r="AJ55" s="134">
        <f>'ADJ DETAIL INPUT'!AK54</f>
        <v>0</v>
      </c>
      <c r="AK55" s="134">
        <f>'ADJ DETAIL INPUT'!AL54</f>
        <v>0</v>
      </c>
      <c r="AL55" s="134">
        <f>'ADJ DETAIL INPUT'!AM54</f>
        <v>0</v>
      </c>
      <c r="AM55" s="134">
        <f>'ADJ DETAIL INPUT'!AN54</f>
        <v>-105.1761963</v>
      </c>
      <c r="AN55" s="134">
        <f>'ADJ DETAIL INPUT'!AO54</f>
        <v>0</v>
      </c>
      <c r="AO55" s="134">
        <f>'ADJ DETAIL INPUT'!AP54</f>
        <v>-111.00549600000001</v>
      </c>
      <c r="AP55" s="134">
        <f>'ADJ DETAIL INPUT'!AQ54</f>
        <v>0</v>
      </c>
      <c r="AQ55" s="134">
        <f>'ADJ DETAIL INPUT'!AR54</f>
        <v>0</v>
      </c>
      <c r="AR55" s="134">
        <f>'ADJ DETAIL INPUT'!AS54</f>
        <v>0</v>
      </c>
      <c r="AS55" s="134">
        <f>'ADJ DETAIL INPUT'!AT54</f>
        <v>-17.291448300000006</v>
      </c>
      <c r="AT55" s="134">
        <f>'ADJ DETAIL INPUT'!AU54</f>
        <v>0</v>
      </c>
      <c r="AU55" s="134">
        <f>'ADJ DETAIL INPUT'!AY54</f>
        <v>0</v>
      </c>
      <c r="AV55" s="134">
        <f>'ADJ DETAIL INPUT'!AZ54</f>
        <v>4.5766559999999998</v>
      </c>
      <c r="AW55" s="134">
        <f>'ADJ DETAIL INPUT'!BA54</f>
        <v>0</v>
      </c>
      <c r="AX55" s="134">
        <f>'ADJ DETAIL INPUT'!BB54</f>
        <v>0</v>
      </c>
      <c r="AY55" s="134">
        <f>'ADJ DETAIL INPUT'!BC54</f>
        <v>0</v>
      </c>
      <c r="AZ55" s="134">
        <f>'ADJ DETAIL INPUT'!BD54</f>
        <v>0</v>
      </c>
      <c r="BA55" s="134">
        <f>'ADJ DETAIL INPUT'!BE54</f>
        <v>0</v>
      </c>
      <c r="BB55" s="134">
        <f>'ADJ DETAIL INPUT'!BF54</f>
        <v>-92.228793300000007</v>
      </c>
      <c r="BC55" s="134">
        <f>'ADJ DETAIL INPUT'!BG54</f>
        <v>0</v>
      </c>
      <c r="BD55" s="134">
        <f>'ADJ DETAIL INPUT'!BH54</f>
        <v>0</v>
      </c>
    </row>
    <row r="56" spans="1:56">
      <c r="A56" s="116">
        <v>29</v>
      </c>
      <c r="B56" s="118" t="s">
        <v>56</v>
      </c>
      <c r="D56" s="118"/>
      <c r="E56" s="134">
        <f>'ADJ DETAIL INPUT'!E55</f>
        <v>-3743</v>
      </c>
      <c r="F56" s="134">
        <f>'ADJ DETAIL INPUT'!F55</f>
        <v>0</v>
      </c>
      <c r="G56" s="134">
        <f>'ADJ DETAIL INPUT'!G55</f>
        <v>0</v>
      </c>
      <c r="H56" s="134">
        <f>'ADJ DETAIL INPUT'!H55</f>
        <v>0</v>
      </c>
      <c r="I56" s="134">
        <f>'ADJ DETAIL INPUT'!I55</f>
        <v>0</v>
      </c>
      <c r="J56" s="134">
        <f>'ADJ DETAIL INPUT'!J55</f>
        <v>0</v>
      </c>
      <c r="K56" s="134">
        <f>'ADJ DETAIL INPUT'!K55</f>
        <v>0</v>
      </c>
      <c r="L56" s="134">
        <f>'ADJ DETAIL INPUT'!L55</f>
        <v>0</v>
      </c>
      <c r="M56" s="134">
        <f>'ADJ DETAIL INPUT'!M55</f>
        <v>0</v>
      </c>
      <c r="N56" s="134">
        <f>'ADJ DETAIL INPUT'!N55</f>
        <v>-101</v>
      </c>
      <c r="O56" s="134">
        <f>'ADJ DETAIL INPUT'!O55</f>
        <v>0</v>
      </c>
      <c r="P56" s="134">
        <f>'ADJ DETAIL INPUT'!P55</f>
        <v>0</v>
      </c>
      <c r="Q56" s="134">
        <f>'ADJ DETAIL INPUT'!Q55</f>
        <v>0</v>
      </c>
      <c r="R56" s="134">
        <f>'ADJ DETAIL INPUT'!R55</f>
        <v>0</v>
      </c>
      <c r="S56" s="134">
        <f>'ADJ DETAIL INPUT'!S55</f>
        <v>0</v>
      </c>
      <c r="T56" s="134">
        <f>'ADJ DETAIL INPUT'!T55</f>
        <v>0</v>
      </c>
      <c r="U56" s="134">
        <f>'ADJ DETAIL INPUT'!U55</f>
        <v>0</v>
      </c>
      <c r="V56" s="134">
        <f>'ADJ DETAIL INPUT'!V55</f>
        <v>0</v>
      </c>
      <c r="W56" s="134">
        <f>'ADJ DETAIL INPUT'!W55</f>
        <v>0</v>
      </c>
      <c r="X56" s="134">
        <f>'ADJ DETAIL INPUT'!X55</f>
        <v>0</v>
      </c>
      <c r="Y56" s="134">
        <f>'ADJ DETAIL INPUT'!Z55</f>
        <v>0</v>
      </c>
      <c r="Z56" s="134">
        <f>'ADJ DETAIL INPUT'!AA55</f>
        <v>0</v>
      </c>
      <c r="AA56" s="134">
        <f>'ADJ DETAIL INPUT'!AB55</f>
        <v>136</v>
      </c>
      <c r="AB56" s="134">
        <f>'ADJ DETAIL INPUT'!AC55</f>
        <v>0</v>
      </c>
      <c r="AC56" s="134">
        <f>'ADJ DETAIL INPUT'!AD55</f>
        <v>0</v>
      </c>
      <c r="AD56" s="134">
        <f>'ADJ DETAIL INPUT'!AE55</f>
        <v>0</v>
      </c>
      <c r="AE56" s="134">
        <f>'ADJ DETAIL INPUT'!AF55</f>
        <v>0</v>
      </c>
      <c r="AF56" s="134">
        <f>'ADJ DETAIL INPUT'!AG55</f>
        <v>0</v>
      </c>
      <c r="AG56" s="134">
        <f>'ADJ DETAIL INPUT'!AH55</f>
        <v>0</v>
      </c>
      <c r="AH56" s="134">
        <f>'ADJ DETAIL INPUT'!AI55</f>
        <v>0</v>
      </c>
      <c r="AI56" s="134">
        <f>'ADJ DETAIL INPUT'!AJ55</f>
        <v>0</v>
      </c>
      <c r="AJ56" s="134">
        <f>'ADJ DETAIL INPUT'!AK55</f>
        <v>0</v>
      </c>
      <c r="AK56" s="134">
        <f>'ADJ DETAIL INPUT'!AL55</f>
        <v>0</v>
      </c>
      <c r="AL56" s="134">
        <f>'ADJ DETAIL INPUT'!AM55</f>
        <v>0</v>
      </c>
      <c r="AM56" s="134">
        <f>'ADJ DETAIL INPUT'!AN55</f>
        <v>0</v>
      </c>
      <c r="AN56" s="134">
        <f>'ADJ DETAIL INPUT'!AO55</f>
        <v>0</v>
      </c>
      <c r="AO56" s="134">
        <f>'ADJ DETAIL INPUT'!AP55</f>
        <v>0</v>
      </c>
      <c r="AP56" s="134">
        <f>'ADJ DETAIL INPUT'!AQ55</f>
        <v>0</v>
      </c>
      <c r="AQ56" s="134">
        <f>'ADJ DETAIL INPUT'!AR55</f>
        <v>0</v>
      </c>
      <c r="AR56" s="134">
        <f>'ADJ DETAIL INPUT'!AS55</f>
        <v>0</v>
      </c>
      <c r="AS56" s="134">
        <f>'ADJ DETAIL INPUT'!AT55</f>
        <v>0</v>
      </c>
      <c r="AT56" s="134">
        <f>'ADJ DETAIL INPUT'!AU55</f>
        <v>0</v>
      </c>
      <c r="AU56" s="134">
        <f>'ADJ DETAIL INPUT'!AY55</f>
        <v>0</v>
      </c>
      <c r="AV56" s="134">
        <f>'ADJ DETAIL INPUT'!AZ55</f>
        <v>0</v>
      </c>
      <c r="AW56" s="134">
        <f>'ADJ DETAIL INPUT'!BA55</f>
        <v>0</v>
      </c>
      <c r="AX56" s="134">
        <f>'ADJ DETAIL INPUT'!BB55</f>
        <v>0</v>
      </c>
      <c r="AY56" s="134">
        <f>'ADJ DETAIL INPUT'!BC55</f>
        <v>0</v>
      </c>
      <c r="AZ56" s="134">
        <f>'ADJ DETAIL INPUT'!BD55</f>
        <v>0</v>
      </c>
      <c r="BA56" s="134">
        <f>'ADJ DETAIL INPUT'!BE55</f>
        <v>0</v>
      </c>
      <c r="BB56" s="134">
        <f>'ADJ DETAIL INPUT'!BF55</f>
        <v>0</v>
      </c>
      <c r="BC56" s="134">
        <f>'ADJ DETAIL INPUT'!BG55</f>
        <v>0</v>
      </c>
      <c r="BD56" s="134">
        <f>'ADJ DETAIL INPUT'!BH55</f>
        <v>0</v>
      </c>
    </row>
    <row r="57" spans="1:56">
      <c r="A57" s="116">
        <v>30</v>
      </c>
      <c r="B57" s="118" t="s">
        <v>57</v>
      </c>
      <c r="D57" s="118"/>
      <c r="E57" s="135">
        <f>'ADJ DETAIL INPUT'!E56</f>
        <v>0</v>
      </c>
      <c r="F57" s="135">
        <f>'ADJ DETAIL INPUT'!F56</f>
        <v>0</v>
      </c>
      <c r="G57" s="135">
        <f>'ADJ DETAIL INPUT'!G56</f>
        <v>0</v>
      </c>
      <c r="H57" s="135">
        <f>'ADJ DETAIL INPUT'!H56</f>
        <v>0</v>
      </c>
      <c r="I57" s="135">
        <f>'ADJ DETAIL INPUT'!I56</f>
        <v>0</v>
      </c>
      <c r="J57" s="135">
        <f>'ADJ DETAIL INPUT'!J56</f>
        <v>0</v>
      </c>
      <c r="K57" s="135">
        <f>'ADJ DETAIL INPUT'!K56</f>
        <v>0</v>
      </c>
      <c r="L57" s="135">
        <f>'ADJ DETAIL INPUT'!L56</f>
        <v>0</v>
      </c>
      <c r="M57" s="135">
        <f>'ADJ DETAIL INPUT'!M56</f>
        <v>0</v>
      </c>
      <c r="N57" s="135">
        <f>'ADJ DETAIL INPUT'!N56</f>
        <v>0</v>
      </c>
      <c r="O57" s="135">
        <f>'ADJ DETAIL INPUT'!O56</f>
        <v>0</v>
      </c>
      <c r="P57" s="135">
        <f>'ADJ DETAIL INPUT'!P56</f>
        <v>0</v>
      </c>
      <c r="Q57" s="135">
        <f>'ADJ DETAIL INPUT'!Q56</f>
        <v>0</v>
      </c>
      <c r="R57" s="135">
        <f>'ADJ DETAIL INPUT'!R56</f>
        <v>0</v>
      </c>
      <c r="S57" s="135">
        <f>'ADJ DETAIL INPUT'!S56</f>
        <v>9626</v>
      </c>
      <c r="T57" s="135">
        <f>'ADJ DETAIL INPUT'!T56</f>
        <v>0</v>
      </c>
      <c r="U57" s="135">
        <f>'ADJ DETAIL INPUT'!U56</f>
        <v>0</v>
      </c>
      <c r="V57" s="135">
        <f>'ADJ DETAIL INPUT'!V56</f>
        <v>0</v>
      </c>
      <c r="W57" s="135">
        <f>'ADJ DETAIL INPUT'!W56</f>
        <v>0</v>
      </c>
      <c r="X57" s="135">
        <f>'ADJ DETAIL INPUT'!X56</f>
        <v>0</v>
      </c>
      <c r="Y57" s="135">
        <f>'ADJ DETAIL INPUT'!Z56</f>
        <v>0</v>
      </c>
      <c r="Z57" s="135">
        <f>'ADJ DETAIL INPUT'!AA56</f>
        <v>0</v>
      </c>
      <c r="AA57" s="135">
        <f>'ADJ DETAIL INPUT'!AB56</f>
        <v>0</v>
      </c>
      <c r="AB57" s="135">
        <f>'ADJ DETAIL INPUT'!AC56</f>
        <v>0</v>
      </c>
      <c r="AC57" s="135">
        <f>'ADJ DETAIL INPUT'!AD56</f>
        <v>0</v>
      </c>
      <c r="AD57" s="135">
        <f>'ADJ DETAIL INPUT'!AE56</f>
        <v>0</v>
      </c>
      <c r="AE57" s="135">
        <f>'ADJ DETAIL INPUT'!AF56</f>
        <v>0</v>
      </c>
      <c r="AF57" s="135">
        <f>'ADJ DETAIL INPUT'!AG56</f>
        <v>0</v>
      </c>
      <c r="AG57" s="135">
        <f>'ADJ DETAIL INPUT'!AH56</f>
        <v>0</v>
      </c>
      <c r="AH57" s="135">
        <f>'ADJ DETAIL INPUT'!AI56</f>
        <v>0</v>
      </c>
      <c r="AI57" s="135">
        <f>'ADJ DETAIL INPUT'!AJ56</f>
        <v>0</v>
      </c>
      <c r="AJ57" s="135">
        <f>'ADJ DETAIL INPUT'!AK56</f>
        <v>0</v>
      </c>
      <c r="AK57" s="135">
        <f>'ADJ DETAIL INPUT'!AL56</f>
        <v>0</v>
      </c>
      <c r="AL57" s="135">
        <f>'ADJ DETAIL INPUT'!AM56</f>
        <v>0</v>
      </c>
      <c r="AM57" s="135">
        <f>'ADJ DETAIL INPUT'!AN56</f>
        <v>0</v>
      </c>
      <c r="AN57" s="135">
        <f>'ADJ DETAIL INPUT'!AO56</f>
        <v>0</v>
      </c>
      <c r="AO57" s="135">
        <f>'ADJ DETAIL INPUT'!AP56</f>
        <v>0</v>
      </c>
      <c r="AP57" s="135">
        <f>'ADJ DETAIL INPUT'!AQ56</f>
        <v>0</v>
      </c>
      <c r="AQ57" s="135">
        <f>'ADJ DETAIL INPUT'!AR56</f>
        <v>0</v>
      </c>
      <c r="AR57" s="135">
        <f>'ADJ DETAIL INPUT'!AS56</f>
        <v>0</v>
      </c>
      <c r="AS57" s="135">
        <f>'ADJ DETAIL INPUT'!AT56</f>
        <v>0</v>
      </c>
      <c r="AT57" s="135">
        <f>'ADJ DETAIL INPUT'!AU56</f>
        <v>0</v>
      </c>
      <c r="AU57" s="135">
        <f>'ADJ DETAIL INPUT'!AY56</f>
        <v>0</v>
      </c>
      <c r="AV57" s="135">
        <f>'ADJ DETAIL INPUT'!AZ56</f>
        <v>0</v>
      </c>
      <c r="AW57" s="135">
        <f>'ADJ DETAIL INPUT'!BA56</f>
        <v>0</v>
      </c>
      <c r="AX57" s="135">
        <f>'ADJ DETAIL INPUT'!BB56</f>
        <v>0</v>
      </c>
      <c r="AY57" s="135">
        <f>'ADJ DETAIL INPUT'!BC56</f>
        <v>0</v>
      </c>
      <c r="AZ57" s="135">
        <f>'ADJ DETAIL INPUT'!BD56</f>
        <v>0</v>
      </c>
      <c r="BA57" s="135">
        <f>'ADJ DETAIL INPUT'!BE56</f>
        <v>0</v>
      </c>
      <c r="BB57" s="135">
        <f>'ADJ DETAIL INPUT'!BF56</f>
        <v>0</v>
      </c>
      <c r="BC57" s="135">
        <f>'ADJ DETAIL INPUT'!BG56</f>
        <v>0</v>
      </c>
      <c r="BD57" s="135">
        <f>'ADJ DETAIL INPUT'!BH56</f>
        <v>0</v>
      </c>
    </row>
    <row r="58" spans="1:56">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row>
    <row r="59" spans="1:56" s="117" customFormat="1" ht="12.75" thickBot="1">
      <c r="A59" s="116">
        <v>31</v>
      </c>
      <c r="B59" s="117" t="s">
        <v>58</v>
      </c>
      <c r="E59" s="203">
        <f>E51-SUM(E54:E57)</f>
        <v>36392</v>
      </c>
      <c r="F59" s="203">
        <f t="shared" ref="F59:R59" si="59">F51-SUM(F54:F57)</f>
        <v>-1.208928</v>
      </c>
      <c r="G59" s="203">
        <f t="shared" si="59"/>
        <v>0</v>
      </c>
      <c r="H59" s="203">
        <f t="shared" si="59"/>
        <v>-3.4972560000000001</v>
      </c>
      <c r="I59" s="203">
        <f t="shared" si="59"/>
        <v>33.18</v>
      </c>
      <c r="J59" s="203">
        <f t="shared" si="59"/>
        <v>-227.52</v>
      </c>
      <c r="K59" s="203">
        <f t="shared" si="59"/>
        <v>-732.33</v>
      </c>
      <c r="L59" s="203">
        <f t="shared" si="59"/>
        <v>-314.42</v>
      </c>
      <c r="M59" s="203">
        <f t="shared" si="59"/>
        <v>14.22</v>
      </c>
      <c r="N59" s="203">
        <f t="shared" si="59"/>
        <v>101</v>
      </c>
      <c r="O59" s="203">
        <f t="shared" si="59"/>
        <v>7.9</v>
      </c>
      <c r="P59" s="203">
        <f t="shared" si="59"/>
        <v>3.16</v>
      </c>
      <c r="Q59" s="203">
        <f t="shared" si="59"/>
        <v>8.69</v>
      </c>
      <c r="R59" s="203">
        <f t="shared" si="59"/>
        <v>-33.97</v>
      </c>
      <c r="S59" s="203">
        <f t="shared" ref="S59:T59" si="60">S51-SUM(S54:S57)</f>
        <v>8.0499999999992724</v>
      </c>
      <c r="T59" s="203">
        <f t="shared" si="60"/>
        <v>328.00799999999998</v>
      </c>
      <c r="U59" s="203">
        <f t="shared" ref="U59" si="61">U51-SUM(U54:U57)</f>
        <v>-197.72357</v>
      </c>
      <c r="V59" s="203">
        <f>V51-SUM(V54:V57)</f>
        <v>-57</v>
      </c>
      <c r="W59" s="203">
        <f>W51-SUM(W54:W57)</f>
        <v>66.965975999999998</v>
      </c>
      <c r="X59" s="203">
        <f>X51-SUM(X54:X57)</f>
        <v>0</v>
      </c>
      <c r="Y59" s="203">
        <f>Y51-SUM(Y54:Y57)</f>
        <v>1922.07</v>
      </c>
      <c r="Z59" s="203">
        <f t="shared" ref="Z59:BD59" si="62">Z51-SUM(Z54:Z57)</f>
        <v>192.76</v>
      </c>
      <c r="AA59" s="203">
        <f t="shared" si="62"/>
        <v>-136</v>
      </c>
      <c r="AB59" s="203">
        <f t="shared" si="62"/>
        <v>622.815023</v>
      </c>
      <c r="AC59" s="203">
        <f t="shared" si="62"/>
        <v>-1441.9870000000001</v>
      </c>
      <c r="AD59" s="203">
        <f t="shared" si="62"/>
        <v>-15.013949999999999</v>
      </c>
      <c r="AE59" s="203">
        <f t="shared" si="62"/>
        <v>1334.4680000000001</v>
      </c>
      <c r="AF59" s="203">
        <f t="shared" ref="AF59" si="63">AF51-SUM(AF54:AF57)</f>
        <v>-291.35199999999998</v>
      </c>
      <c r="AG59" s="203">
        <f t="shared" si="62"/>
        <v>-61.620000000000005</v>
      </c>
      <c r="AH59" s="203">
        <f t="shared" si="62"/>
        <v>-89.198110000000014</v>
      </c>
      <c r="AI59" s="203">
        <f t="shared" si="62"/>
        <v>-747.34</v>
      </c>
      <c r="AJ59" s="203">
        <f t="shared" si="62"/>
        <v>-472.42</v>
      </c>
      <c r="AK59" s="203">
        <f t="shared" si="62"/>
        <v>-16.274000000000001</v>
      </c>
      <c r="AL59" s="203">
        <f t="shared" si="62"/>
        <v>-1290.5929799999999</v>
      </c>
      <c r="AM59" s="203">
        <f t="shared" si="62"/>
        <v>-898.12380370000005</v>
      </c>
      <c r="AN59" s="203">
        <f t="shared" ref="AN59:AO59" si="64">AN51-SUM(AN54:AN57)</f>
        <v>714.31799999999998</v>
      </c>
      <c r="AO59" s="203">
        <f t="shared" si="64"/>
        <v>-1435.024504</v>
      </c>
      <c r="AP59" s="203">
        <f t="shared" ref="AP59" si="65">AP51-SUM(AP54:AP57)</f>
        <v>-237</v>
      </c>
      <c r="AQ59" s="203">
        <f t="shared" si="62"/>
        <v>-140.62</v>
      </c>
      <c r="AR59" s="203">
        <f t="shared" si="62"/>
        <v>-118.5</v>
      </c>
      <c r="AS59" s="203">
        <f t="shared" si="62"/>
        <v>-1697.0085517</v>
      </c>
      <c r="AT59" s="203">
        <f t="shared" si="62"/>
        <v>491.93853000000001</v>
      </c>
      <c r="AU59" s="203">
        <f t="shared" ref="AU59" si="66">AU51-SUM(AU54:AU57)</f>
        <v>0</v>
      </c>
      <c r="AV59" s="203">
        <f t="shared" si="62"/>
        <v>78.373344000000003</v>
      </c>
      <c r="AW59" s="203">
        <f t="shared" si="62"/>
        <v>-580.57100000000003</v>
      </c>
      <c r="AX59" s="203">
        <f t="shared" si="62"/>
        <v>-115.97200000000001</v>
      </c>
      <c r="AY59" s="203">
        <f t="shared" si="62"/>
        <v>-23.7</v>
      </c>
      <c r="AZ59" s="203">
        <f t="shared" si="62"/>
        <v>51.35</v>
      </c>
      <c r="BA59" s="203">
        <f t="shared" si="62"/>
        <v>-516.23814000000004</v>
      </c>
      <c r="BB59" s="203">
        <f t="shared" si="62"/>
        <v>-1282.3712067000001</v>
      </c>
      <c r="BC59" s="203">
        <f t="shared" si="62"/>
        <v>189.50441000000001</v>
      </c>
      <c r="BD59" s="203">
        <f t="shared" si="62"/>
        <v>0</v>
      </c>
    </row>
    <row r="60" spans="1:56" ht="12.75" thickTop="1">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row>
    <row r="61" spans="1:56">
      <c r="B61" s="92" t="s">
        <v>103</v>
      </c>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row>
    <row r="62" spans="1:56">
      <c r="B62" s="92" t="s">
        <v>104</v>
      </c>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row>
    <row r="63" spans="1:56">
      <c r="A63" s="116">
        <v>32</v>
      </c>
      <c r="B63" s="118"/>
      <c r="C63" s="118" t="s">
        <v>41</v>
      </c>
      <c r="D63" s="118"/>
      <c r="E63" s="171">
        <f>'ADJ DETAIL INPUT'!E62</f>
        <v>34499.699999999997</v>
      </c>
      <c r="F63" s="171">
        <f>'ADJ DETAIL INPUT'!F62</f>
        <v>0</v>
      </c>
      <c r="G63" s="171">
        <f>'ADJ DETAIL INPUT'!G62</f>
        <v>0</v>
      </c>
      <c r="H63" s="171">
        <f>'ADJ DETAIL INPUT'!H62</f>
        <v>0</v>
      </c>
      <c r="I63" s="171">
        <f>'ADJ DETAIL INPUT'!I62</f>
        <v>0</v>
      </c>
      <c r="J63" s="171">
        <f>'ADJ DETAIL INPUT'!J62</f>
        <v>0</v>
      </c>
      <c r="K63" s="171">
        <f>'ADJ DETAIL INPUT'!K62</f>
        <v>0</v>
      </c>
      <c r="L63" s="171">
        <f>'ADJ DETAIL INPUT'!L62</f>
        <v>0</v>
      </c>
      <c r="M63" s="171">
        <f>'ADJ DETAIL INPUT'!M62</f>
        <v>0</v>
      </c>
      <c r="N63" s="171">
        <f>'ADJ DETAIL INPUT'!N62</f>
        <v>0</v>
      </c>
      <c r="O63" s="171">
        <f>'ADJ DETAIL INPUT'!O62</f>
        <v>0</v>
      </c>
      <c r="P63" s="171">
        <f>'ADJ DETAIL INPUT'!P62</f>
        <v>0</v>
      </c>
      <c r="Q63" s="171">
        <f>'ADJ DETAIL INPUT'!Q62</f>
        <v>0</v>
      </c>
      <c r="R63" s="171">
        <f>'ADJ DETAIL INPUT'!R62</f>
        <v>0</v>
      </c>
      <c r="S63" s="171">
        <f>'ADJ DETAIL INPUT'!S62</f>
        <v>0</v>
      </c>
      <c r="T63" s="171">
        <f>'ADJ DETAIL INPUT'!T62</f>
        <v>0</v>
      </c>
      <c r="U63" s="171">
        <f>'ADJ DETAIL INPUT'!U62</f>
        <v>0</v>
      </c>
      <c r="V63" s="171">
        <f>'ADJ DETAIL INPUT'!V62</f>
        <v>0</v>
      </c>
      <c r="W63" s="171">
        <f>'ADJ DETAIL INPUT'!W62</f>
        <v>550</v>
      </c>
      <c r="X63" s="171">
        <f>'ADJ DETAIL INPUT'!X62</f>
        <v>0</v>
      </c>
      <c r="Y63" s="171">
        <f>'ADJ DETAIL INPUT'!Z62</f>
        <v>0</v>
      </c>
      <c r="Z63" s="171">
        <f>'ADJ DETAIL INPUT'!AA62</f>
        <v>0</v>
      </c>
      <c r="AA63" s="171">
        <f>'ADJ DETAIL INPUT'!AB62</f>
        <v>0</v>
      </c>
      <c r="AB63" s="171">
        <f>'ADJ DETAIL INPUT'!AC62</f>
        <v>0</v>
      </c>
      <c r="AC63" s="171">
        <f>'ADJ DETAIL INPUT'!AD62</f>
        <v>0</v>
      </c>
      <c r="AD63" s="171">
        <f>'ADJ DETAIL INPUT'!AE62</f>
        <v>0</v>
      </c>
      <c r="AE63" s="171">
        <f>'ADJ DETAIL INPUT'!AF62</f>
        <v>0</v>
      </c>
      <c r="AF63" s="171">
        <f>'ADJ DETAIL INPUT'!AG62</f>
        <v>0</v>
      </c>
      <c r="AG63" s="171">
        <f>'ADJ DETAIL INPUT'!AH62</f>
        <v>0</v>
      </c>
      <c r="AH63" s="171">
        <f>'ADJ DETAIL INPUT'!AI62</f>
        <v>0</v>
      </c>
      <c r="AI63" s="171">
        <f>'ADJ DETAIL INPUT'!AJ62</f>
        <v>0</v>
      </c>
      <c r="AJ63" s="171">
        <f>'ADJ DETAIL INPUT'!AK62</f>
        <v>0</v>
      </c>
      <c r="AK63" s="171">
        <f>'ADJ DETAIL INPUT'!AL62</f>
        <v>0</v>
      </c>
      <c r="AL63" s="171">
        <f>'ADJ DETAIL INPUT'!AM62</f>
        <v>0</v>
      </c>
      <c r="AM63" s="171">
        <f>'ADJ DETAIL INPUT'!AN62</f>
        <v>1129</v>
      </c>
      <c r="AN63" s="171">
        <f>'ADJ DETAIL INPUT'!AO62</f>
        <v>0</v>
      </c>
      <c r="AO63" s="171">
        <f>'ADJ DETAIL INPUT'!AP62</f>
        <v>1507</v>
      </c>
      <c r="AP63" s="171">
        <f>'ADJ DETAIL INPUT'!AQ62</f>
        <v>0</v>
      </c>
      <c r="AQ63" s="171">
        <f>'ADJ DETAIL INPUT'!AR62</f>
        <v>0</v>
      </c>
      <c r="AR63" s="171">
        <f>'ADJ DETAIL INPUT'!AS62</f>
        <v>0</v>
      </c>
      <c r="AS63" s="171">
        <f>'ADJ DETAIL INPUT'!AT62</f>
        <v>753</v>
      </c>
      <c r="AT63" s="171">
        <f>'ADJ DETAIL INPUT'!AU62</f>
        <v>0</v>
      </c>
      <c r="AU63" s="171">
        <f>'ADJ DETAIL INPUT'!AY62</f>
        <v>0</v>
      </c>
      <c r="AV63" s="171">
        <f>'ADJ DETAIL INPUT'!AZ62</f>
        <v>0</v>
      </c>
      <c r="AW63" s="171">
        <f>'ADJ DETAIL INPUT'!BA62</f>
        <v>0</v>
      </c>
      <c r="AX63" s="171">
        <f>'ADJ DETAIL INPUT'!BB62</f>
        <v>0</v>
      </c>
      <c r="AY63" s="171">
        <f>'ADJ DETAIL INPUT'!BC62</f>
        <v>0</v>
      </c>
      <c r="AZ63" s="171">
        <f>'ADJ DETAIL INPUT'!BD62</f>
        <v>0</v>
      </c>
      <c r="BA63" s="171">
        <f>'ADJ DETAIL INPUT'!BE62</f>
        <v>0</v>
      </c>
      <c r="BB63" s="171">
        <f>'ADJ DETAIL INPUT'!BF62</f>
        <v>1506</v>
      </c>
      <c r="BC63" s="171">
        <f>'ADJ DETAIL INPUT'!BG62</f>
        <v>0</v>
      </c>
      <c r="BD63" s="171">
        <f>'ADJ DETAIL INPUT'!BH62</f>
        <v>0</v>
      </c>
    </row>
    <row r="64" spans="1:56">
      <c r="A64" s="116">
        <v>33</v>
      </c>
      <c r="B64" s="118"/>
      <c r="C64" s="118" t="s">
        <v>60</v>
      </c>
      <c r="D64" s="118"/>
      <c r="E64" s="134">
        <f>'ADJ DETAIL INPUT'!E63</f>
        <v>650522.69999999995</v>
      </c>
      <c r="F64" s="134">
        <f>'ADJ DETAIL INPUT'!F63</f>
        <v>0</v>
      </c>
      <c r="G64" s="134">
        <f>'ADJ DETAIL INPUT'!G63</f>
        <v>0</v>
      </c>
      <c r="H64" s="134">
        <f>'ADJ DETAIL INPUT'!H63</f>
        <v>0</v>
      </c>
      <c r="I64" s="134">
        <f>'ADJ DETAIL INPUT'!I63</f>
        <v>0</v>
      </c>
      <c r="J64" s="134">
        <f>'ADJ DETAIL INPUT'!J63</f>
        <v>0</v>
      </c>
      <c r="K64" s="134">
        <f>'ADJ DETAIL INPUT'!K63</f>
        <v>0</v>
      </c>
      <c r="L64" s="134">
        <f>'ADJ DETAIL INPUT'!L63</f>
        <v>0</v>
      </c>
      <c r="M64" s="134">
        <f>'ADJ DETAIL INPUT'!M63</f>
        <v>0</v>
      </c>
      <c r="N64" s="134">
        <f>'ADJ DETAIL INPUT'!N63</f>
        <v>0</v>
      </c>
      <c r="O64" s="134">
        <f>'ADJ DETAIL INPUT'!O63</f>
        <v>0</v>
      </c>
      <c r="P64" s="134">
        <f>'ADJ DETAIL INPUT'!P63</f>
        <v>0</v>
      </c>
      <c r="Q64" s="134">
        <f>'ADJ DETAIL INPUT'!Q63</f>
        <v>0</v>
      </c>
      <c r="R64" s="134">
        <f>'ADJ DETAIL INPUT'!R63</f>
        <v>0</v>
      </c>
      <c r="S64" s="134">
        <f>'ADJ DETAIL INPUT'!S63</f>
        <v>0</v>
      </c>
      <c r="T64" s="134">
        <f>'ADJ DETAIL INPUT'!T63</f>
        <v>0</v>
      </c>
      <c r="U64" s="134">
        <f>'ADJ DETAIL INPUT'!U63</f>
        <v>0</v>
      </c>
      <c r="V64" s="134">
        <f>'ADJ DETAIL INPUT'!V63</f>
        <v>0</v>
      </c>
      <c r="W64" s="134">
        <f>'ADJ DETAIL INPUT'!W63</f>
        <v>21260</v>
      </c>
      <c r="X64" s="134">
        <f>'ADJ DETAIL INPUT'!X63</f>
        <v>0</v>
      </c>
      <c r="Y64" s="134">
        <f>'ADJ DETAIL INPUT'!Z63</f>
        <v>0</v>
      </c>
      <c r="Z64" s="134">
        <f>'ADJ DETAIL INPUT'!AA63</f>
        <v>0</v>
      </c>
      <c r="AA64" s="134">
        <f>'ADJ DETAIL INPUT'!AB63</f>
        <v>0</v>
      </c>
      <c r="AB64" s="134">
        <f>'ADJ DETAIL INPUT'!AC63</f>
        <v>0</v>
      </c>
      <c r="AC64" s="134">
        <f>'ADJ DETAIL INPUT'!AD63</f>
        <v>0</v>
      </c>
      <c r="AD64" s="134">
        <f>'ADJ DETAIL INPUT'!AE63</f>
        <v>0</v>
      </c>
      <c r="AE64" s="134">
        <f>'ADJ DETAIL INPUT'!AF63</f>
        <v>0</v>
      </c>
      <c r="AF64" s="134">
        <f>'ADJ DETAIL INPUT'!AG63</f>
        <v>0</v>
      </c>
      <c r="AG64" s="134">
        <f>'ADJ DETAIL INPUT'!AH63</f>
        <v>0</v>
      </c>
      <c r="AH64" s="134">
        <f>'ADJ DETAIL INPUT'!AI63</f>
        <v>0</v>
      </c>
      <c r="AI64" s="134">
        <f>'ADJ DETAIL INPUT'!AJ63</f>
        <v>0</v>
      </c>
      <c r="AJ64" s="134">
        <f>'ADJ DETAIL INPUT'!AK63</f>
        <v>0</v>
      </c>
      <c r="AK64" s="134">
        <f>'ADJ DETAIL INPUT'!AL63</f>
        <v>0</v>
      </c>
      <c r="AL64" s="134">
        <f>'ADJ DETAIL INPUT'!AM63</f>
        <v>0</v>
      </c>
      <c r="AM64" s="134">
        <f>'ADJ DETAIL INPUT'!AN63</f>
        <v>21680</v>
      </c>
      <c r="AN64" s="134">
        <f>'ADJ DETAIL INPUT'!AO63</f>
        <v>0</v>
      </c>
      <c r="AO64" s="134">
        <f>'ADJ DETAIL INPUT'!AP63</f>
        <v>36106</v>
      </c>
      <c r="AP64" s="134">
        <f>'ADJ DETAIL INPUT'!AQ63</f>
        <v>0</v>
      </c>
      <c r="AQ64" s="134">
        <f>'ADJ DETAIL INPUT'!AR63</f>
        <v>0</v>
      </c>
      <c r="AR64" s="134">
        <f>'ADJ DETAIL INPUT'!AS63</f>
        <v>0</v>
      </c>
      <c r="AS64" s="134">
        <f>'ADJ DETAIL INPUT'!AT63</f>
        <v>14747</v>
      </c>
      <c r="AT64" s="134">
        <f>'ADJ DETAIL INPUT'!AU63</f>
        <v>0</v>
      </c>
      <c r="AU64" s="134">
        <f>'ADJ DETAIL INPUT'!AY63</f>
        <v>0</v>
      </c>
      <c r="AV64" s="134">
        <f>'ADJ DETAIL INPUT'!AZ63</f>
        <v>0</v>
      </c>
      <c r="AW64" s="134">
        <f>'ADJ DETAIL INPUT'!BA63</f>
        <v>0</v>
      </c>
      <c r="AX64" s="134">
        <f>'ADJ DETAIL INPUT'!BB63</f>
        <v>0</v>
      </c>
      <c r="AY64" s="134">
        <f>'ADJ DETAIL INPUT'!BC63</f>
        <v>0</v>
      </c>
      <c r="AZ64" s="134">
        <f>'ADJ DETAIL INPUT'!BD63</f>
        <v>0</v>
      </c>
      <c r="BA64" s="134">
        <f>'ADJ DETAIL INPUT'!BE63</f>
        <v>0</v>
      </c>
      <c r="BB64" s="134">
        <f>'ADJ DETAIL INPUT'!BF63</f>
        <v>32043</v>
      </c>
      <c r="BC64" s="134">
        <f>'ADJ DETAIL INPUT'!BG63</f>
        <v>0</v>
      </c>
      <c r="BD64" s="134">
        <f>'ADJ DETAIL INPUT'!BH63</f>
        <v>0</v>
      </c>
    </row>
    <row r="65" spans="1:56">
      <c r="A65" s="116">
        <v>34</v>
      </c>
      <c r="B65" s="118"/>
      <c r="C65" s="118" t="s">
        <v>61</v>
      </c>
      <c r="D65" s="118"/>
      <c r="E65" s="135">
        <f>'ADJ DETAIL INPUT'!E64</f>
        <v>161473</v>
      </c>
      <c r="F65" s="135">
        <f>'ADJ DETAIL INPUT'!F64</f>
        <v>0</v>
      </c>
      <c r="G65" s="135">
        <f>'ADJ DETAIL INPUT'!G64</f>
        <v>0</v>
      </c>
      <c r="H65" s="135">
        <f>'ADJ DETAIL INPUT'!H64</f>
        <v>0</v>
      </c>
      <c r="I65" s="135">
        <f>'ADJ DETAIL INPUT'!I64</f>
        <v>0</v>
      </c>
      <c r="J65" s="135">
        <f>'ADJ DETAIL INPUT'!J64</f>
        <v>0</v>
      </c>
      <c r="K65" s="135">
        <f>'ADJ DETAIL INPUT'!K64</f>
        <v>0</v>
      </c>
      <c r="L65" s="135">
        <f>'ADJ DETAIL INPUT'!L64</f>
        <v>0</v>
      </c>
      <c r="M65" s="135">
        <f>'ADJ DETAIL INPUT'!M64</f>
        <v>0</v>
      </c>
      <c r="N65" s="135">
        <f>'ADJ DETAIL INPUT'!N64</f>
        <v>0</v>
      </c>
      <c r="O65" s="135">
        <f>'ADJ DETAIL INPUT'!O64</f>
        <v>0</v>
      </c>
      <c r="P65" s="135">
        <f>'ADJ DETAIL INPUT'!P64</f>
        <v>0</v>
      </c>
      <c r="Q65" s="135">
        <f>'ADJ DETAIL INPUT'!Q64</f>
        <v>0</v>
      </c>
      <c r="R65" s="135">
        <f>'ADJ DETAIL INPUT'!R64</f>
        <v>0</v>
      </c>
      <c r="S65" s="135">
        <f>'ADJ DETAIL INPUT'!S64</f>
        <v>0</v>
      </c>
      <c r="T65" s="135">
        <f>'ADJ DETAIL INPUT'!T64</f>
        <v>0</v>
      </c>
      <c r="U65" s="135">
        <f>'ADJ DETAIL INPUT'!U64</f>
        <v>0</v>
      </c>
      <c r="V65" s="135">
        <f>'ADJ DETAIL INPUT'!V64</f>
        <v>0</v>
      </c>
      <c r="W65" s="135">
        <f>'ADJ DETAIL INPUT'!W64</f>
        <v>2797</v>
      </c>
      <c r="X65" s="135">
        <f>'ADJ DETAIL INPUT'!X64</f>
        <v>0</v>
      </c>
      <c r="Y65" s="135">
        <f>'ADJ DETAIL INPUT'!Z64</f>
        <v>0</v>
      </c>
      <c r="Z65" s="135">
        <f>'ADJ DETAIL INPUT'!AA64</f>
        <v>0</v>
      </c>
      <c r="AA65" s="135">
        <f>'ADJ DETAIL INPUT'!AB64</f>
        <v>0</v>
      </c>
      <c r="AB65" s="135">
        <f>'ADJ DETAIL INPUT'!AC64</f>
        <v>0</v>
      </c>
      <c r="AC65" s="135">
        <f>'ADJ DETAIL INPUT'!AD64</f>
        <v>0</v>
      </c>
      <c r="AD65" s="135">
        <f>'ADJ DETAIL INPUT'!AE64</f>
        <v>0</v>
      </c>
      <c r="AE65" s="135">
        <f>'ADJ DETAIL INPUT'!AF64</f>
        <v>0</v>
      </c>
      <c r="AF65" s="135">
        <f>'ADJ DETAIL INPUT'!AG64</f>
        <v>0</v>
      </c>
      <c r="AG65" s="135">
        <f>'ADJ DETAIL INPUT'!AH64</f>
        <v>0</v>
      </c>
      <c r="AH65" s="135">
        <f>'ADJ DETAIL INPUT'!AI64</f>
        <v>0</v>
      </c>
      <c r="AI65" s="135">
        <f>'ADJ DETAIL INPUT'!AJ64</f>
        <v>0</v>
      </c>
      <c r="AJ65" s="135">
        <f>'ADJ DETAIL INPUT'!AK64</f>
        <v>0</v>
      </c>
      <c r="AK65" s="135">
        <f>'ADJ DETAIL INPUT'!AL64</f>
        <v>0</v>
      </c>
      <c r="AL65" s="135">
        <f>'ADJ DETAIL INPUT'!AM64</f>
        <v>0</v>
      </c>
      <c r="AM65" s="135">
        <f>'ADJ DETAIL INPUT'!AN64</f>
        <v>1859</v>
      </c>
      <c r="AN65" s="135">
        <f>'ADJ DETAIL INPUT'!AO64</f>
        <v>0</v>
      </c>
      <c r="AO65" s="135">
        <f>'ADJ DETAIL INPUT'!AP64</f>
        <v>2150</v>
      </c>
      <c r="AP65" s="135">
        <f>'ADJ DETAIL INPUT'!AQ64</f>
        <v>0</v>
      </c>
      <c r="AQ65" s="135">
        <f>'ADJ DETAIL INPUT'!AR64</f>
        <v>0</v>
      </c>
      <c r="AR65" s="135">
        <f>'ADJ DETAIL INPUT'!AS64</f>
        <v>0</v>
      </c>
      <c r="AS65" s="135">
        <f>'ADJ DETAIL INPUT'!AT64</f>
        <v>1141</v>
      </c>
      <c r="AT65" s="135">
        <f>'ADJ DETAIL INPUT'!AU64</f>
        <v>0</v>
      </c>
      <c r="AU65" s="135">
        <f>'ADJ DETAIL INPUT'!AY64</f>
        <v>0</v>
      </c>
      <c r="AV65" s="135">
        <f>'ADJ DETAIL INPUT'!AZ64</f>
        <v>0</v>
      </c>
      <c r="AW65" s="135">
        <f>'ADJ DETAIL INPUT'!BA64</f>
        <v>0</v>
      </c>
      <c r="AX65" s="135">
        <f>'ADJ DETAIL INPUT'!BB64</f>
        <v>0</v>
      </c>
      <c r="AY65" s="135">
        <f>'ADJ DETAIL INPUT'!BC64</f>
        <v>0</v>
      </c>
      <c r="AZ65" s="135">
        <f>'ADJ DETAIL INPUT'!BD64</f>
        <v>0</v>
      </c>
      <c r="BA65" s="135">
        <f>'ADJ DETAIL INPUT'!BE64</f>
        <v>0</v>
      </c>
      <c r="BB65" s="135">
        <f>'ADJ DETAIL INPUT'!BF64</f>
        <v>2293</v>
      </c>
      <c r="BC65" s="135">
        <f>'ADJ DETAIL INPUT'!BG64</f>
        <v>0</v>
      </c>
      <c r="BD65" s="135">
        <f>'ADJ DETAIL INPUT'!BH64</f>
        <v>0</v>
      </c>
    </row>
    <row r="66" spans="1:56" ht="18" customHeight="1">
      <c r="A66" s="116">
        <v>35</v>
      </c>
      <c r="B66" s="118" t="s">
        <v>62</v>
      </c>
      <c r="C66" s="118"/>
      <c r="E66" s="134">
        <f>SUM(E63:E65)</f>
        <v>846495.39999999991</v>
      </c>
      <c r="F66" s="134">
        <f t="shared" ref="F66:R66" si="67">SUM(F63:F65)</f>
        <v>0</v>
      </c>
      <c r="G66" s="134">
        <f t="shared" si="67"/>
        <v>0</v>
      </c>
      <c r="H66" s="134">
        <f t="shared" si="67"/>
        <v>0</v>
      </c>
      <c r="I66" s="134">
        <f t="shared" si="67"/>
        <v>0</v>
      </c>
      <c r="J66" s="134">
        <f t="shared" si="67"/>
        <v>0</v>
      </c>
      <c r="K66" s="134">
        <f t="shared" si="67"/>
        <v>0</v>
      </c>
      <c r="L66" s="134">
        <f t="shared" si="67"/>
        <v>0</v>
      </c>
      <c r="M66" s="134">
        <f t="shared" si="67"/>
        <v>0</v>
      </c>
      <c r="N66" s="134">
        <f t="shared" si="67"/>
        <v>0</v>
      </c>
      <c r="O66" s="134">
        <f t="shared" si="67"/>
        <v>0</v>
      </c>
      <c r="P66" s="134">
        <f t="shared" si="67"/>
        <v>0</v>
      </c>
      <c r="Q66" s="134">
        <f t="shared" si="67"/>
        <v>0</v>
      </c>
      <c r="R66" s="134">
        <f t="shared" si="67"/>
        <v>0</v>
      </c>
      <c r="S66" s="134">
        <f t="shared" ref="S66:T66" si="68">SUM(S63:S65)</f>
        <v>0</v>
      </c>
      <c r="T66" s="134">
        <f t="shared" si="68"/>
        <v>0</v>
      </c>
      <c r="U66" s="134">
        <f t="shared" ref="U66" si="69">SUM(U63:U65)</f>
        <v>0</v>
      </c>
      <c r="V66" s="134">
        <f>SUM(V63:V65)</f>
        <v>0</v>
      </c>
      <c r="W66" s="134">
        <f>SUM(W63:W65)</f>
        <v>24607</v>
      </c>
      <c r="X66" s="134">
        <f>SUM(X63:X65)</f>
        <v>0</v>
      </c>
      <c r="Y66" s="134">
        <f>SUM(Y63:Y65)</f>
        <v>0</v>
      </c>
      <c r="Z66" s="134">
        <f t="shared" ref="Z66:BD66" si="70">SUM(Z63:Z65)</f>
        <v>0</v>
      </c>
      <c r="AA66" s="134">
        <f t="shared" si="70"/>
        <v>0</v>
      </c>
      <c r="AB66" s="134">
        <f t="shared" si="70"/>
        <v>0</v>
      </c>
      <c r="AC66" s="134">
        <f t="shared" si="70"/>
        <v>0</v>
      </c>
      <c r="AD66" s="134">
        <f t="shared" si="70"/>
        <v>0</v>
      </c>
      <c r="AE66" s="134">
        <f t="shared" si="70"/>
        <v>0</v>
      </c>
      <c r="AF66" s="134">
        <f t="shared" ref="AF66" si="71">SUM(AF63:AF65)</f>
        <v>0</v>
      </c>
      <c r="AG66" s="134">
        <f t="shared" si="70"/>
        <v>0</v>
      </c>
      <c r="AH66" s="134">
        <f t="shared" si="70"/>
        <v>0</v>
      </c>
      <c r="AI66" s="134">
        <f t="shared" si="70"/>
        <v>0</v>
      </c>
      <c r="AJ66" s="134">
        <f t="shared" si="70"/>
        <v>0</v>
      </c>
      <c r="AK66" s="134">
        <f t="shared" si="70"/>
        <v>0</v>
      </c>
      <c r="AL66" s="134">
        <f t="shared" si="70"/>
        <v>0</v>
      </c>
      <c r="AM66" s="134">
        <f t="shared" si="70"/>
        <v>24668</v>
      </c>
      <c r="AN66" s="134">
        <f t="shared" ref="AN66:AO66" si="72">SUM(AN63:AN65)</f>
        <v>0</v>
      </c>
      <c r="AO66" s="134">
        <f t="shared" si="72"/>
        <v>39763</v>
      </c>
      <c r="AP66" s="134">
        <f t="shared" ref="AP66" si="73">SUM(AP63:AP65)</f>
        <v>0</v>
      </c>
      <c r="AQ66" s="134">
        <f t="shared" si="70"/>
        <v>0</v>
      </c>
      <c r="AR66" s="134">
        <f t="shared" si="70"/>
        <v>0</v>
      </c>
      <c r="AS66" s="134">
        <f t="shared" si="70"/>
        <v>16641</v>
      </c>
      <c r="AT66" s="134">
        <f t="shared" si="70"/>
        <v>0</v>
      </c>
      <c r="AU66" s="134">
        <f t="shared" ref="AU66" si="74">SUM(AU63:AU65)</f>
        <v>0</v>
      </c>
      <c r="AV66" s="134">
        <f t="shared" si="70"/>
        <v>0</v>
      </c>
      <c r="AW66" s="134">
        <f t="shared" si="70"/>
        <v>0</v>
      </c>
      <c r="AX66" s="134">
        <f t="shared" si="70"/>
        <v>0</v>
      </c>
      <c r="AY66" s="134">
        <f t="shared" si="70"/>
        <v>0</v>
      </c>
      <c r="AZ66" s="134">
        <f t="shared" si="70"/>
        <v>0</v>
      </c>
      <c r="BA66" s="134">
        <f t="shared" si="70"/>
        <v>0</v>
      </c>
      <c r="BB66" s="134">
        <f t="shared" si="70"/>
        <v>35842</v>
      </c>
      <c r="BC66" s="134">
        <f t="shared" si="70"/>
        <v>0</v>
      </c>
      <c r="BD66" s="134">
        <f t="shared" si="70"/>
        <v>0</v>
      </c>
    </row>
    <row r="67" spans="1:56" ht="12.75" customHeight="1">
      <c r="B67" s="118"/>
      <c r="C67" s="118"/>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row>
    <row r="68" spans="1:56">
      <c r="B68" s="118" t="s">
        <v>190</v>
      </c>
      <c r="C68" s="118"/>
      <c r="D68" s="118"/>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row>
    <row r="69" spans="1:56">
      <c r="A69" s="116">
        <v>36</v>
      </c>
      <c r="B69" s="118"/>
      <c r="C69" s="118" t="s">
        <v>41</v>
      </c>
      <c r="D69" s="118"/>
      <c r="E69" s="134">
        <f>'ADJ DETAIL INPUT'!E68</f>
        <v>-13149</v>
      </c>
      <c r="F69" s="134">
        <f>'ADJ DETAIL INPUT'!F68</f>
        <v>0</v>
      </c>
      <c r="G69" s="134">
        <f>'ADJ DETAIL INPUT'!G68</f>
        <v>0</v>
      </c>
      <c r="H69" s="134">
        <f>'ADJ DETAIL INPUT'!H68</f>
        <v>0</v>
      </c>
      <c r="I69" s="134">
        <f>'ADJ DETAIL INPUT'!I68</f>
        <v>0</v>
      </c>
      <c r="J69" s="134">
        <f>'ADJ DETAIL INPUT'!J68</f>
        <v>0</v>
      </c>
      <c r="K69" s="134">
        <f>'ADJ DETAIL INPUT'!K68</f>
        <v>0</v>
      </c>
      <c r="L69" s="134">
        <f>'ADJ DETAIL INPUT'!L68</f>
        <v>0</v>
      </c>
      <c r="M69" s="134">
        <f>'ADJ DETAIL INPUT'!M68</f>
        <v>0</v>
      </c>
      <c r="N69" s="134">
        <f>'ADJ DETAIL INPUT'!N68</f>
        <v>0</v>
      </c>
      <c r="O69" s="134">
        <f>'ADJ DETAIL INPUT'!O68</f>
        <v>0</v>
      </c>
      <c r="P69" s="134">
        <f>'ADJ DETAIL INPUT'!P68</f>
        <v>0</v>
      </c>
      <c r="Q69" s="134">
        <f>'ADJ DETAIL INPUT'!Q68</f>
        <v>0</v>
      </c>
      <c r="R69" s="134">
        <f>'ADJ DETAIL INPUT'!R68</f>
        <v>0</v>
      </c>
      <c r="S69" s="134">
        <f>'ADJ DETAIL INPUT'!S68</f>
        <v>0</v>
      </c>
      <c r="T69" s="134">
        <f>'ADJ DETAIL INPUT'!T68</f>
        <v>0</v>
      </c>
      <c r="U69" s="134">
        <f>'ADJ DETAIL INPUT'!U68</f>
        <v>0</v>
      </c>
      <c r="V69" s="134">
        <f>'ADJ DETAIL INPUT'!V68</f>
        <v>0</v>
      </c>
      <c r="W69" s="134">
        <f>'ADJ DETAIL INPUT'!W68</f>
        <v>-258</v>
      </c>
      <c r="X69" s="134">
        <f>'ADJ DETAIL INPUT'!X68</f>
        <v>0</v>
      </c>
      <c r="Y69" s="134">
        <f>'ADJ DETAIL INPUT'!Z68</f>
        <v>0</v>
      </c>
      <c r="Z69" s="134">
        <f>'ADJ DETAIL INPUT'!AA68</f>
        <v>0</v>
      </c>
      <c r="AA69" s="134">
        <f>'ADJ DETAIL INPUT'!AB68</f>
        <v>0</v>
      </c>
      <c r="AB69" s="134">
        <f>'ADJ DETAIL INPUT'!AC68</f>
        <v>0</v>
      </c>
      <c r="AC69" s="134">
        <f>'ADJ DETAIL INPUT'!AD68</f>
        <v>0</v>
      </c>
      <c r="AD69" s="134">
        <f>'ADJ DETAIL INPUT'!AE68</f>
        <v>0</v>
      </c>
      <c r="AE69" s="134">
        <f>'ADJ DETAIL INPUT'!AF68</f>
        <v>0</v>
      </c>
      <c r="AF69" s="134">
        <f>'ADJ DETAIL INPUT'!AG68</f>
        <v>0</v>
      </c>
      <c r="AG69" s="134">
        <f>'ADJ DETAIL INPUT'!AH68</f>
        <v>0</v>
      </c>
      <c r="AH69" s="134">
        <f>'ADJ DETAIL INPUT'!AI68</f>
        <v>0</v>
      </c>
      <c r="AI69" s="134">
        <f>'ADJ DETAIL INPUT'!AJ68</f>
        <v>0</v>
      </c>
      <c r="AJ69" s="134">
        <f>'ADJ DETAIL INPUT'!AK68</f>
        <v>0</v>
      </c>
      <c r="AK69" s="134">
        <f>'ADJ DETAIL INPUT'!AL68</f>
        <v>0</v>
      </c>
      <c r="AL69" s="134">
        <f>'ADJ DETAIL INPUT'!AM68</f>
        <v>0</v>
      </c>
      <c r="AM69" s="134">
        <f>'ADJ DETAIL INPUT'!AN68</f>
        <v>-263.5</v>
      </c>
      <c r="AN69" s="134">
        <f>'ADJ DETAIL INPUT'!AO68</f>
        <v>0</v>
      </c>
      <c r="AO69" s="134">
        <f>'ADJ DETAIL INPUT'!AP68</f>
        <v>-542</v>
      </c>
      <c r="AP69" s="134">
        <f>'ADJ DETAIL INPUT'!AQ68</f>
        <v>0</v>
      </c>
      <c r="AQ69" s="134">
        <f>'ADJ DETAIL INPUT'!AR68</f>
        <v>0</v>
      </c>
      <c r="AR69" s="134">
        <f>'ADJ DETAIL INPUT'!AS68</f>
        <v>0</v>
      </c>
      <c r="AS69" s="134">
        <f>'ADJ DETAIL INPUT'!AT68</f>
        <v>-280</v>
      </c>
      <c r="AT69" s="134">
        <f>'ADJ DETAIL INPUT'!AU68</f>
        <v>0</v>
      </c>
      <c r="AU69" s="134">
        <f>'ADJ DETAIL INPUT'!AY68</f>
        <v>0</v>
      </c>
      <c r="AV69" s="134">
        <f>'ADJ DETAIL INPUT'!AZ68</f>
        <v>0</v>
      </c>
      <c r="AW69" s="134">
        <f>'ADJ DETAIL INPUT'!BA68</f>
        <v>0</v>
      </c>
      <c r="AX69" s="134">
        <f>'ADJ DETAIL INPUT'!BB68</f>
        <v>0</v>
      </c>
      <c r="AY69" s="134">
        <f>'ADJ DETAIL INPUT'!BC68</f>
        <v>0</v>
      </c>
      <c r="AZ69" s="134">
        <f>'ADJ DETAIL INPUT'!BD68</f>
        <v>0</v>
      </c>
      <c r="BA69" s="134">
        <f>'ADJ DETAIL INPUT'!BE68</f>
        <v>0</v>
      </c>
      <c r="BB69" s="134">
        <f>'ADJ DETAIL INPUT'!BF68</f>
        <v>-574</v>
      </c>
      <c r="BC69" s="134">
        <f>'ADJ DETAIL INPUT'!BG68</f>
        <v>0</v>
      </c>
      <c r="BD69" s="134">
        <f>'ADJ DETAIL INPUT'!BH68</f>
        <v>0</v>
      </c>
    </row>
    <row r="70" spans="1:56">
      <c r="A70" s="116">
        <v>37</v>
      </c>
      <c r="B70" s="118"/>
      <c r="C70" s="118" t="s">
        <v>60</v>
      </c>
      <c r="D70" s="118"/>
      <c r="E70" s="134">
        <f>'ADJ DETAIL INPUT'!E69</f>
        <v>-188334</v>
      </c>
      <c r="F70" s="134">
        <f>'ADJ DETAIL INPUT'!F69</f>
        <v>0</v>
      </c>
      <c r="G70" s="134">
        <f>'ADJ DETAIL INPUT'!G69</f>
        <v>0</v>
      </c>
      <c r="H70" s="134">
        <f>'ADJ DETAIL INPUT'!H69</f>
        <v>0</v>
      </c>
      <c r="I70" s="134">
        <f>'ADJ DETAIL INPUT'!I69</f>
        <v>0</v>
      </c>
      <c r="J70" s="134">
        <f>'ADJ DETAIL INPUT'!J69</f>
        <v>0</v>
      </c>
      <c r="K70" s="134">
        <f>'ADJ DETAIL INPUT'!K69</f>
        <v>0</v>
      </c>
      <c r="L70" s="134">
        <f>'ADJ DETAIL INPUT'!L69</f>
        <v>0</v>
      </c>
      <c r="M70" s="134">
        <f>'ADJ DETAIL INPUT'!M69</f>
        <v>0</v>
      </c>
      <c r="N70" s="134">
        <f>'ADJ DETAIL INPUT'!N69</f>
        <v>0</v>
      </c>
      <c r="O70" s="134">
        <f>'ADJ DETAIL INPUT'!O69</f>
        <v>0</v>
      </c>
      <c r="P70" s="134">
        <f>'ADJ DETAIL INPUT'!P69</f>
        <v>0</v>
      </c>
      <c r="Q70" s="134">
        <f>'ADJ DETAIL INPUT'!Q69</f>
        <v>0</v>
      </c>
      <c r="R70" s="134">
        <f>'ADJ DETAIL INPUT'!R69</f>
        <v>0</v>
      </c>
      <c r="S70" s="134">
        <f>'ADJ DETAIL INPUT'!S69</f>
        <v>0</v>
      </c>
      <c r="T70" s="134">
        <f>'ADJ DETAIL INPUT'!T69</f>
        <v>0</v>
      </c>
      <c r="U70" s="134">
        <f>'ADJ DETAIL INPUT'!U69</f>
        <v>0</v>
      </c>
      <c r="V70" s="134">
        <f>'ADJ DETAIL INPUT'!V69</f>
        <v>0</v>
      </c>
      <c r="W70" s="134">
        <f>'ADJ DETAIL INPUT'!W69</f>
        <v>-7739</v>
      </c>
      <c r="X70" s="134">
        <f>'ADJ DETAIL INPUT'!X69</f>
        <v>0</v>
      </c>
      <c r="Y70" s="134">
        <f>'ADJ DETAIL INPUT'!Z69</f>
        <v>0</v>
      </c>
      <c r="Z70" s="134">
        <f>'ADJ DETAIL INPUT'!AA69</f>
        <v>0</v>
      </c>
      <c r="AA70" s="134">
        <f>'ADJ DETAIL INPUT'!AB69</f>
        <v>0</v>
      </c>
      <c r="AB70" s="134">
        <f>'ADJ DETAIL INPUT'!AC69</f>
        <v>0</v>
      </c>
      <c r="AC70" s="134">
        <f>'ADJ DETAIL INPUT'!AD69</f>
        <v>0</v>
      </c>
      <c r="AD70" s="134">
        <f>'ADJ DETAIL INPUT'!AE69</f>
        <v>0</v>
      </c>
      <c r="AE70" s="134">
        <f>'ADJ DETAIL INPUT'!AF69</f>
        <v>0</v>
      </c>
      <c r="AF70" s="134">
        <f>'ADJ DETAIL INPUT'!AG69</f>
        <v>0</v>
      </c>
      <c r="AG70" s="134">
        <f>'ADJ DETAIL INPUT'!AH69</f>
        <v>0</v>
      </c>
      <c r="AH70" s="134">
        <f>'ADJ DETAIL INPUT'!AI69</f>
        <v>0</v>
      </c>
      <c r="AI70" s="134">
        <f>'ADJ DETAIL INPUT'!AJ69</f>
        <v>0</v>
      </c>
      <c r="AJ70" s="134">
        <f>'ADJ DETAIL INPUT'!AK69</f>
        <v>0</v>
      </c>
      <c r="AK70" s="134">
        <f>'ADJ DETAIL INPUT'!AL69</f>
        <v>0</v>
      </c>
      <c r="AL70" s="134">
        <f>'ADJ DETAIL INPUT'!AM69</f>
        <v>0</v>
      </c>
      <c r="AM70" s="134">
        <f>'ADJ DETAIL INPUT'!AN69</f>
        <v>-7160.6</v>
      </c>
      <c r="AN70" s="134">
        <f>'ADJ DETAIL INPUT'!AO69</f>
        <v>0</v>
      </c>
      <c r="AO70" s="134">
        <f>'ADJ DETAIL INPUT'!AP69</f>
        <v>-15082</v>
      </c>
      <c r="AP70" s="134">
        <f>'ADJ DETAIL INPUT'!AQ69</f>
        <v>0</v>
      </c>
      <c r="AQ70" s="134">
        <f>'ADJ DETAIL INPUT'!AR69</f>
        <v>0</v>
      </c>
      <c r="AR70" s="134">
        <f>'ADJ DETAIL INPUT'!AS69</f>
        <v>0</v>
      </c>
      <c r="AS70" s="134">
        <f>'ADJ DETAIL INPUT'!AT69</f>
        <v>-8157.8</v>
      </c>
      <c r="AT70" s="134">
        <f>'ADJ DETAIL INPUT'!AU69</f>
        <v>0</v>
      </c>
      <c r="AU70" s="134">
        <f>'ADJ DETAIL INPUT'!AY69</f>
        <v>0</v>
      </c>
      <c r="AV70" s="134">
        <f>'ADJ DETAIL INPUT'!AZ69</f>
        <v>0</v>
      </c>
      <c r="AW70" s="134">
        <f>'ADJ DETAIL INPUT'!BA69</f>
        <v>0</v>
      </c>
      <c r="AX70" s="134">
        <f>'ADJ DETAIL INPUT'!BB69</f>
        <v>0</v>
      </c>
      <c r="AY70" s="134">
        <f>'ADJ DETAIL INPUT'!BC69</f>
        <v>0</v>
      </c>
      <c r="AZ70" s="134">
        <f>'ADJ DETAIL INPUT'!BD69</f>
        <v>0</v>
      </c>
      <c r="BA70" s="134">
        <f>'ADJ DETAIL INPUT'!BE69</f>
        <v>0</v>
      </c>
      <c r="BB70" s="134">
        <f>'ADJ DETAIL INPUT'!BF69</f>
        <v>-16739</v>
      </c>
      <c r="BC70" s="134">
        <f>'ADJ DETAIL INPUT'!BG69</f>
        <v>0</v>
      </c>
      <c r="BD70" s="134">
        <f>'ADJ DETAIL INPUT'!BH69</f>
        <v>0</v>
      </c>
    </row>
    <row r="71" spans="1:56">
      <c r="A71" s="116">
        <v>38</v>
      </c>
      <c r="B71" s="118"/>
      <c r="C71" s="118" t="s">
        <v>61</v>
      </c>
      <c r="D71" s="118"/>
      <c r="E71" s="135">
        <f>'ADJ DETAIL INPUT'!E70</f>
        <v>-62353</v>
      </c>
      <c r="F71" s="135">
        <f>'ADJ DETAIL INPUT'!F70</f>
        <v>0</v>
      </c>
      <c r="G71" s="135">
        <f>'ADJ DETAIL INPUT'!G70</f>
        <v>0</v>
      </c>
      <c r="H71" s="135">
        <f>'ADJ DETAIL INPUT'!H70</f>
        <v>0</v>
      </c>
      <c r="I71" s="135">
        <f>'ADJ DETAIL INPUT'!I70</f>
        <v>0</v>
      </c>
      <c r="J71" s="135">
        <f>'ADJ DETAIL INPUT'!J70</f>
        <v>0</v>
      </c>
      <c r="K71" s="135">
        <f>'ADJ DETAIL INPUT'!K70</f>
        <v>0</v>
      </c>
      <c r="L71" s="135">
        <f>'ADJ DETAIL INPUT'!L70</f>
        <v>0</v>
      </c>
      <c r="M71" s="135">
        <f>'ADJ DETAIL INPUT'!M70</f>
        <v>0</v>
      </c>
      <c r="N71" s="135">
        <f>'ADJ DETAIL INPUT'!N70</f>
        <v>0</v>
      </c>
      <c r="O71" s="135">
        <f>'ADJ DETAIL INPUT'!O70</f>
        <v>0</v>
      </c>
      <c r="P71" s="135">
        <f>'ADJ DETAIL INPUT'!P70</f>
        <v>0</v>
      </c>
      <c r="Q71" s="135">
        <f>'ADJ DETAIL INPUT'!Q70</f>
        <v>0</v>
      </c>
      <c r="R71" s="135">
        <f>'ADJ DETAIL INPUT'!R70</f>
        <v>0</v>
      </c>
      <c r="S71" s="135">
        <f>'ADJ DETAIL INPUT'!S70</f>
        <v>0</v>
      </c>
      <c r="T71" s="135">
        <f>'ADJ DETAIL INPUT'!T70</f>
        <v>0</v>
      </c>
      <c r="U71" s="135">
        <f>'ADJ DETAIL INPUT'!U70</f>
        <v>0</v>
      </c>
      <c r="V71" s="135">
        <f>'ADJ DETAIL INPUT'!V70</f>
        <v>0</v>
      </c>
      <c r="W71" s="135">
        <f>'ADJ DETAIL INPUT'!W70</f>
        <v>-4319</v>
      </c>
      <c r="X71" s="135">
        <f>'ADJ DETAIL INPUT'!X70</f>
        <v>0</v>
      </c>
      <c r="Y71" s="135">
        <f>'ADJ DETAIL INPUT'!Z70</f>
        <v>0</v>
      </c>
      <c r="Z71" s="135">
        <f>'ADJ DETAIL INPUT'!AA70</f>
        <v>0</v>
      </c>
      <c r="AA71" s="135">
        <f>'ADJ DETAIL INPUT'!AB70</f>
        <v>0</v>
      </c>
      <c r="AB71" s="135">
        <f>'ADJ DETAIL INPUT'!AC70</f>
        <v>0</v>
      </c>
      <c r="AC71" s="135">
        <f>'ADJ DETAIL INPUT'!AD70</f>
        <v>0</v>
      </c>
      <c r="AD71" s="135">
        <f>'ADJ DETAIL INPUT'!AE70</f>
        <v>0</v>
      </c>
      <c r="AE71" s="135">
        <f>'ADJ DETAIL INPUT'!AF70</f>
        <v>0</v>
      </c>
      <c r="AF71" s="135">
        <f>'ADJ DETAIL INPUT'!AG70</f>
        <v>0</v>
      </c>
      <c r="AG71" s="135">
        <f>'ADJ DETAIL INPUT'!AH70</f>
        <v>0</v>
      </c>
      <c r="AH71" s="135">
        <f>'ADJ DETAIL INPUT'!AI70</f>
        <v>0</v>
      </c>
      <c r="AI71" s="135">
        <f>'ADJ DETAIL INPUT'!AJ70</f>
        <v>0</v>
      </c>
      <c r="AJ71" s="135">
        <f>'ADJ DETAIL INPUT'!AK70</f>
        <v>0</v>
      </c>
      <c r="AK71" s="135">
        <f>'ADJ DETAIL INPUT'!AL70</f>
        <v>0</v>
      </c>
      <c r="AL71" s="135">
        <f>'ADJ DETAIL INPUT'!AM70</f>
        <v>0</v>
      </c>
      <c r="AM71" s="135">
        <f>'ADJ DETAIL INPUT'!AN70</f>
        <v>2015</v>
      </c>
      <c r="AN71" s="135">
        <f>'ADJ DETAIL INPUT'!AO70</f>
        <v>0</v>
      </c>
      <c r="AO71" s="135">
        <f>'ADJ DETAIL INPUT'!AP70</f>
        <v>-3656</v>
      </c>
      <c r="AP71" s="135">
        <f>'ADJ DETAIL INPUT'!AQ70</f>
        <v>0</v>
      </c>
      <c r="AQ71" s="135">
        <f>'ADJ DETAIL INPUT'!AR70</f>
        <v>0</v>
      </c>
      <c r="AR71" s="135">
        <f>'ADJ DETAIL INPUT'!AS70</f>
        <v>0</v>
      </c>
      <c r="AS71" s="135">
        <f>'ADJ DETAIL INPUT'!AT70</f>
        <v>-3603.3</v>
      </c>
      <c r="AT71" s="135">
        <f>'ADJ DETAIL INPUT'!AU70</f>
        <v>0</v>
      </c>
      <c r="AU71" s="135">
        <f>'ADJ DETAIL INPUT'!AY70</f>
        <v>0</v>
      </c>
      <c r="AV71" s="135">
        <f>'ADJ DETAIL INPUT'!AZ70</f>
        <v>0</v>
      </c>
      <c r="AW71" s="135">
        <f>'ADJ DETAIL INPUT'!BA70</f>
        <v>0</v>
      </c>
      <c r="AX71" s="135">
        <f>'ADJ DETAIL INPUT'!BB70</f>
        <v>0</v>
      </c>
      <c r="AY71" s="135">
        <f>'ADJ DETAIL INPUT'!BC70</f>
        <v>0</v>
      </c>
      <c r="AZ71" s="135">
        <f>'ADJ DETAIL INPUT'!BD70</f>
        <v>0</v>
      </c>
      <c r="BA71" s="135">
        <f>'ADJ DETAIL INPUT'!BE70</f>
        <v>0</v>
      </c>
      <c r="BB71" s="135">
        <f>'ADJ DETAIL INPUT'!BF70</f>
        <v>-1513.1</v>
      </c>
      <c r="BC71" s="135">
        <f>'ADJ DETAIL INPUT'!BG70</f>
        <v>0</v>
      </c>
      <c r="BD71" s="135">
        <f>'ADJ DETAIL INPUT'!BH70</f>
        <v>0</v>
      </c>
    </row>
    <row r="72" spans="1:56">
      <c r="A72" s="116">
        <v>39</v>
      </c>
      <c r="B72" s="118" t="s">
        <v>374</v>
      </c>
      <c r="C72" s="118"/>
      <c r="E72" s="137">
        <f>SUM(E69:E71)</f>
        <v>-263836</v>
      </c>
      <c r="F72" s="137">
        <f t="shared" ref="F72:R72" si="75">SUM(F69:F71)</f>
        <v>0</v>
      </c>
      <c r="G72" s="137">
        <f t="shared" si="75"/>
        <v>0</v>
      </c>
      <c r="H72" s="137">
        <f t="shared" si="75"/>
        <v>0</v>
      </c>
      <c r="I72" s="137">
        <f t="shared" si="75"/>
        <v>0</v>
      </c>
      <c r="J72" s="137">
        <f t="shared" si="75"/>
        <v>0</v>
      </c>
      <c r="K72" s="137">
        <f t="shared" si="75"/>
        <v>0</v>
      </c>
      <c r="L72" s="137">
        <f t="shared" si="75"/>
        <v>0</v>
      </c>
      <c r="M72" s="137">
        <f t="shared" si="75"/>
        <v>0</v>
      </c>
      <c r="N72" s="137">
        <f t="shared" si="75"/>
        <v>0</v>
      </c>
      <c r="O72" s="137">
        <f t="shared" si="75"/>
        <v>0</v>
      </c>
      <c r="P72" s="137">
        <f t="shared" si="75"/>
        <v>0</v>
      </c>
      <c r="Q72" s="137">
        <f t="shared" si="75"/>
        <v>0</v>
      </c>
      <c r="R72" s="137">
        <f t="shared" si="75"/>
        <v>0</v>
      </c>
      <c r="S72" s="137">
        <f t="shared" ref="S72:T72" si="76">SUM(S69:S71)</f>
        <v>0</v>
      </c>
      <c r="T72" s="137">
        <f t="shared" si="76"/>
        <v>0</v>
      </c>
      <c r="U72" s="137">
        <f t="shared" ref="U72" si="77">SUM(U69:U71)</f>
        <v>0</v>
      </c>
      <c r="V72" s="137">
        <f>SUM(V69:V71)</f>
        <v>0</v>
      </c>
      <c r="W72" s="137">
        <f>SUM(W69:W71)</f>
        <v>-12316</v>
      </c>
      <c r="X72" s="137">
        <f>SUM(X69:X71)</f>
        <v>0</v>
      </c>
      <c r="Y72" s="137">
        <f>SUM(Y69:Y71)</f>
        <v>0</v>
      </c>
      <c r="Z72" s="137">
        <f t="shared" ref="Z72:BD72" si="78">SUM(Z69:Z71)</f>
        <v>0</v>
      </c>
      <c r="AA72" s="137">
        <f t="shared" si="78"/>
        <v>0</v>
      </c>
      <c r="AB72" s="137">
        <f t="shared" si="78"/>
        <v>0</v>
      </c>
      <c r="AC72" s="137">
        <f t="shared" si="78"/>
        <v>0</v>
      </c>
      <c r="AD72" s="137">
        <f t="shared" si="78"/>
        <v>0</v>
      </c>
      <c r="AE72" s="137">
        <f t="shared" si="78"/>
        <v>0</v>
      </c>
      <c r="AF72" s="137">
        <f t="shared" ref="AF72" si="79">SUM(AF69:AF71)</f>
        <v>0</v>
      </c>
      <c r="AG72" s="137">
        <f t="shared" si="78"/>
        <v>0</v>
      </c>
      <c r="AH72" s="137">
        <f t="shared" si="78"/>
        <v>0</v>
      </c>
      <c r="AI72" s="137">
        <f t="shared" si="78"/>
        <v>0</v>
      </c>
      <c r="AJ72" s="137">
        <f t="shared" si="78"/>
        <v>0</v>
      </c>
      <c r="AK72" s="137">
        <f t="shared" si="78"/>
        <v>0</v>
      </c>
      <c r="AL72" s="137">
        <f t="shared" si="78"/>
        <v>0</v>
      </c>
      <c r="AM72" s="137">
        <f t="shared" si="78"/>
        <v>-5409.1</v>
      </c>
      <c r="AN72" s="137">
        <f t="shared" ref="AN72:AO72" si="80">SUM(AN69:AN71)</f>
        <v>0</v>
      </c>
      <c r="AO72" s="137">
        <f t="shared" si="80"/>
        <v>-19280</v>
      </c>
      <c r="AP72" s="137">
        <f t="shared" ref="AP72" si="81">SUM(AP69:AP71)</f>
        <v>0</v>
      </c>
      <c r="AQ72" s="137">
        <f t="shared" si="78"/>
        <v>0</v>
      </c>
      <c r="AR72" s="137">
        <f t="shared" si="78"/>
        <v>0</v>
      </c>
      <c r="AS72" s="137">
        <f t="shared" si="78"/>
        <v>-12041.099999999999</v>
      </c>
      <c r="AT72" s="137">
        <f t="shared" si="78"/>
        <v>0</v>
      </c>
      <c r="AU72" s="137">
        <f t="shared" ref="AU72" si="82">SUM(AU69:AU71)</f>
        <v>0</v>
      </c>
      <c r="AV72" s="137">
        <f t="shared" si="78"/>
        <v>0</v>
      </c>
      <c r="AW72" s="137">
        <f t="shared" si="78"/>
        <v>0</v>
      </c>
      <c r="AX72" s="137">
        <f t="shared" si="78"/>
        <v>0</v>
      </c>
      <c r="AY72" s="137">
        <f t="shared" si="78"/>
        <v>0</v>
      </c>
      <c r="AZ72" s="137">
        <f t="shared" si="78"/>
        <v>0</v>
      </c>
      <c r="BA72" s="137">
        <f t="shared" si="78"/>
        <v>0</v>
      </c>
      <c r="BB72" s="137">
        <f t="shared" si="78"/>
        <v>-18826.099999999999</v>
      </c>
      <c r="BC72" s="137">
        <f t="shared" si="78"/>
        <v>0</v>
      </c>
      <c r="BD72" s="137">
        <f t="shared" si="78"/>
        <v>0</v>
      </c>
    </row>
    <row r="73" spans="1:56">
      <c r="A73" s="116">
        <v>40</v>
      </c>
      <c r="B73" s="118" t="s">
        <v>164</v>
      </c>
      <c r="C73" s="118"/>
      <c r="D73" s="118"/>
      <c r="E73" s="138">
        <f>E66+E72</f>
        <v>582659.39999999991</v>
      </c>
      <c r="F73" s="138">
        <f t="shared" ref="F73:R73" si="83">F66+F72</f>
        <v>0</v>
      </c>
      <c r="G73" s="138">
        <f t="shared" si="83"/>
        <v>0</v>
      </c>
      <c r="H73" s="138">
        <f t="shared" si="83"/>
        <v>0</v>
      </c>
      <c r="I73" s="138">
        <f t="shared" si="83"/>
        <v>0</v>
      </c>
      <c r="J73" s="138">
        <f t="shared" si="83"/>
        <v>0</v>
      </c>
      <c r="K73" s="138">
        <f t="shared" si="83"/>
        <v>0</v>
      </c>
      <c r="L73" s="138">
        <f t="shared" si="83"/>
        <v>0</v>
      </c>
      <c r="M73" s="138">
        <f t="shared" si="83"/>
        <v>0</v>
      </c>
      <c r="N73" s="138">
        <f t="shared" si="83"/>
        <v>0</v>
      </c>
      <c r="O73" s="138">
        <f t="shared" si="83"/>
        <v>0</v>
      </c>
      <c r="P73" s="138">
        <f t="shared" si="83"/>
        <v>0</v>
      </c>
      <c r="Q73" s="138">
        <f t="shared" si="83"/>
        <v>0</v>
      </c>
      <c r="R73" s="138">
        <f t="shared" si="83"/>
        <v>0</v>
      </c>
      <c r="S73" s="138">
        <f t="shared" ref="S73:T73" si="84">S66+S72</f>
        <v>0</v>
      </c>
      <c r="T73" s="138">
        <f t="shared" si="84"/>
        <v>0</v>
      </c>
      <c r="U73" s="138">
        <f t="shared" ref="U73" si="85">U66+U72</f>
        <v>0</v>
      </c>
      <c r="V73" s="138">
        <f>V66+V72</f>
        <v>0</v>
      </c>
      <c r="W73" s="138">
        <f>W66+W72</f>
        <v>12291</v>
      </c>
      <c r="X73" s="138">
        <f>X66+X72</f>
        <v>0</v>
      </c>
      <c r="Y73" s="138">
        <f>Y66+Y72</f>
        <v>0</v>
      </c>
      <c r="Z73" s="138">
        <f t="shared" ref="Z73:BD73" si="86">Z66+Z72</f>
        <v>0</v>
      </c>
      <c r="AA73" s="138">
        <f t="shared" si="86"/>
        <v>0</v>
      </c>
      <c r="AB73" s="138">
        <f t="shared" si="86"/>
        <v>0</v>
      </c>
      <c r="AC73" s="138">
        <f t="shared" si="86"/>
        <v>0</v>
      </c>
      <c r="AD73" s="138">
        <f t="shared" si="86"/>
        <v>0</v>
      </c>
      <c r="AE73" s="138">
        <f t="shared" si="86"/>
        <v>0</v>
      </c>
      <c r="AF73" s="138">
        <f t="shared" ref="AF73" si="87">AF66+AF72</f>
        <v>0</v>
      </c>
      <c r="AG73" s="138">
        <f t="shared" si="86"/>
        <v>0</v>
      </c>
      <c r="AH73" s="138">
        <f t="shared" si="86"/>
        <v>0</v>
      </c>
      <c r="AI73" s="138">
        <f t="shared" si="86"/>
        <v>0</v>
      </c>
      <c r="AJ73" s="138">
        <f t="shared" si="86"/>
        <v>0</v>
      </c>
      <c r="AK73" s="138">
        <f t="shared" si="86"/>
        <v>0</v>
      </c>
      <c r="AL73" s="138">
        <f t="shared" si="86"/>
        <v>0</v>
      </c>
      <c r="AM73" s="138">
        <f t="shared" si="86"/>
        <v>19258.900000000001</v>
      </c>
      <c r="AN73" s="138">
        <f t="shared" ref="AN73:AO73" si="88">AN66+AN72</f>
        <v>0</v>
      </c>
      <c r="AO73" s="138">
        <f t="shared" si="88"/>
        <v>20483</v>
      </c>
      <c r="AP73" s="138">
        <f t="shared" ref="AP73" si="89">AP66+AP72</f>
        <v>0</v>
      </c>
      <c r="AQ73" s="138">
        <f t="shared" si="86"/>
        <v>0</v>
      </c>
      <c r="AR73" s="138">
        <f t="shared" si="86"/>
        <v>0</v>
      </c>
      <c r="AS73" s="138">
        <f t="shared" si="86"/>
        <v>4599.9000000000015</v>
      </c>
      <c r="AT73" s="138">
        <f t="shared" si="86"/>
        <v>0</v>
      </c>
      <c r="AU73" s="138">
        <f t="shared" ref="AU73" si="90">AU66+AU72</f>
        <v>0</v>
      </c>
      <c r="AV73" s="138">
        <f t="shared" si="86"/>
        <v>0</v>
      </c>
      <c r="AW73" s="138">
        <f t="shared" si="86"/>
        <v>0</v>
      </c>
      <c r="AX73" s="138">
        <f t="shared" si="86"/>
        <v>0</v>
      </c>
      <c r="AY73" s="138">
        <f t="shared" si="86"/>
        <v>0</v>
      </c>
      <c r="AZ73" s="138">
        <f t="shared" si="86"/>
        <v>0</v>
      </c>
      <c r="BA73" s="138">
        <f t="shared" si="86"/>
        <v>0</v>
      </c>
      <c r="BB73" s="138">
        <f t="shared" si="86"/>
        <v>17015.900000000001</v>
      </c>
      <c r="BC73" s="138">
        <f t="shared" si="86"/>
        <v>0</v>
      </c>
      <c r="BD73" s="138">
        <f t="shared" si="86"/>
        <v>0</v>
      </c>
    </row>
    <row r="74" spans="1:56" s="121" customFormat="1" ht="19.149999999999999" customHeight="1">
      <c r="A74" s="119">
        <v>41</v>
      </c>
      <c r="B74" s="120" t="s">
        <v>193</v>
      </c>
      <c r="C74" s="120"/>
      <c r="D74" s="120"/>
      <c r="E74" s="135">
        <f>'ADJ DETAIL INPUT'!E73</f>
        <v>-84772</v>
      </c>
      <c r="F74" s="135">
        <f>'ADJ DETAIL INPUT'!F73</f>
        <v>-224</v>
      </c>
      <c r="G74" s="135">
        <f>'ADJ DETAIL INPUT'!G73</f>
        <v>0</v>
      </c>
      <c r="H74" s="135">
        <f>'ADJ DETAIL INPUT'!H73</f>
        <v>0</v>
      </c>
      <c r="I74" s="135">
        <f>'ADJ DETAIL INPUT'!I73</f>
        <v>0</v>
      </c>
      <c r="J74" s="135">
        <f>'ADJ DETAIL INPUT'!J73</f>
        <v>0</v>
      </c>
      <c r="K74" s="135">
        <f>'ADJ DETAIL INPUT'!K73</f>
        <v>0</v>
      </c>
      <c r="L74" s="135">
        <f>'ADJ DETAIL INPUT'!L73</f>
        <v>0</v>
      </c>
      <c r="M74" s="135">
        <f>'ADJ DETAIL INPUT'!M73</f>
        <v>0</v>
      </c>
      <c r="N74" s="135">
        <f>'ADJ DETAIL INPUT'!N73</f>
        <v>0</v>
      </c>
      <c r="O74" s="135">
        <f>'ADJ DETAIL INPUT'!O73</f>
        <v>0</v>
      </c>
      <c r="P74" s="135">
        <f>'ADJ DETAIL INPUT'!P73</f>
        <v>0</v>
      </c>
      <c r="Q74" s="135">
        <f>'ADJ DETAIL INPUT'!Q73</f>
        <v>0</v>
      </c>
      <c r="R74" s="135">
        <f>'ADJ DETAIL INPUT'!R73</f>
        <v>0</v>
      </c>
      <c r="S74" s="135">
        <f>'ADJ DETAIL INPUT'!S73</f>
        <v>0</v>
      </c>
      <c r="T74" s="135">
        <f>'ADJ DETAIL INPUT'!T73</f>
        <v>0</v>
      </c>
      <c r="U74" s="135">
        <f>'ADJ DETAIL INPUT'!U73</f>
        <v>0</v>
      </c>
      <c r="V74" s="135">
        <f>'ADJ DETAIL INPUT'!V73</f>
        <v>0</v>
      </c>
      <c r="W74" s="135">
        <f>'ADJ DETAIL INPUT'!W73</f>
        <v>117</v>
      </c>
      <c r="X74" s="135">
        <f>'ADJ DETAIL INPUT'!X73</f>
        <v>0</v>
      </c>
      <c r="Y74" s="135">
        <f>'ADJ DETAIL INPUT'!Z73</f>
        <v>0</v>
      </c>
      <c r="Z74" s="135">
        <f>'ADJ DETAIL INPUT'!AA73</f>
        <v>0</v>
      </c>
      <c r="AA74" s="135">
        <f>'ADJ DETAIL INPUT'!AB73</f>
        <v>0</v>
      </c>
      <c r="AB74" s="135">
        <f>'ADJ DETAIL INPUT'!AC73</f>
        <v>0</v>
      </c>
      <c r="AC74" s="135">
        <f>'ADJ DETAIL INPUT'!AD73</f>
        <v>0</v>
      </c>
      <c r="AD74" s="135">
        <f>'ADJ DETAIL INPUT'!AE73</f>
        <v>0</v>
      </c>
      <c r="AE74" s="135">
        <f>'ADJ DETAIL INPUT'!AF73</f>
        <v>0</v>
      </c>
      <c r="AF74" s="135">
        <f>'ADJ DETAIL INPUT'!AG73</f>
        <v>0</v>
      </c>
      <c r="AG74" s="135">
        <f>'ADJ DETAIL INPUT'!AH73</f>
        <v>0</v>
      </c>
      <c r="AH74" s="135">
        <f>'ADJ DETAIL INPUT'!AI73</f>
        <v>0</v>
      </c>
      <c r="AI74" s="135">
        <f>'ADJ DETAIL INPUT'!AJ73</f>
        <v>0</v>
      </c>
      <c r="AJ74" s="135">
        <f>'ADJ DETAIL INPUT'!AK73</f>
        <v>0</v>
      </c>
      <c r="AK74" s="135">
        <f>'ADJ DETAIL INPUT'!AL73</f>
        <v>0</v>
      </c>
      <c r="AL74" s="135">
        <f>'ADJ DETAIL INPUT'!AM73</f>
        <v>0</v>
      </c>
      <c r="AM74" s="135">
        <f>'ADJ DETAIL INPUT'!AN73</f>
        <v>229</v>
      </c>
      <c r="AN74" s="135">
        <f>'ADJ DETAIL INPUT'!AO73</f>
        <v>0</v>
      </c>
      <c r="AO74" s="135">
        <f>'ADJ DETAIL INPUT'!AP73</f>
        <v>85</v>
      </c>
      <c r="AP74" s="135">
        <f>'ADJ DETAIL INPUT'!AQ73</f>
        <v>0</v>
      </c>
      <c r="AQ74" s="135">
        <f>'ADJ DETAIL INPUT'!AR73</f>
        <v>0</v>
      </c>
      <c r="AR74" s="135">
        <f>'ADJ DETAIL INPUT'!AS73</f>
        <v>0</v>
      </c>
      <c r="AS74" s="135">
        <f>'ADJ DETAIL INPUT'!AT73</f>
        <v>-1396</v>
      </c>
      <c r="AT74" s="135">
        <f>'ADJ DETAIL INPUT'!AU73</f>
        <v>0</v>
      </c>
      <c r="AU74" s="135">
        <f>'ADJ DETAIL INPUT'!AY73</f>
        <v>0</v>
      </c>
      <c r="AV74" s="135">
        <f>'ADJ DETAIL INPUT'!AZ73</f>
        <v>0</v>
      </c>
      <c r="AW74" s="135">
        <f>'ADJ DETAIL INPUT'!BA73</f>
        <v>0</v>
      </c>
      <c r="AX74" s="135">
        <f>'ADJ DETAIL INPUT'!BB73</f>
        <v>0</v>
      </c>
      <c r="AY74" s="135">
        <f>'ADJ DETAIL INPUT'!BC73</f>
        <v>0</v>
      </c>
      <c r="AZ74" s="135">
        <f>'ADJ DETAIL INPUT'!BD73</f>
        <v>0</v>
      </c>
      <c r="BA74" s="135">
        <f>'ADJ DETAIL INPUT'!BE73</f>
        <v>0</v>
      </c>
      <c r="BB74" s="135">
        <f>'ADJ DETAIL INPUT'!BF73</f>
        <v>73</v>
      </c>
      <c r="BC74" s="135">
        <f>'ADJ DETAIL INPUT'!BG73</f>
        <v>0</v>
      </c>
      <c r="BD74" s="135">
        <f>'ADJ DETAIL INPUT'!BH73</f>
        <v>0</v>
      </c>
    </row>
    <row r="75" spans="1:56" s="121" customFormat="1" ht="19.149999999999999" customHeight="1">
      <c r="A75" s="119">
        <v>42</v>
      </c>
      <c r="B75" s="120" t="s">
        <v>191</v>
      </c>
      <c r="C75" s="120"/>
      <c r="D75" s="120"/>
      <c r="E75" s="138">
        <f>E73+E74</f>
        <v>497887.39999999991</v>
      </c>
      <c r="F75" s="138">
        <f t="shared" ref="F75:R75" si="91">F73+F74</f>
        <v>-224</v>
      </c>
      <c r="G75" s="138">
        <f t="shared" si="91"/>
        <v>0</v>
      </c>
      <c r="H75" s="138">
        <f t="shared" si="91"/>
        <v>0</v>
      </c>
      <c r="I75" s="138">
        <f t="shared" si="91"/>
        <v>0</v>
      </c>
      <c r="J75" s="138">
        <f t="shared" si="91"/>
        <v>0</v>
      </c>
      <c r="K75" s="138">
        <f t="shared" si="91"/>
        <v>0</v>
      </c>
      <c r="L75" s="138">
        <f t="shared" si="91"/>
        <v>0</v>
      </c>
      <c r="M75" s="138">
        <f t="shared" si="91"/>
        <v>0</v>
      </c>
      <c r="N75" s="138">
        <f t="shared" si="91"/>
        <v>0</v>
      </c>
      <c r="O75" s="138">
        <f t="shared" si="91"/>
        <v>0</v>
      </c>
      <c r="P75" s="138">
        <f t="shared" si="91"/>
        <v>0</v>
      </c>
      <c r="Q75" s="138">
        <f t="shared" si="91"/>
        <v>0</v>
      </c>
      <c r="R75" s="138">
        <f t="shared" si="91"/>
        <v>0</v>
      </c>
      <c r="S75" s="138">
        <f t="shared" ref="S75:T75" si="92">S73+S74</f>
        <v>0</v>
      </c>
      <c r="T75" s="138">
        <f t="shared" si="92"/>
        <v>0</v>
      </c>
      <c r="U75" s="138">
        <f t="shared" ref="U75" si="93">U73+U74</f>
        <v>0</v>
      </c>
      <c r="V75" s="138">
        <f>V73+V74</f>
        <v>0</v>
      </c>
      <c r="W75" s="138">
        <f>W73+W74</f>
        <v>12408</v>
      </c>
      <c r="X75" s="138">
        <f>X73+X74</f>
        <v>0</v>
      </c>
      <c r="Y75" s="138">
        <f>Y73+Y74</f>
        <v>0</v>
      </c>
      <c r="Z75" s="138">
        <f t="shared" ref="Z75:BD75" si="94">Z73+Z74</f>
        <v>0</v>
      </c>
      <c r="AA75" s="138">
        <f t="shared" si="94"/>
        <v>0</v>
      </c>
      <c r="AB75" s="138">
        <f t="shared" si="94"/>
        <v>0</v>
      </c>
      <c r="AC75" s="138">
        <f t="shared" si="94"/>
        <v>0</v>
      </c>
      <c r="AD75" s="138">
        <f t="shared" si="94"/>
        <v>0</v>
      </c>
      <c r="AE75" s="138">
        <f t="shared" si="94"/>
        <v>0</v>
      </c>
      <c r="AF75" s="138">
        <f t="shared" ref="AF75" si="95">AF73+AF74</f>
        <v>0</v>
      </c>
      <c r="AG75" s="138">
        <f t="shared" si="94"/>
        <v>0</v>
      </c>
      <c r="AH75" s="138">
        <f t="shared" si="94"/>
        <v>0</v>
      </c>
      <c r="AI75" s="138">
        <f t="shared" si="94"/>
        <v>0</v>
      </c>
      <c r="AJ75" s="138">
        <f t="shared" si="94"/>
        <v>0</v>
      </c>
      <c r="AK75" s="138">
        <f t="shared" si="94"/>
        <v>0</v>
      </c>
      <c r="AL75" s="138">
        <f t="shared" si="94"/>
        <v>0</v>
      </c>
      <c r="AM75" s="138">
        <f t="shared" si="94"/>
        <v>19487.900000000001</v>
      </c>
      <c r="AN75" s="138">
        <f t="shared" ref="AN75:AO75" si="96">AN73+AN74</f>
        <v>0</v>
      </c>
      <c r="AO75" s="138">
        <f t="shared" si="96"/>
        <v>20568</v>
      </c>
      <c r="AP75" s="138">
        <f t="shared" ref="AP75" si="97">AP73+AP74</f>
        <v>0</v>
      </c>
      <c r="AQ75" s="138">
        <f t="shared" si="94"/>
        <v>0</v>
      </c>
      <c r="AR75" s="138">
        <f t="shared" si="94"/>
        <v>0</v>
      </c>
      <c r="AS75" s="138">
        <f t="shared" si="94"/>
        <v>3203.9000000000015</v>
      </c>
      <c r="AT75" s="138">
        <f t="shared" si="94"/>
        <v>0</v>
      </c>
      <c r="AU75" s="138">
        <f t="shared" ref="AU75" si="98">AU73+AU74</f>
        <v>0</v>
      </c>
      <c r="AV75" s="138">
        <f t="shared" si="94"/>
        <v>0</v>
      </c>
      <c r="AW75" s="138">
        <f t="shared" si="94"/>
        <v>0</v>
      </c>
      <c r="AX75" s="138">
        <f t="shared" si="94"/>
        <v>0</v>
      </c>
      <c r="AY75" s="138">
        <f t="shared" si="94"/>
        <v>0</v>
      </c>
      <c r="AZ75" s="138">
        <f t="shared" si="94"/>
        <v>0</v>
      </c>
      <c r="BA75" s="138">
        <f t="shared" si="94"/>
        <v>0</v>
      </c>
      <c r="BB75" s="138">
        <f t="shared" si="94"/>
        <v>17088.900000000001</v>
      </c>
      <c r="BC75" s="138">
        <f t="shared" si="94"/>
        <v>0</v>
      </c>
      <c r="BD75" s="138">
        <f t="shared" si="94"/>
        <v>0</v>
      </c>
    </row>
    <row r="76" spans="1:56">
      <c r="A76" s="116">
        <v>43</v>
      </c>
      <c r="B76" s="118" t="s">
        <v>65</v>
      </c>
      <c r="C76" s="118"/>
      <c r="D76" s="118"/>
      <c r="E76" s="134">
        <f>'ADJ DETAIL INPUT'!E75</f>
        <v>19552</v>
      </c>
      <c r="F76" s="134">
        <f>'ADJ DETAIL INPUT'!F75</f>
        <v>0</v>
      </c>
      <c r="G76" s="134">
        <f>'ADJ DETAIL INPUT'!G75</f>
        <v>0</v>
      </c>
      <c r="H76" s="134">
        <f>'ADJ DETAIL INPUT'!H75</f>
        <v>0</v>
      </c>
      <c r="I76" s="134">
        <f>'ADJ DETAIL INPUT'!I75</f>
        <v>0</v>
      </c>
      <c r="J76" s="134">
        <f>'ADJ DETAIL INPUT'!J75</f>
        <v>0</v>
      </c>
      <c r="K76" s="134">
        <f>'ADJ DETAIL INPUT'!K75</f>
        <v>0</v>
      </c>
      <c r="L76" s="134">
        <f>'ADJ DETAIL INPUT'!L75</f>
        <v>0</v>
      </c>
      <c r="M76" s="134">
        <f>'ADJ DETAIL INPUT'!M75</f>
        <v>0</v>
      </c>
      <c r="N76" s="134">
        <f>'ADJ DETAIL INPUT'!N75</f>
        <v>0</v>
      </c>
      <c r="O76" s="134">
        <f>'ADJ DETAIL INPUT'!O75</f>
        <v>0</v>
      </c>
      <c r="P76" s="134">
        <f>'ADJ DETAIL INPUT'!P75</f>
        <v>0</v>
      </c>
      <c r="Q76" s="134">
        <f>'ADJ DETAIL INPUT'!Q75</f>
        <v>0</v>
      </c>
      <c r="R76" s="134">
        <f>'ADJ DETAIL INPUT'!R75</f>
        <v>0</v>
      </c>
      <c r="S76" s="134">
        <f>'ADJ DETAIL INPUT'!S75</f>
        <v>0</v>
      </c>
      <c r="T76" s="134">
        <f>'ADJ DETAIL INPUT'!T75</f>
        <v>0</v>
      </c>
      <c r="U76" s="134">
        <f>'ADJ DETAIL INPUT'!U75</f>
        <v>0</v>
      </c>
      <c r="V76" s="134">
        <f>'ADJ DETAIL INPUT'!V75</f>
        <v>0</v>
      </c>
      <c r="W76" s="134">
        <f>'ADJ DETAIL INPUT'!W75</f>
        <v>0</v>
      </c>
      <c r="X76" s="134">
        <f>'ADJ DETAIL INPUT'!X75</f>
        <v>0</v>
      </c>
      <c r="Y76" s="134">
        <f>'ADJ DETAIL INPUT'!Z75</f>
        <v>0</v>
      </c>
      <c r="Z76" s="134">
        <f>'ADJ DETAIL INPUT'!AA75</f>
        <v>0</v>
      </c>
      <c r="AA76" s="134">
        <f>'ADJ DETAIL INPUT'!AB75</f>
        <v>0</v>
      </c>
      <c r="AB76" s="134">
        <f>'ADJ DETAIL INPUT'!AC75</f>
        <v>0</v>
      </c>
      <c r="AC76" s="134">
        <f>'ADJ DETAIL INPUT'!AD75</f>
        <v>0</v>
      </c>
      <c r="AD76" s="134">
        <f>'ADJ DETAIL INPUT'!AE75</f>
        <v>0</v>
      </c>
      <c r="AE76" s="134">
        <f>'ADJ DETAIL INPUT'!AF75</f>
        <v>0</v>
      </c>
      <c r="AF76" s="134">
        <f>'ADJ DETAIL INPUT'!AG75</f>
        <v>0</v>
      </c>
      <c r="AG76" s="134">
        <f>'ADJ DETAIL INPUT'!AH75</f>
        <v>0</v>
      </c>
      <c r="AH76" s="134">
        <f>'ADJ DETAIL INPUT'!AI75</f>
        <v>0</v>
      </c>
      <c r="AI76" s="134">
        <f>'ADJ DETAIL INPUT'!AJ75</f>
        <v>0</v>
      </c>
      <c r="AJ76" s="134">
        <f>'ADJ DETAIL INPUT'!AK75</f>
        <v>0</v>
      </c>
      <c r="AK76" s="134">
        <f>'ADJ DETAIL INPUT'!AL75</f>
        <v>0</v>
      </c>
      <c r="AL76" s="134">
        <f>'ADJ DETAIL INPUT'!AM75</f>
        <v>0</v>
      </c>
      <c r="AM76" s="134">
        <f>'ADJ DETAIL INPUT'!AN75</f>
        <v>0</v>
      </c>
      <c r="AN76" s="134">
        <f>'ADJ DETAIL INPUT'!AO75</f>
        <v>0</v>
      </c>
      <c r="AO76" s="134">
        <f>'ADJ DETAIL INPUT'!AP75</f>
        <v>0</v>
      </c>
      <c r="AP76" s="134">
        <f>'ADJ DETAIL INPUT'!AQ75</f>
        <v>0</v>
      </c>
      <c r="AQ76" s="134">
        <f>'ADJ DETAIL INPUT'!AR75</f>
        <v>0</v>
      </c>
      <c r="AR76" s="134">
        <f>'ADJ DETAIL INPUT'!AS75</f>
        <v>0</v>
      </c>
      <c r="AS76" s="134">
        <f>'ADJ DETAIL INPUT'!AT75</f>
        <v>0</v>
      </c>
      <c r="AT76" s="134">
        <f>'ADJ DETAIL INPUT'!AU75</f>
        <v>0</v>
      </c>
      <c r="AU76" s="134">
        <f>'ADJ DETAIL INPUT'!AY75</f>
        <v>0</v>
      </c>
      <c r="AV76" s="134">
        <f>'ADJ DETAIL INPUT'!AZ75</f>
        <v>0</v>
      </c>
      <c r="AW76" s="134">
        <f>'ADJ DETAIL INPUT'!BA75</f>
        <v>0</v>
      </c>
      <c r="AX76" s="134">
        <f>'ADJ DETAIL INPUT'!BB75</f>
        <v>0</v>
      </c>
      <c r="AY76" s="134">
        <f>'ADJ DETAIL INPUT'!BC75</f>
        <v>0</v>
      </c>
      <c r="AZ76" s="134">
        <f>'ADJ DETAIL INPUT'!BD75</f>
        <v>0</v>
      </c>
      <c r="BA76" s="134">
        <f>'ADJ DETAIL INPUT'!BE75</f>
        <v>0</v>
      </c>
      <c r="BB76" s="134">
        <f>'ADJ DETAIL INPUT'!BF75</f>
        <v>0</v>
      </c>
      <c r="BC76" s="134">
        <f>'ADJ DETAIL INPUT'!BG75</f>
        <v>0</v>
      </c>
      <c r="BD76" s="134">
        <f>'ADJ DETAIL INPUT'!BH75</f>
        <v>0</v>
      </c>
    </row>
    <row r="77" spans="1:56" s="121" customFormat="1">
      <c r="A77" s="119">
        <v>44</v>
      </c>
      <c r="B77" s="120" t="s">
        <v>66</v>
      </c>
      <c r="C77" s="120"/>
      <c r="D77" s="120"/>
      <c r="E77" s="134">
        <f>'ADJ DETAIL INPUT'!E76</f>
        <v>0</v>
      </c>
      <c r="F77" s="134">
        <f>'ADJ DETAIL INPUT'!F76</f>
        <v>0</v>
      </c>
      <c r="G77" s="134">
        <f>'ADJ DETAIL INPUT'!G76</f>
        <v>0</v>
      </c>
      <c r="H77" s="134">
        <f>'ADJ DETAIL INPUT'!H76</f>
        <v>0</v>
      </c>
      <c r="I77" s="134">
        <f>'ADJ DETAIL INPUT'!I76</f>
        <v>0</v>
      </c>
      <c r="J77" s="134">
        <f>'ADJ DETAIL INPUT'!J76</f>
        <v>0</v>
      </c>
      <c r="K77" s="134">
        <f>'ADJ DETAIL INPUT'!K76</f>
        <v>0</v>
      </c>
      <c r="L77" s="134">
        <f>'ADJ DETAIL INPUT'!L76</f>
        <v>0</v>
      </c>
      <c r="M77" s="134">
        <f>'ADJ DETAIL INPUT'!M76</f>
        <v>0</v>
      </c>
      <c r="N77" s="134">
        <f>'ADJ DETAIL INPUT'!N76</f>
        <v>0</v>
      </c>
      <c r="O77" s="134">
        <f>'ADJ DETAIL INPUT'!O76</f>
        <v>0</v>
      </c>
      <c r="P77" s="134">
        <f>'ADJ DETAIL INPUT'!P76</f>
        <v>0</v>
      </c>
      <c r="Q77" s="134">
        <f>'ADJ DETAIL INPUT'!Q76</f>
        <v>0</v>
      </c>
      <c r="R77" s="134">
        <f>'ADJ DETAIL INPUT'!R76</f>
        <v>0</v>
      </c>
      <c r="S77" s="134">
        <f>'ADJ DETAIL INPUT'!S76</f>
        <v>0</v>
      </c>
      <c r="T77" s="134">
        <f>'ADJ DETAIL INPUT'!T76</f>
        <v>0</v>
      </c>
      <c r="U77" s="134">
        <f>'ADJ DETAIL INPUT'!U76</f>
        <v>0</v>
      </c>
      <c r="V77" s="134">
        <f>'ADJ DETAIL INPUT'!V76</f>
        <v>0</v>
      </c>
      <c r="W77" s="134">
        <f>'ADJ DETAIL INPUT'!W76</f>
        <v>0</v>
      </c>
      <c r="X77" s="134">
        <f>'ADJ DETAIL INPUT'!X76</f>
        <v>0</v>
      </c>
      <c r="Y77" s="134">
        <f>'ADJ DETAIL INPUT'!Z76</f>
        <v>0</v>
      </c>
      <c r="Z77" s="134">
        <f>'ADJ DETAIL INPUT'!AA76</f>
        <v>0</v>
      </c>
      <c r="AA77" s="134">
        <f>'ADJ DETAIL INPUT'!AB76</f>
        <v>0</v>
      </c>
      <c r="AB77" s="134">
        <f>'ADJ DETAIL INPUT'!AC76</f>
        <v>0</v>
      </c>
      <c r="AC77" s="134">
        <f>'ADJ DETAIL INPUT'!AD76</f>
        <v>0</v>
      </c>
      <c r="AD77" s="134">
        <f>'ADJ DETAIL INPUT'!AE76</f>
        <v>0</v>
      </c>
      <c r="AE77" s="134">
        <f>'ADJ DETAIL INPUT'!AF76</f>
        <v>0</v>
      </c>
      <c r="AF77" s="134">
        <f>'ADJ DETAIL INPUT'!AG76</f>
        <v>0</v>
      </c>
      <c r="AG77" s="134">
        <f>'ADJ DETAIL INPUT'!AH76</f>
        <v>0</v>
      </c>
      <c r="AH77" s="134">
        <f>'ADJ DETAIL INPUT'!AI76</f>
        <v>0</v>
      </c>
      <c r="AI77" s="134">
        <f>'ADJ DETAIL INPUT'!AJ76</f>
        <v>0</v>
      </c>
      <c r="AJ77" s="134">
        <f>'ADJ DETAIL INPUT'!AK76</f>
        <v>0</v>
      </c>
      <c r="AK77" s="134">
        <f>'ADJ DETAIL INPUT'!AL76</f>
        <v>0</v>
      </c>
      <c r="AL77" s="134">
        <f>'ADJ DETAIL INPUT'!AM76</f>
        <v>0</v>
      </c>
      <c r="AM77" s="134">
        <f>'ADJ DETAIL INPUT'!AN76</f>
        <v>0</v>
      </c>
      <c r="AN77" s="134">
        <f>'ADJ DETAIL INPUT'!AO76</f>
        <v>0</v>
      </c>
      <c r="AO77" s="134">
        <f>'ADJ DETAIL INPUT'!AP76</f>
        <v>0</v>
      </c>
      <c r="AP77" s="134">
        <f>'ADJ DETAIL INPUT'!AQ76</f>
        <v>0</v>
      </c>
      <c r="AQ77" s="134">
        <f>'ADJ DETAIL INPUT'!AR76</f>
        <v>0</v>
      </c>
      <c r="AR77" s="134">
        <f>'ADJ DETAIL INPUT'!AS76</f>
        <v>0</v>
      </c>
      <c r="AS77" s="134">
        <f>'ADJ DETAIL INPUT'!AT76</f>
        <v>0</v>
      </c>
      <c r="AT77" s="134">
        <f>'ADJ DETAIL INPUT'!AU76</f>
        <v>0</v>
      </c>
      <c r="AU77" s="134">
        <f>'ADJ DETAIL INPUT'!AY76</f>
        <v>0</v>
      </c>
      <c r="AV77" s="134">
        <f>'ADJ DETAIL INPUT'!AZ76</f>
        <v>0</v>
      </c>
      <c r="AW77" s="134">
        <f>'ADJ DETAIL INPUT'!BA76</f>
        <v>0</v>
      </c>
      <c r="AX77" s="134">
        <f>'ADJ DETAIL INPUT'!BB76</f>
        <v>0</v>
      </c>
      <c r="AY77" s="134">
        <f>'ADJ DETAIL INPUT'!BC76</f>
        <v>0</v>
      </c>
      <c r="AZ77" s="134">
        <f>'ADJ DETAIL INPUT'!BD76</f>
        <v>0</v>
      </c>
      <c r="BA77" s="134">
        <f>'ADJ DETAIL INPUT'!BE76</f>
        <v>0</v>
      </c>
      <c r="BB77" s="134">
        <f>'ADJ DETAIL INPUT'!BF76</f>
        <v>0</v>
      </c>
      <c r="BC77" s="134">
        <f>'ADJ DETAIL INPUT'!BG76</f>
        <v>0</v>
      </c>
      <c r="BD77" s="134">
        <f>'ADJ DETAIL INPUT'!BH76</f>
        <v>0</v>
      </c>
    </row>
    <row r="78" spans="1:56" s="121" customFormat="1">
      <c r="A78" s="119">
        <v>45</v>
      </c>
      <c r="B78" s="120" t="s">
        <v>377</v>
      </c>
      <c r="C78" s="120"/>
      <c r="D78" s="120"/>
      <c r="E78" s="134">
        <f>'ADJ DETAIL INPUT'!E77</f>
        <v>943</v>
      </c>
      <c r="F78" s="134">
        <f>'ADJ DETAIL INPUT'!F77</f>
        <v>0</v>
      </c>
      <c r="G78" s="134">
        <f>'ADJ DETAIL INPUT'!G77</f>
        <v>0</v>
      </c>
      <c r="H78" s="134">
        <f>'ADJ DETAIL INPUT'!H77</f>
        <v>0</v>
      </c>
      <c r="I78" s="134">
        <f>'ADJ DETAIL INPUT'!I77</f>
        <v>0</v>
      </c>
      <c r="J78" s="134">
        <f>'ADJ DETAIL INPUT'!J77</f>
        <v>0</v>
      </c>
      <c r="K78" s="134">
        <f>'ADJ DETAIL INPUT'!K77</f>
        <v>0</v>
      </c>
      <c r="L78" s="134">
        <f>'ADJ DETAIL INPUT'!L77</f>
        <v>0</v>
      </c>
      <c r="M78" s="134">
        <f>'ADJ DETAIL INPUT'!M77</f>
        <v>0</v>
      </c>
      <c r="N78" s="134">
        <f>'ADJ DETAIL INPUT'!N77</f>
        <v>0</v>
      </c>
      <c r="O78" s="134">
        <f>'ADJ DETAIL INPUT'!O77</f>
        <v>0</v>
      </c>
      <c r="P78" s="134">
        <f>'ADJ DETAIL INPUT'!P77</f>
        <v>0</v>
      </c>
      <c r="Q78" s="134">
        <f>'ADJ DETAIL INPUT'!Q77</f>
        <v>0</v>
      </c>
      <c r="R78" s="134">
        <f>'ADJ DETAIL INPUT'!R77</f>
        <v>0</v>
      </c>
      <c r="S78" s="134">
        <f>'ADJ DETAIL INPUT'!S77</f>
        <v>0</v>
      </c>
      <c r="T78" s="134">
        <f>'ADJ DETAIL INPUT'!T77</f>
        <v>0</v>
      </c>
      <c r="U78" s="134">
        <f>'ADJ DETAIL INPUT'!U77</f>
        <v>0</v>
      </c>
      <c r="V78" s="134">
        <f>'ADJ DETAIL INPUT'!V77</f>
        <v>0</v>
      </c>
      <c r="W78" s="134">
        <f>'ADJ DETAIL INPUT'!W77</f>
        <v>0</v>
      </c>
      <c r="X78" s="134">
        <f>'ADJ DETAIL INPUT'!X77</f>
        <v>0</v>
      </c>
      <c r="Y78" s="134">
        <f>'ADJ DETAIL INPUT'!Z77</f>
        <v>0</v>
      </c>
      <c r="Z78" s="134">
        <f>'ADJ DETAIL INPUT'!AA77</f>
        <v>0</v>
      </c>
      <c r="AA78" s="134">
        <f>'ADJ DETAIL INPUT'!AB77</f>
        <v>0</v>
      </c>
      <c r="AB78" s="134">
        <f>'ADJ DETAIL INPUT'!AC77</f>
        <v>-2141</v>
      </c>
      <c r="AC78" s="134">
        <f>'ADJ DETAIL INPUT'!AD77</f>
        <v>0</v>
      </c>
      <c r="AD78" s="134">
        <f>'ADJ DETAIL INPUT'!AE77</f>
        <v>0</v>
      </c>
      <c r="AE78" s="134">
        <f>'ADJ DETAIL INPUT'!AF77</f>
        <v>0</v>
      </c>
      <c r="AF78" s="134">
        <f>'ADJ DETAIL INPUT'!AG77</f>
        <v>0</v>
      </c>
      <c r="AG78" s="134">
        <f>'ADJ DETAIL INPUT'!AH77</f>
        <v>0</v>
      </c>
      <c r="AH78" s="134">
        <f>'ADJ DETAIL INPUT'!AI77</f>
        <v>0</v>
      </c>
      <c r="AI78" s="134">
        <f>'ADJ DETAIL INPUT'!AJ77</f>
        <v>0</v>
      </c>
      <c r="AJ78" s="134">
        <f>'ADJ DETAIL INPUT'!AK77</f>
        <v>0</v>
      </c>
      <c r="AK78" s="134">
        <f>'ADJ DETAIL INPUT'!AL77</f>
        <v>0</v>
      </c>
      <c r="AL78" s="134">
        <f>'ADJ DETAIL INPUT'!AM77</f>
        <v>0</v>
      </c>
      <c r="AM78" s="134">
        <f>'ADJ DETAIL INPUT'!AN77</f>
        <v>0</v>
      </c>
      <c r="AN78" s="134">
        <f>'ADJ DETAIL INPUT'!AO77</f>
        <v>0</v>
      </c>
      <c r="AO78" s="134">
        <f>'ADJ DETAIL INPUT'!AP77</f>
        <v>0</v>
      </c>
      <c r="AP78" s="134">
        <f>'ADJ DETAIL INPUT'!AQ77</f>
        <v>0</v>
      </c>
      <c r="AQ78" s="134">
        <f>'ADJ DETAIL INPUT'!AR77</f>
        <v>0</v>
      </c>
      <c r="AR78" s="134">
        <f>'ADJ DETAIL INPUT'!AS77</f>
        <v>0</v>
      </c>
      <c r="AS78" s="134">
        <f>'ADJ DETAIL INPUT'!AT77</f>
        <v>0</v>
      </c>
      <c r="AT78" s="134">
        <f>'ADJ DETAIL INPUT'!AU77</f>
        <v>0</v>
      </c>
      <c r="AU78" s="134">
        <f>'ADJ DETAIL INPUT'!AY77</f>
        <v>0</v>
      </c>
      <c r="AV78" s="134">
        <f>'ADJ DETAIL INPUT'!AZ77</f>
        <v>-848</v>
      </c>
      <c r="AW78" s="134">
        <f>'ADJ DETAIL INPUT'!BA77</f>
        <v>0</v>
      </c>
      <c r="AX78" s="134">
        <f>'ADJ DETAIL INPUT'!BB77</f>
        <v>0</v>
      </c>
      <c r="AY78" s="134">
        <f>'ADJ DETAIL INPUT'!BC77</f>
        <v>0</v>
      </c>
      <c r="AZ78" s="134">
        <f>'ADJ DETAIL INPUT'!BD77</f>
        <v>0</v>
      </c>
      <c r="BA78" s="134">
        <f>'ADJ DETAIL INPUT'!BE77</f>
        <v>0</v>
      </c>
      <c r="BB78" s="134">
        <f>'ADJ DETAIL INPUT'!BF77</f>
        <v>0</v>
      </c>
      <c r="BC78" s="134">
        <f>'ADJ DETAIL INPUT'!BG77</f>
        <v>0</v>
      </c>
      <c r="BD78" s="134">
        <f>'ADJ DETAIL INPUT'!BH77</f>
        <v>0</v>
      </c>
    </row>
    <row r="79" spans="1:56">
      <c r="A79" s="116">
        <v>46</v>
      </c>
      <c r="B79" s="118" t="s">
        <v>165</v>
      </c>
      <c r="C79" s="118"/>
      <c r="D79" s="118"/>
      <c r="E79" s="135">
        <f>'ADJ DETAIL INPUT'!E78</f>
        <v>15047</v>
      </c>
      <c r="F79" s="135">
        <f>'ADJ DETAIL INPUT'!F78</f>
        <v>0</v>
      </c>
      <c r="G79" s="135">
        <f>'ADJ DETAIL INPUT'!G78</f>
        <v>0</v>
      </c>
      <c r="H79" s="135">
        <f>'ADJ DETAIL INPUT'!H78</f>
        <v>-648</v>
      </c>
      <c r="I79" s="135">
        <f>'ADJ DETAIL INPUT'!I78</f>
        <v>0</v>
      </c>
      <c r="J79" s="135">
        <f>'ADJ DETAIL INPUT'!J78</f>
        <v>0</v>
      </c>
      <c r="K79" s="135">
        <f>'ADJ DETAIL INPUT'!K78</f>
        <v>0</v>
      </c>
      <c r="L79" s="135">
        <f>'ADJ DETAIL INPUT'!L78</f>
        <v>0</v>
      </c>
      <c r="M79" s="135">
        <f>'ADJ DETAIL INPUT'!M78</f>
        <v>0</v>
      </c>
      <c r="N79" s="135">
        <f>'ADJ DETAIL INPUT'!N78</f>
        <v>0</v>
      </c>
      <c r="O79" s="135">
        <f>'ADJ DETAIL INPUT'!O78</f>
        <v>0</v>
      </c>
      <c r="P79" s="135">
        <f>'ADJ DETAIL INPUT'!P78</f>
        <v>0</v>
      </c>
      <c r="Q79" s="135">
        <f>'ADJ DETAIL INPUT'!Q78</f>
        <v>0</v>
      </c>
      <c r="R79" s="135">
        <f>'ADJ DETAIL INPUT'!R78</f>
        <v>0</v>
      </c>
      <c r="S79" s="135">
        <f>'ADJ DETAIL INPUT'!S78</f>
        <v>0</v>
      </c>
      <c r="T79" s="135">
        <f>'ADJ DETAIL INPUT'!T78</f>
        <v>0</v>
      </c>
      <c r="U79" s="135">
        <f>'ADJ DETAIL INPUT'!U78</f>
        <v>0</v>
      </c>
      <c r="V79" s="135">
        <f>'ADJ DETAIL INPUT'!V78</f>
        <v>0</v>
      </c>
      <c r="W79" s="135">
        <f>'ADJ DETAIL INPUT'!W78</f>
        <v>0</v>
      </c>
      <c r="X79" s="135">
        <f>'ADJ DETAIL INPUT'!X78</f>
        <v>0</v>
      </c>
      <c r="Y79" s="135">
        <f>'ADJ DETAIL INPUT'!Z78</f>
        <v>0</v>
      </c>
      <c r="Z79" s="135">
        <f>'ADJ DETAIL INPUT'!AA78</f>
        <v>0</v>
      </c>
      <c r="AA79" s="135">
        <f>'ADJ DETAIL INPUT'!AB78</f>
        <v>0</v>
      </c>
      <c r="AB79" s="135">
        <f>'ADJ DETAIL INPUT'!AC78</f>
        <v>0</v>
      </c>
      <c r="AC79" s="135">
        <f>'ADJ DETAIL INPUT'!AD78</f>
        <v>0</v>
      </c>
      <c r="AD79" s="135">
        <f>'ADJ DETAIL INPUT'!AE78</f>
        <v>0</v>
      </c>
      <c r="AE79" s="135">
        <f>'ADJ DETAIL INPUT'!AF78</f>
        <v>0</v>
      </c>
      <c r="AF79" s="135">
        <f>'ADJ DETAIL INPUT'!AG78</f>
        <v>0</v>
      </c>
      <c r="AG79" s="135">
        <f>'ADJ DETAIL INPUT'!AH78</f>
        <v>0</v>
      </c>
      <c r="AH79" s="135">
        <f>'ADJ DETAIL INPUT'!AI78</f>
        <v>0</v>
      </c>
      <c r="AI79" s="135">
        <f>'ADJ DETAIL INPUT'!AJ78</f>
        <v>0</v>
      </c>
      <c r="AJ79" s="135">
        <f>'ADJ DETAIL INPUT'!AK78</f>
        <v>0</v>
      </c>
      <c r="AK79" s="135">
        <f>'ADJ DETAIL INPUT'!AL78</f>
        <v>0</v>
      </c>
      <c r="AL79" s="135">
        <f>'ADJ DETAIL INPUT'!AM78</f>
        <v>0</v>
      </c>
      <c r="AM79" s="135">
        <f>'ADJ DETAIL INPUT'!AN78</f>
        <v>0</v>
      </c>
      <c r="AN79" s="135">
        <f>'ADJ DETAIL INPUT'!AO78</f>
        <v>0</v>
      </c>
      <c r="AO79" s="135">
        <f>'ADJ DETAIL INPUT'!AP78</f>
        <v>0</v>
      </c>
      <c r="AP79" s="135">
        <f>'ADJ DETAIL INPUT'!AQ78</f>
        <v>0</v>
      </c>
      <c r="AQ79" s="135">
        <f>'ADJ DETAIL INPUT'!AR78</f>
        <v>0</v>
      </c>
      <c r="AR79" s="135">
        <f>'ADJ DETAIL INPUT'!AS78</f>
        <v>0</v>
      </c>
      <c r="AS79" s="135">
        <f>'ADJ DETAIL INPUT'!AT78</f>
        <v>0</v>
      </c>
      <c r="AT79" s="135">
        <f>'ADJ DETAIL INPUT'!AU78</f>
        <v>0</v>
      </c>
      <c r="AU79" s="135">
        <f>'ADJ DETAIL INPUT'!AY78</f>
        <v>0</v>
      </c>
      <c r="AV79" s="135">
        <f>'ADJ DETAIL INPUT'!AZ78</f>
        <v>0</v>
      </c>
      <c r="AW79" s="135">
        <f>'ADJ DETAIL INPUT'!BA78</f>
        <v>0</v>
      </c>
      <c r="AX79" s="135">
        <f>'ADJ DETAIL INPUT'!BB78</f>
        <v>0</v>
      </c>
      <c r="AY79" s="135">
        <f>'ADJ DETAIL INPUT'!BC78</f>
        <v>0</v>
      </c>
      <c r="AZ79" s="135">
        <f>'ADJ DETAIL INPUT'!BD78</f>
        <v>0</v>
      </c>
      <c r="BA79" s="135">
        <f>'ADJ DETAIL INPUT'!BE78</f>
        <v>0</v>
      </c>
      <c r="BB79" s="135">
        <f>'ADJ DETAIL INPUT'!BF78</f>
        <v>0</v>
      </c>
      <c r="BC79" s="135">
        <f>'ADJ DETAIL INPUT'!BG78</f>
        <v>0</v>
      </c>
      <c r="BD79" s="135">
        <f>'ADJ DETAIL INPUT'!BH78</f>
        <v>0</v>
      </c>
    </row>
    <row r="81" spans="1:56">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row>
    <row r="82" spans="1:56" s="202" customFormat="1" ht="12.75" thickBot="1">
      <c r="A82" s="98">
        <v>47</v>
      </c>
      <c r="B82" s="202" t="s">
        <v>67</v>
      </c>
      <c r="E82" s="204">
        <f>E75+E76+E77+E79+E78</f>
        <v>533429.39999999991</v>
      </c>
      <c r="F82" s="204">
        <f t="shared" ref="F82:R82" si="99">F75+F76+F77+F79+F78</f>
        <v>-224</v>
      </c>
      <c r="G82" s="204">
        <f t="shared" si="99"/>
        <v>0</v>
      </c>
      <c r="H82" s="204">
        <f t="shared" si="99"/>
        <v>-648</v>
      </c>
      <c r="I82" s="204">
        <f t="shared" si="99"/>
        <v>0</v>
      </c>
      <c r="J82" s="204">
        <f t="shared" si="99"/>
        <v>0</v>
      </c>
      <c r="K82" s="204">
        <f t="shared" si="99"/>
        <v>0</v>
      </c>
      <c r="L82" s="204">
        <f t="shared" si="99"/>
        <v>0</v>
      </c>
      <c r="M82" s="204">
        <f t="shared" si="99"/>
        <v>0</v>
      </c>
      <c r="N82" s="204">
        <f t="shared" si="99"/>
        <v>0</v>
      </c>
      <c r="O82" s="204">
        <f t="shared" si="99"/>
        <v>0</v>
      </c>
      <c r="P82" s="204">
        <f t="shared" si="99"/>
        <v>0</v>
      </c>
      <c r="Q82" s="204">
        <f t="shared" si="99"/>
        <v>0</v>
      </c>
      <c r="R82" s="204">
        <f t="shared" si="99"/>
        <v>0</v>
      </c>
      <c r="S82" s="204">
        <f t="shared" ref="S82:T82" si="100">S75+S76+S77+S79+S78</f>
        <v>0</v>
      </c>
      <c r="T82" s="204">
        <f t="shared" si="100"/>
        <v>0</v>
      </c>
      <c r="U82" s="204">
        <f t="shared" ref="U82" si="101">U75+U76+U77+U79+U78</f>
        <v>0</v>
      </c>
      <c r="V82" s="204">
        <f>V75+V76+V77+V79+V78</f>
        <v>0</v>
      </c>
      <c r="W82" s="204">
        <f>W75+W76+W77+W79+W78</f>
        <v>12408</v>
      </c>
      <c r="X82" s="204">
        <f>X75+X76+X77+X79+X78</f>
        <v>0</v>
      </c>
      <c r="Y82" s="204">
        <f>Y75+Y76+Y77+Y79+Y78</f>
        <v>0</v>
      </c>
      <c r="Z82" s="204">
        <f t="shared" ref="Z82:BD82" si="102">Z75+Z76+Z77+Z79+Z78</f>
        <v>0</v>
      </c>
      <c r="AA82" s="204">
        <f t="shared" si="102"/>
        <v>0</v>
      </c>
      <c r="AB82" s="204">
        <f t="shared" si="102"/>
        <v>-2141</v>
      </c>
      <c r="AC82" s="204">
        <f t="shared" si="102"/>
        <v>0</v>
      </c>
      <c r="AD82" s="204">
        <f t="shared" si="102"/>
        <v>0</v>
      </c>
      <c r="AE82" s="204">
        <f t="shared" si="102"/>
        <v>0</v>
      </c>
      <c r="AF82" s="204">
        <f t="shared" ref="AF82" si="103">AF75+AF76+AF77+AF79+AF78</f>
        <v>0</v>
      </c>
      <c r="AG82" s="204">
        <f t="shared" si="102"/>
        <v>0</v>
      </c>
      <c r="AH82" s="204">
        <f t="shared" si="102"/>
        <v>0</v>
      </c>
      <c r="AI82" s="204">
        <f t="shared" si="102"/>
        <v>0</v>
      </c>
      <c r="AJ82" s="204">
        <f t="shared" si="102"/>
        <v>0</v>
      </c>
      <c r="AK82" s="204">
        <f t="shared" si="102"/>
        <v>0</v>
      </c>
      <c r="AL82" s="204">
        <f t="shared" si="102"/>
        <v>0</v>
      </c>
      <c r="AM82" s="204">
        <f t="shared" si="102"/>
        <v>19487.900000000001</v>
      </c>
      <c r="AN82" s="204">
        <f t="shared" ref="AN82:AO82" si="104">AN75+AN76+AN77+AN79+AN78</f>
        <v>0</v>
      </c>
      <c r="AO82" s="204">
        <f t="shared" si="104"/>
        <v>20568</v>
      </c>
      <c r="AP82" s="204">
        <f t="shared" ref="AP82" si="105">AP75+AP76+AP77+AP79+AP78</f>
        <v>0</v>
      </c>
      <c r="AQ82" s="204">
        <f t="shared" si="102"/>
        <v>0</v>
      </c>
      <c r="AR82" s="204">
        <f t="shared" si="102"/>
        <v>0</v>
      </c>
      <c r="AS82" s="204">
        <f t="shared" si="102"/>
        <v>3203.9000000000015</v>
      </c>
      <c r="AT82" s="204">
        <f t="shared" si="102"/>
        <v>0</v>
      </c>
      <c r="AU82" s="204">
        <f t="shared" ref="AU82" si="106">AU75+AU76+AU77+AU79+AU78</f>
        <v>0</v>
      </c>
      <c r="AV82" s="204">
        <f t="shared" si="102"/>
        <v>-848</v>
      </c>
      <c r="AW82" s="204">
        <f t="shared" si="102"/>
        <v>0</v>
      </c>
      <c r="AX82" s="204">
        <f t="shared" si="102"/>
        <v>0</v>
      </c>
      <c r="AY82" s="204">
        <f t="shared" si="102"/>
        <v>0</v>
      </c>
      <c r="AZ82" s="204">
        <f t="shared" si="102"/>
        <v>0</v>
      </c>
      <c r="BA82" s="204">
        <f t="shared" si="102"/>
        <v>0</v>
      </c>
      <c r="BB82" s="204">
        <f t="shared" si="102"/>
        <v>17088.900000000001</v>
      </c>
      <c r="BC82" s="204">
        <f t="shared" si="102"/>
        <v>0</v>
      </c>
      <c r="BD82" s="204">
        <f t="shared" si="102"/>
        <v>0</v>
      </c>
    </row>
    <row r="83" spans="1:56" ht="18" customHeight="1" thickTop="1">
      <c r="E83" s="170"/>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row>
    <row r="84" spans="1:56">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row>
    <row r="85" spans="1:56">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row>
    <row r="86" spans="1:56" s="123" customFormat="1">
      <c r="A86" s="122"/>
      <c r="D86" s="124"/>
      <c r="E86" s="210"/>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row>
    <row r="87" spans="1:56" s="123" customFormat="1">
      <c r="A87" s="126"/>
      <c r="D87" s="124"/>
      <c r="E87" s="209"/>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row>
    <row r="88" spans="1:56" s="123" customFormat="1">
      <c r="A88" s="126"/>
      <c r="D88" s="124"/>
      <c r="E88" s="139"/>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row>
    <row r="89" spans="1:56" s="123" customFormat="1">
      <c r="A89" s="126"/>
      <c r="D89" s="124"/>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row>
    <row r="90" spans="1:56" s="123" customFormat="1">
      <c r="A90" s="126"/>
      <c r="D90" s="124"/>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row>
    <row r="91" spans="1:56" s="123" customFormat="1">
      <c r="A91" s="126"/>
      <c r="D91" s="124"/>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row>
    <row r="92" spans="1:56" s="123" customFormat="1">
      <c r="A92" s="122"/>
      <c r="D92" s="124"/>
      <c r="E92" s="125"/>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row>
    <row r="93" spans="1:56" s="123" customFormat="1">
      <c r="A93" s="126"/>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row>
    <row r="94" spans="1:56" s="123" customFormat="1">
      <c r="A94" s="126"/>
      <c r="D94" s="124"/>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row>
    <row r="95" spans="1:56" s="123" customFormat="1">
      <c r="A95" s="126"/>
      <c r="D95" s="124"/>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row>
    <row r="96" spans="1:56" s="123" customFormat="1">
      <c r="A96" s="126"/>
      <c r="D96" s="127"/>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row>
    <row r="97" spans="1:56" s="123" customFormat="1">
      <c r="A97" s="126"/>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row>
    <row r="98" spans="1:56" s="123" customFormat="1">
      <c r="A98" s="126"/>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row>
  </sheetData>
  <pageMargins left="0.75" right="0.5" top="0.72" bottom="0.84" header="0.5" footer="0.5"/>
  <pageSetup scale="68" firstPageNumber="4" fitToWidth="2" orientation="portrait" r:id="rId1"/>
  <headerFooter scaleWithDoc="0" alignWithMargins="0"/>
  <colBreaks count="51" manualBreakCount="5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in="1" max="81" man="1"/>
    <brk id="32" min="1" max="81" man="1"/>
    <brk id="33" min="1" max="81" man="1"/>
    <brk id="34" min="1" max="81" man="1"/>
    <brk id="35" min="1" max="81" man="1"/>
    <brk id="36" min="1" max="81" man="1"/>
    <brk id="37" min="1" max="81" man="1"/>
    <brk id="38" min="1" max="81" man="1"/>
    <brk id="39" min="1" max="81" man="1"/>
    <brk id="40" min="1" max="81" man="1"/>
    <brk id="41" min="1" max="81" man="1"/>
    <brk id="42" min="1" max="81" man="1"/>
    <brk id="43" min="1" max="81" man="1"/>
    <brk id="44" min="1" max="81" man="1"/>
    <brk id="45" min="1" max="81" man="1"/>
    <brk id="46" max="1048575" man="1"/>
    <brk id="47" min="1" max="81" man="1"/>
    <brk id="48" min="1" max="81" man="1"/>
    <brk id="49" min="1" max="81" man="1"/>
    <brk id="50" min="1" max="81" man="1"/>
    <brk id="51" min="1" max="81" man="1"/>
    <brk id="52" min="1" max="81" man="1"/>
    <brk id="53" min="1" max="81" man="1"/>
    <brk id="54" min="1" max="81" man="1"/>
    <brk id="55" min="1" max="8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6" ma:contentTypeDescription="" ma:contentTypeScope="" ma:versionID="8100f7f65307b259ded9b12aaf0d47a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2024-01-25T08:00:00+00:00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DFC1039E-2EAB-4EFE-B587-2EBB7ADD99D5}"/>
</file>

<file path=customXml/itemProps2.xml><?xml version="1.0" encoding="utf-8"?>
<ds:datastoreItem xmlns:ds="http://schemas.openxmlformats.org/officeDocument/2006/customXml" ds:itemID="{EBB08126-29CC-4A95-A9CA-E6B1EA16C374}"/>
</file>

<file path=customXml/itemProps3.xml><?xml version="1.0" encoding="utf-8"?>
<ds:datastoreItem xmlns:ds="http://schemas.openxmlformats.org/officeDocument/2006/customXml" ds:itemID="{D707E977-B7EF-49DA-A655-F0701CC36EC9}"/>
</file>

<file path=customXml/itemProps4.xml><?xml version="1.0" encoding="utf-8"?>
<ds:datastoreItem xmlns:ds="http://schemas.openxmlformats.org/officeDocument/2006/customXml" ds:itemID="{47C8A403-31F9-4615-8830-DB91FCB4D5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16</vt:i4>
      </vt:variant>
    </vt:vector>
  </HeadingPairs>
  <TitlesOfParts>
    <vt:vector size="61" baseType="lpstr">
      <vt:lpstr>PROPOSED RATES-12.2024</vt:lpstr>
      <vt:lpstr>PROPOSED RATES-12.2025</vt:lpstr>
      <vt:lpstr>RR SUMMARY</vt:lpstr>
      <vt:lpstr>CF</vt:lpstr>
      <vt:lpstr>ADJ DETAIL INPUT</vt:lpstr>
      <vt:lpstr>ADJ SUMMARY</vt:lpstr>
      <vt:lpstr>CF WA Gas</vt:lpstr>
      <vt:lpstr>ROO INPUT 1.00</vt:lpstr>
      <vt:lpstr>G-1.01 DFIT</vt:lpstr>
      <vt:lpstr>G-1.02 Def DR-CR</vt:lpstr>
      <vt:lpstr>G-1.03 WC</vt:lpstr>
      <vt:lpstr>G-2.01 Elim B&amp;O</vt:lpstr>
      <vt:lpstr>G-2.02,3.11,5.04 Prop Tax</vt:lpstr>
      <vt:lpstr>G-2.03 Uncoll</vt:lpstr>
      <vt:lpstr>G-2.04 Reg Exp</vt:lpstr>
      <vt:lpstr>G-2.05 I&amp;D</vt:lpstr>
      <vt:lpstr>G-2.06 FIT</vt:lpstr>
      <vt:lpstr>G-2.07 OSC</vt:lpstr>
      <vt:lpstr>G-2.08 RET</vt:lpstr>
      <vt:lpstr>G-2.09 NGL</vt:lpstr>
      <vt:lpstr>G-2.10 WN</vt:lpstr>
      <vt:lpstr>G-2.11 EAS</vt:lpstr>
      <vt:lpstr>G-2.12 Misc</vt:lpstr>
      <vt:lpstr>G-2.13 Incentives</vt:lpstr>
      <vt:lpstr>DEBT CALC 2.14</vt:lpstr>
      <vt:lpstr>G-2.15,3.15-3.17,4.01,5.07 CAP</vt:lpstr>
      <vt:lpstr>G-3.01 PF Rev Norm</vt:lpstr>
      <vt:lpstr>G-3.02 PF Def DR&amp;CR</vt:lpstr>
      <vt:lpstr>G-3.03 PF EDIT</vt:lpstr>
      <vt:lpstr>G-3.04,5.01 PF AMI</vt:lpstr>
      <vt:lpstr>G-3.05,5.02 PF NE Labor</vt:lpstr>
      <vt:lpstr>G-3.06 PF Exec Labor</vt:lpstr>
      <vt:lpstr>G-3.07,5.03 Benefits</vt:lpstr>
      <vt:lpstr>G-3.08 PF Incentives</vt:lpstr>
      <vt:lpstr>G-3.09 PF LIRAP</vt:lpstr>
      <vt:lpstr>G-3.10 PF CCA</vt:lpstr>
      <vt:lpstr>G-3.12 PF Ins</vt:lpstr>
      <vt:lpstr>G-3.13 PF IS-IT</vt:lpstr>
      <vt:lpstr>G-3.14,5.06 PF Misc O&amp;M</vt:lpstr>
      <vt:lpstr>G-3.18 New Reg Amort</vt:lpstr>
      <vt:lpstr>G-3.19,5.05 PF Nuc-ETRM</vt:lpstr>
      <vt:lpstr>G-3.20 PF BOD</vt:lpstr>
      <vt:lpstr>G-4.02,5.08 PV Offsets</vt:lpstr>
      <vt:lpstr>Recap Summary</vt:lpstr>
      <vt:lpstr>LEAD SHEETS-DO NOT ENTER</vt:lpstr>
      <vt:lpstr>'G-2.06 FIT'!factors</vt:lpstr>
      <vt:lpstr>'ADJ DETAIL INPUT'!Print_Area</vt:lpstr>
      <vt:lpstr>'ADJ SUMMARY'!Print_Area</vt:lpstr>
      <vt:lpstr>CF!Print_Area</vt:lpstr>
      <vt:lpstr>'DEBT CALC 2.14'!Print_Area</vt:lpstr>
      <vt:lpstr>'LEAD SHEETS-DO NOT ENTER'!Print_Area</vt:lpstr>
      <vt:lpstr>'PROPOSED RATES-12.2024'!Print_Area</vt:lpstr>
      <vt:lpstr>'PROPOSED RATES-12.2025'!Print_Area</vt:lpstr>
      <vt:lpstr>'Recap Summary'!Print_Area</vt:lpstr>
      <vt:lpstr>'ROO INPUT 1.00'!Print_Area</vt:lpstr>
      <vt:lpstr>'RR SUMMARY'!Print_Area</vt:lpstr>
      <vt:lpstr>'Recap Summary'!Print_for_CBReport</vt:lpstr>
      <vt:lpstr>'Recap Summary'!Print_for_Checking</vt:lpstr>
      <vt:lpstr>'ADJ DETAIL INPUT'!Print_Titles</vt:lpstr>
      <vt:lpstr>'LEAD SHEETS-DO NOT ENTER'!Print_Titles</vt:lpstr>
      <vt:lpstr>'DEBT CALC 2.14'!WA_Elec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Andrews, Liz</cp:lastModifiedBy>
  <cp:lastPrinted>2024-01-04T17:48:09Z</cp:lastPrinted>
  <dcterms:created xsi:type="dcterms:W3CDTF">1997-05-15T21:41:44Z</dcterms:created>
  <dcterms:modified xsi:type="dcterms:W3CDTF">2024-01-25T21:03:40Z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