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1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6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5E3F6B28-BA97-408E-A3F8-E6849600CB96}" xr6:coauthVersionLast="36" xr6:coauthVersionMax="36" xr10:uidLastSave="{00000000-0000-0000-0000-000000000000}"/>
  <bookViews>
    <workbookView xWindow="0" yWindow="0" windowWidth="51600" windowHeight="17025" tabRatio="896" firstSheet="14" activeTab="31" xr2:uid="{00000000-000D-0000-FFFF-FFFF00000000}"/>
  </bookViews>
  <sheets>
    <sheet name="KTW-2 - Rev Req" sheetId="1" r:id="rId1"/>
    <sheet name="KTW-3 p1 - Test Year Results" sheetId="3" r:id="rId2"/>
    <sheet name="KTW-3 p2 &amp; p3 - O&amp;M" sheetId="4" r:id="rId3"/>
    <sheet name="KTW-3 p4 - Factors" sheetId="5" r:id="rId4"/>
    <sheet name="KTW-3 p5 - Taxes" sheetId="6" r:id="rId5"/>
    <sheet name="KTW-3 p6 &amp; p7 - Rate Base" sheetId="7" r:id="rId6"/>
    <sheet name="KTW-3 p8 - Cost of Cap" sheetId="8" r:id="rId7"/>
    <sheet name="KTW-4,5,8 p1 - Adjust Issues" sheetId="10" r:id="rId8"/>
    <sheet name="KTW-4,5,8 p2 - Adjust Tax" sheetId="11" r:id="rId9"/>
    <sheet name="KTW-4 p3 - Revenue &amp; Gas Cost" sheetId="12" r:id="rId10"/>
    <sheet name="KTW-4 p4 - Misc Rev Adjs" sheetId="13" r:id="rId11"/>
    <sheet name="KTW-4 p5 - Bonuses" sheetId="14" r:id="rId12"/>
    <sheet name="KTW-4 p6 - Property Taxes" sheetId="15" r:id="rId13"/>
    <sheet name="KTW-4 p7 - Uncollectible" sheetId="16" r:id="rId14"/>
    <sheet name="KTW-4 p8 - Working Cap" sheetId="17" r:id="rId15"/>
    <sheet name="KTW-4 p9 - Marketing" sheetId="18" r:id="rId16"/>
    <sheet name="KTW-4 p10 - Claims" sheetId="19" r:id="rId17"/>
    <sheet name="KTW-4 p11 - Rate Case Exp" sheetId="20" r:id="rId18"/>
    <sheet name="KTW-4 p12 - Clearing" sheetId="21" r:id="rId19"/>
    <sheet name="KTW-4 p13 - Holdco" sheetId="28" r:id="rId20"/>
    <sheet name="KTW-4 Save for Future" sheetId="30" state="hidden" r:id="rId21"/>
    <sheet name="KTW-5 p3 - Payroll 1" sheetId="23" r:id="rId22"/>
    <sheet name="KTW-5 p4 - Payroll 2" sheetId="24" r:id="rId23"/>
    <sheet name="KTW-5 p5 - Pay Overheads" sheetId="25" r:id="rId24"/>
    <sheet name="KTW-5 p6 - 250 Taylor" sheetId="26" r:id="rId25"/>
    <sheet name="KTW-5 p7,KTW-8 p3 - Post TY Adj" sheetId="27" r:id="rId26"/>
    <sheet name="KTW-5 p8 - EDIT RB Adj." sheetId="29" r:id="rId27"/>
    <sheet name="KTW-5 p9 - EOP Deprec Exp" sheetId="22" r:id="rId28"/>
    <sheet name="KTW-5 p10 - EOP Rate Base" sheetId="33" r:id="rId29"/>
    <sheet name="KTW-7,9 p1 - Rev Req" sheetId="9" r:id="rId30"/>
    <sheet name="WP - Deferred Tax" sheetId="31" r:id="rId31"/>
    <sheet name="WP - Other Rev &amp; Tax" sheetId="32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MailEndCompose" localSheetId="11">'KTW-4 p5 - Bonuses'!#REF!</definedName>
    <definedName name="_PG3">#N/A</definedName>
    <definedName name="calcsheet1">#N/A</definedName>
    <definedName name="calcsheet2">#N/A</definedName>
    <definedName name="calcsheet3">#N/A</definedName>
    <definedName name="casepg1">#N/A</definedName>
    <definedName name="I">"a1..m50"</definedName>
    <definedName name="NORMALIZE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0">'KTW-2 - Rev Req'!$A$1:$G$40</definedName>
    <definedName name="_xlnm.Print_Area" localSheetId="1">'KTW-3 p1 - Test Year Results'!$A$1:$E$41</definedName>
    <definedName name="_xlnm.Print_Area" localSheetId="2">'KTW-3 p2 &amp; p3 - O&amp;M'!$A$1:$G$53,'KTW-3 p2 &amp; p3 - O&amp;M'!$A$55:$G$111</definedName>
    <definedName name="_xlnm.Print_Area" localSheetId="4">'KTW-3 p5 - Taxes'!$A$1:$C$27</definedName>
    <definedName name="_xlnm.Print_Area" localSheetId="5">'KTW-3 p6 &amp; p7 - Rate Base'!$A$1:$Q$89</definedName>
    <definedName name="_xlnm.Print_Area" localSheetId="6">'KTW-3 p8 - Cost of Cap'!$A$1:$E$44</definedName>
    <definedName name="_xlnm.Print_Area" localSheetId="16">'KTW-4 p10 - Claims'!$A$1:$E$32</definedName>
    <definedName name="_xlnm.Print_Area" localSheetId="17">'KTW-4 p11 - Rate Case Exp'!$A$1:$C$20</definedName>
    <definedName name="_xlnm.Print_Area" localSheetId="18">'KTW-4 p12 - Clearing'!$A$1:$D$12</definedName>
    <definedName name="_xlnm.Print_Area" localSheetId="9">'KTW-4 p3 - Revenue &amp; Gas Cost'!$A$1:$K$37</definedName>
    <definedName name="_xlnm.Print_Area" localSheetId="10">'KTW-4 p4 - Misc Rev Adjs'!$A$1:$E$38</definedName>
    <definedName name="_xlnm.Print_Area" localSheetId="11">'KTW-4 p5 - Bonuses'!$A$1:$H$33</definedName>
    <definedName name="_xlnm.Print_Area" localSheetId="13">'KTW-4 p7 - Uncollectible'!$A$1:$F$48</definedName>
    <definedName name="_xlnm.Print_Area" localSheetId="14">'KTW-4 p8 - Working Cap'!#REF!</definedName>
    <definedName name="_xlnm.Print_Area" localSheetId="7">'KTW-4,5,8 p1 - Adjust Issues'!$A$1:$O$51</definedName>
    <definedName name="_xlnm.Print_Area" localSheetId="8">'KTW-4,5,8 p2 - Adjust Tax'!$A$1:$Z$28</definedName>
    <definedName name="_xlnm.Print_Area" localSheetId="21">'KTW-5 p3 - Payroll 1'!$A$1:$F$43</definedName>
    <definedName name="_xlnm.Print_Area" localSheetId="22">'KTW-5 p4 - Payroll 2'!$A$1:$E$38</definedName>
    <definedName name="_xlnm.Print_Area" localSheetId="23">'KTW-5 p5 - Pay Overheads'!$A$1:$E$43</definedName>
    <definedName name="_xlnm.Print_Area" localSheetId="24">'KTW-5 p6 - 250 Taylor'!$A$1:$C$13</definedName>
    <definedName name="_xlnm.Print_Area" localSheetId="27">'KTW-5 p9 - EOP Deprec Exp'!$A$1:$C$15</definedName>
    <definedName name="_xlnm.Print_Area" localSheetId="30">'WP - Deferred Tax'!#REF!</definedName>
    <definedName name="_xlnm.Print_Area" localSheetId="31">'WP - Other Rev &amp; Tax'!$A$1:$H$50</definedName>
    <definedName name="_xlnm.Print_Titles" localSheetId="2">'KTW-3 p2 &amp; p3 - O&amp;M'!$1:$5</definedName>
    <definedName name="_xlnm.Print_Titles" localSheetId="5">'KTW-3 p6 &amp; p7 - Rate Base'!$1:$6</definedName>
    <definedName name="_xlnm.Print_Titles" localSheetId="7">'KTW-4,5,8 p1 - Adjust Issues'!$A:$B</definedName>
    <definedName name="_xlnm.Print_Titles" localSheetId="8">'KTW-4,5,8 p2 - Adjust Tax'!$A:$B</definedName>
    <definedName name="print55">#REF!</definedName>
    <definedName name="ror_1">#N/A</definedName>
    <definedName name="ror_2">#N/A</definedName>
    <definedName name="sue">#N/A</definedName>
    <definedName name="WS3A2">#N/A</definedName>
    <definedName name="Z_6ED201AA_AB2E_4FE7_B06B_B07932512C4D_.wvu.PrintArea" localSheetId="0" hidden="1">'KTW-2 - Rev Req'!$A$1:$G$40</definedName>
    <definedName name="Z_6ED201AA_AB2E_4FE7_B06B_B07932512C4D_.wvu.PrintArea" localSheetId="1" hidden="1">'KTW-3 p1 - Test Year Results'!$A$1:$E$41</definedName>
    <definedName name="Z_6ED201AA_AB2E_4FE7_B06B_B07932512C4D_.wvu.PrintArea" localSheetId="2" hidden="1">'KTW-3 p2 &amp; p3 - O&amp;M'!$A$1:$G$112</definedName>
    <definedName name="Z_6ED201AA_AB2E_4FE7_B06B_B07932512C4D_.wvu.PrintArea" localSheetId="3" hidden="1">'KTW-3 p4 - Factors'!$A$6:$D$27</definedName>
    <definedName name="Z_6ED201AA_AB2E_4FE7_B06B_B07932512C4D_.wvu.PrintArea" localSheetId="4" hidden="1">'KTW-3 p5 - Taxes'!$A$1:$C$27</definedName>
    <definedName name="Z_6ED201AA_AB2E_4FE7_B06B_B07932512C4D_.wvu.PrintArea" localSheetId="5" hidden="1">'KTW-3 p6 &amp; p7 - Rate Base'!$A$1:$Q$89</definedName>
    <definedName name="Z_6ED201AA_AB2E_4FE7_B06B_B07932512C4D_.wvu.PrintArea" localSheetId="6" hidden="1">'KTW-3 p8 - Cost of Cap'!$A$1:$E$44</definedName>
    <definedName name="Z_6ED201AA_AB2E_4FE7_B06B_B07932512C4D_.wvu.PrintArea" localSheetId="16" hidden="1">'KTW-4 p10 - Claims'!$A$1:$E$32</definedName>
    <definedName name="Z_6ED201AA_AB2E_4FE7_B06B_B07932512C4D_.wvu.PrintArea" localSheetId="17" hidden="1">'KTW-4 p11 - Rate Case Exp'!$A$1:$C$20</definedName>
    <definedName name="Z_6ED201AA_AB2E_4FE7_B06B_B07932512C4D_.wvu.PrintArea" localSheetId="18" hidden="1">'KTW-4 p12 - Clearing'!$A$1:$D$12</definedName>
    <definedName name="Z_6ED201AA_AB2E_4FE7_B06B_B07932512C4D_.wvu.PrintArea" localSheetId="9" hidden="1">'KTW-4 p3 - Revenue &amp; Gas Cost'!$A$1:$K$37</definedName>
    <definedName name="Z_6ED201AA_AB2E_4FE7_B06B_B07932512C4D_.wvu.PrintArea" localSheetId="10" hidden="1">'KTW-4 p4 - Misc Rev Adjs'!$A$1:$E$38</definedName>
    <definedName name="Z_6ED201AA_AB2E_4FE7_B06B_B07932512C4D_.wvu.PrintArea" localSheetId="11" hidden="1">'KTW-4 p5 - Bonuses'!$A$1:$H$33</definedName>
    <definedName name="Z_6ED201AA_AB2E_4FE7_B06B_B07932512C4D_.wvu.PrintArea" localSheetId="13" hidden="1">'KTW-4 p7 - Uncollectible'!$A$1:$F$48</definedName>
    <definedName name="Z_6ED201AA_AB2E_4FE7_B06B_B07932512C4D_.wvu.PrintArea" localSheetId="7" hidden="1">'KTW-4,5,8 p1 - Adjust Issues'!$A$1:$Z$49</definedName>
    <definedName name="Z_6ED201AA_AB2E_4FE7_B06B_B07932512C4D_.wvu.PrintArea" localSheetId="8" hidden="1">'KTW-4,5,8 p2 - Adjust Tax'!$A$1:$Z$28</definedName>
    <definedName name="Z_6ED201AA_AB2E_4FE7_B06B_B07932512C4D_.wvu.PrintArea" localSheetId="21" hidden="1">'KTW-5 p3 - Payroll 1'!$A$1:$F$43</definedName>
    <definedName name="Z_6ED201AA_AB2E_4FE7_B06B_B07932512C4D_.wvu.PrintArea" localSheetId="22" hidden="1">'KTW-5 p4 - Payroll 2'!$A$1:$E$38</definedName>
    <definedName name="Z_6ED201AA_AB2E_4FE7_B06B_B07932512C4D_.wvu.PrintArea" localSheetId="23" hidden="1">'KTW-5 p5 - Pay Overheads'!$A$1:$E$43</definedName>
    <definedName name="Z_6ED201AA_AB2E_4FE7_B06B_B07932512C4D_.wvu.PrintArea" localSheetId="24" hidden="1">'KTW-5 p6 - 250 Taylor'!$A$1:$C$13</definedName>
    <definedName name="Z_6ED201AA_AB2E_4FE7_B06B_B07932512C4D_.wvu.PrintArea" localSheetId="27" hidden="1">'KTW-5 p9 - EOP Deprec Exp'!$A$1:$C$15</definedName>
    <definedName name="Z_6ED201AA_AB2E_4FE7_B06B_B07932512C4D_.wvu.PrintArea" localSheetId="31" hidden="1">'WP - Other Rev &amp; Tax'!$A$1:$H$50</definedName>
    <definedName name="Z_6ED201AA_AB2E_4FE7_B06B_B07932512C4D_.wvu.PrintTitles" localSheetId="2" hidden="1">'KTW-3 p2 &amp; p3 - O&amp;M'!$1:$5</definedName>
    <definedName name="Z_6ED201AA_AB2E_4FE7_B06B_B07932512C4D_.wvu.PrintTitles" localSheetId="5" hidden="1">'KTW-3 p6 &amp; p7 - Rate Base'!$1:$6</definedName>
    <definedName name="Z_6ED201AA_AB2E_4FE7_B06B_B07932512C4D_.wvu.PrintTitles" localSheetId="7" hidden="1">'KTW-4,5,8 p1 - Adjust Issues'!$A:$B</definedName>
    <definedName name="Z_6ED201AA_AB2E_4FE7_B06B_B07932512C4D_.wvu.PrintTitles" localSheetId="8" hidden="1">'KTW-4,5,8 p2 - Adjust Tax'!$A:$B</definedName>
    <definedName name="Z_A7BD13BF_7E57_44D7_9B02_43E2FA430390_.wvu.PrintArea" localSheetId="0" hidden="1">'KTW-2 - Rev Req'!$A$1:$G$40</definedName>
    <definedName name="Z_A7BD13BF_7E57_44D7_9B02_43E2FA430390_.wvu.PrintArea" localSheetId="1" hidden="1">'KTW-3 p1 - Test Year Results'!$A$1:$E$41</definedName>
    <definedName name="Z_A7BD13BF_7E57_44D7_9B02_43E2FA430390_.wvu.PrintArea" localSheetId="2" hidden="1">'KTW-3 p2 &amp; p3 - O&amp;M'!$A$1:$G$112</definedName>
    <definedName name="Z_A7BD13BF_7E57_44D7_9B02_43E2FA430390_.wvu.PrintArea" localSheetId="4" hidden="1">'KTW-3 p5 - Taxes'!$A$1:$C$27</definedName>
    <definedName name="Z_A7BD13BF_7E57_44D7_9B02_43E2FA430390_.wvu.PrintArea" localSheetId="5" hidden="1">'KTW-3 p6 &amp; p7 - Rate Base'!$A$1:$Q$89</definedName>
    <definedName name="Z_A7BD13BF_7E57_44D7_9B02_43E2FA430390_.wvu.PrintArea" localSheetId="6" hidden="1">'KTW-3 p8 - Cost of Cap'!$A$1:$E$44</definedName>
    <definedName name="Z_A7BD13BF_7E57_44D7_9B02_43E2FA430390_.wvu.PrintArea" localSheetId="16" hidden="1">'KTW-4 p10 - Claims'!$A$1:$E$32</definedName>
    <definedName name="Z_A7BD13BF_7E57_44D7_9B02_43E2FA430390_.wvu.PrintArea" localSheetId="17" hidden="1">'KTW-4 p11 - Rate Case Exp'!$A$1:$C$20</definedName>
    <definedName name="Z_A7BD13BF_7E57_44D7_9B02_43E2FA430390_.wvu.PrintArea" localSheetId="18" hidden="1">'KTW-4 p12 - Clearing'!$A$1:$D$12</definedName>
    <definedName name="Z_A7BD13BF_7E57_44D7_9B02_43E2FA430390_.wvu.PrintArea" localSheetId="9" hidden="1">'KTW-4 p3 - Revenue &amp; Gas Cost'!$A$1:$K$37</definedName>
    <definedName name="Z_A7BD13BF_7E57_44D7_9B02_43E2FA430390_.wvu.PrintArea" localSheetId="10" hidden="1">'KTW-4 p4 - Misc Rev Adjs'!$A$1:$E$38</definedName>
    <definedName name="Z_A7BD13BF_7E57_44D7_9B02_43E2FA430390_.wvu.PrintArea" localSheetId="11" hidden="1">'KTW-4 p5 - Bonuses'!$A$1:$H$33</definedName>
    <definedName name="Z_A7BD13BF_7E57_44D7_9B02_43E2FA430390_.wvu.PrintArea" localSheetId="13" hidden="1">'KTW-4 p7 - Uncollectible'!$A$1:$F$48</definedName>
    <definedName name="Z_A7BD13BF_7E57_44D7_9B02_43E2FA430390_.wvu.PrintArea" localSheetId="7" hidden="1">'KTW-4,5,8 p1 - Adjust Issues'!$A$1:$Z$49</definedName>
    <definedName name="Z_A7BD13BF_7E57_44D7_9B02_43E2FA430390_.wvu.PrintArea" localSheetId="8" hidden="1">'KTW-4,5,8 p2 - Adjust Tax'!$A$1:$Z$28</definedName>
    <definedName name="Z_A7BD13BF_7E57_44D7_9B02_43E2FA430390_.wvu.PrintArea" localSheetId="21" hidden="1">'KTW-5 p3 - Payroll 1'!$A$1:$F$43</definedName>
    <definedName name="Z_A7BD13BF_7E57_44D7_9B02_43E2FA430390_.wvu.PrintArea" localSheetId="22" hidden="1">'KTW-5 p4 - Payroll 2'!$A$1:$E$38</definedName>
    <definedName name="Z_A7BD13BF_7E57_44D7_9B02_43E2FA430390_.wvu.PrintArea" localSheetId="23" hidden="1">'KTW-5 p5 - Pay Overheads'!$A$1:$E$43</definedName>
    <definedName name="Z_A7BD13BF_7E57_44D7_9B02_43E2FA430390_.wvu.PrintArea" localSheetId="24" hidden="1">'KTW-5 p6 - 250 Taylor'!$A$1:$C$13</definedName>
    <definedName name="Z_A7BD13BF_7E57_44D7_9B02_43E2FA430390_.wvu.PrintArea" localSheetId="27" hidden="1">'KTW-5 p9 - EOP Deprec Exp'!$A$1:$C$15</definedName>
    <definedName name="Z_A7BD13BF_7E57_44D7_9B02_43E2FA430390_.wvu.PrintArea" localSheetId="31" hidden="1">'WP - Other Rev &amp; Tax'!$A$1:$H$50</definedName>
    <definedName name="Z_A7BD13BF_7E57_44D7_9B02_43E2FA430390_.wvu.PrintTitles" localSheetId="2" hidden="1">'KTW-3 p2 &amp; p3 - O&amp;M'!$1:$5</definedName>
    <definedName name="Z_A7BD13BF_7E57_44D7_9B02_43E2FA430390_.wvu.PrintTitles" localSheetId="5" hidden="1">'KTW-3 p6 &amp; p7 - Rate Base'!$1:$6</definedName>
    <definedName name="Z_A7BD13BF_7E57_44D7_9B02_43E2FA430390_.wvu.PrintTitles" localSheetId="7" hidden="1">'KTW-4,5,8 p1 - Adjust Issues'!$A:$B</definedName>
    <definedName name="Z_A7BD13BF_7E57_44D7_9B02_43E2FA430390_.wvu.PrintTitles" localSheetId="8" hidden="1">'KTW-4,5,8 p2 - Adjust Tax'!$A:$B</definedName>
    <definedName name="Z_C29552AC_6B79_447F_B962_713ED43BDF1A_.wvu.PrintArea" localSheetId="0" hidden="1">'KTW-2 - Rev Req'!$A$1:$G$40</definedName>
    <definedName name="Z_C29552AC_6B79_447F_B962_713ED43BDF1A_.wvu.PrintArea" localSheetId="1" hidden="1">'KTW-3 p1 - Test Year Results'!$A$1:$E$41</definedName>
    <definedName name="Z_C29552AC_6B79_447F_B962_713ED43BDF1A_.wvu.PrintArea" localSheetId="2" hidden="1">'KTW-3 p2 &amp; p3 - O&amp;M'!$A$1:$G$112</definedName>
    <definedName name="Z_C29552AC_6B79_447F_B962_713ED43BDF1A_.wvu.PrintArea" localSheetId="3" hidden="1">'KTW-3 p4 - Factors'!$A$6:$D$27</definedName>
    <definedName name="Z_C29552AC_6B79_447F_B962_713ED43BDF1A_.wvu.PrintArea" localSheetId="4" hidden="1">'KTW-3 p5 - Taxes'!$A$1:$C$27</definedName>
    <definedName name="Z_C29552AC_6B79_447F_B962_713ED43BDF1A_.wvu.PrintArea" localSheetId="5" hidden="1">'KTW-3 p6 &amp; p7 - Rate Base'!$A$1:$Q$89</definedName>
    <definedName name="Z_C29552AC_6B79_447F_B962_713ED43BDF1A_.wvu.PrintArea" localSheetId="6" hidden="1">'KTW-3 p8 - Cost of Cap'!$A$1:$E$44</definedName>
    <definedName name="Z_C29552AC_6B79_447F_B962_713ED43BDF1A_.wvu.PrintArea" localSheetId="16" hidden="1">'KTW-4 p10 - Claims'!$A$1:$E$32</definedName>
    <definedName name="Z_C29552AC_6B79_447F_B962_713ED43BDF1A_.wvu.PrintArea" localSheetId="17" hidden="1">'KTW-4 p11 - Rate Case Exp'!$A$1:$C$20</definedName>
    <definedName name="Z_C29552AC_6B79_447F_B962_713ED43BDF1A_.wvu.PrintArea" localSheetId="18" hidden="1">'KTW-4 p12 - Clearing'!$A$1:$D$12</definedName>
    <definedName name="Z_C29552AC_6B79_447F_B962_713ED43BDF1A_.wvu.PrintArea" localSheetId="9" hidden="1">'KTW-4 p3 - Revenue &amp; Gas Cost'!$A$1:$K$37</definedName>
    <definedName name="Z_C29552AC_6B79_447F_B962_713ED43BDF1A_.wvu.PrintArea" localSheetId="10" hidden="1">'KTW-4 p4 - Misc Rev Adjs'!$A$1:$E$38</definedName>
    <definedName name="Z_C29552AC_6B79_447F_B962_713ED43BDF1A_.wvu.PrintArea" localSheetId="11" hidden="1">'KTW-4 p5 - Bonuses'!$A$1:$H$33</definedName>
    <definedName name="Z_C29552AC_6B79_447F_B962_713ED43BDF1A_.wvu.PrintArea" localSheetId="13" hidden="1">'KTW-4 p7 - Uncollectible'!$A$1:$F$48</definedName>
    <definedName name="Z_C29552AC_6B79_447F_B962_713ED43BDF1A_.wvu.PrintArea" localSheetId="7" hidden="1">'KTW-4,5,8 p1 - Adjust Issues'!$A$1:$Z$49</definedName>
    <definedName name="Z_C29552AC_6B79_447F_B962_713ED43BDF1A_.wvu.PrintArea" localSheetId="8" hidden="1">'KTW-4,5,8 p2 - Adjust Tax'!$A$1:$Z$28</definedName>
    <definedName name="Z_C29552AC_6B79_447F_B962_713ED43BDF1A_.wvu.PrintArea" localSheetId="21" hidden="1">'KTW-5 p3 - Payroll 1'!$A$1:$F$43</definedName>
    <definedName name="Z_C29552AC_6B79_447F_B962_713ED43BDF1A_.wvu.PrintArea" localSheetId="22" hidden="1">'KTW-5 p4 - Payroll 2'!$A$1:$E$38</definedName>
    <definedName name="Z_C29552AC_6B79_447F_B962_713ED43BDF1A_.wvu.PrintArea" localSheetId="23" hidden="1">'KTW-5 p5 - Pay Overheads'!$A$1:$E$43</definedName>
    <definedName name="Z_C29552AC_6B79_447F_B962_713ED43BDF1A_.wvu.PrintArea" localSheetId="24" hidden="1">'KTW-5 p6 - 250 Taylor'!$A$1:$C$13</definedName>
    <definedName name="Z_C29552AC_6B79_447F_B962_713ED43BDF1A_.wvu.PrintArea" localSheetId="27" hidden="1">'KTW-5 p9 - EOP Deprec Exp'!$A$1:$C$15</definedName>
    <definedName name="Z_C29552AC_6B79_447F_B962_713ED43BDF1A_.wvu.PrintArea" localSheetId="31" hidden="1">'WP - Other Rev &amp; Tax'!$A$1:$H$50</definedName>
    <definedName name="Z_C29552AC_6B79_447F_B962_713ED43BDF1A_.wvu.PrintTitles" localSheetId="2" hidden="1">'KTW-3 p2 &amp; p3 - O&amp;M'!$1:$5</definedName>
    <definedName name="Z_C29552AC_6B79_447F_B962_713ED43BDF1A_.wvu.PrintTitles" localSheetId="5" hidden="1">'KTW-3 p6 &amp; p7 - Rate Base'!$1:$6</definedName>
    <definedName name="Z_C29552AC_6B79_447F_B962_713ED43BDF1A_.wvu.PrintTitles" localSheetId="7" hidden="1">'KTW-4,5,8 p1 - Adjust Issues'!$A:$B</definedName>
    <definedName name="Z_C29552AC_6B79_447F_B962_713ED43BDF1A_.wvu.PrintTitles" localSheetId="8" hidden="1">'KTW-4,5,8 p2 - Adjust Tax'!$A:$B</definedName>
    <definedName name="Z_D711E10B_9441_4991_A2CB_ED400E35790D_.wvu.PrintArea" localSheetId="0" hidden="1">'KTW-2 - Rev Req'!$A$1:$G$40</definedName>
    <definedName name="Z_D711E10B_9441_4991_A2CB_ED400E35790D_.wvu.PrintArea" localSheetId="1" hidden="1">'KTW-3 p1 - Test Year Results'!$A$1:$E$41</definedName>
    <definedName name="Z_D711E10B_9441_4991_A2CB_ED400E35790D_.wvu.PrintArea" localSheetId="2" hidden="1">'KTW-3 p2 &amp; p3 - O&amp;M'!$A$1:$G$112</definedName>
    <definedName name="Z_D711E10B_9441_4991_A2CB_ED400E35790D_.wvu.PrintArea" localSheetId="4" hidden="1">'KTW-3 p5 - Taxes'!$A$1:$C$27</definedName>
    <definedName name="Z_D711E10B_9441_4991_A2CB_ED400E35790D_.wvu.PrintArea" localSheetId="5" hidden="1">'KTW-3 p6 &amp; p7 - Rate Base'!$A$1:$Q$89</definedName>
    <definedName name="Z_D711E10B_9441_4991_A2CB_ED400E35790D_.wvu.PrintArea" localSheetId="6" hidden="1">'KTW-3 p8 - Cost of Cap'!$A$1:$E$44</definedName>
    <definedName name="Z_D711E10B_9441_4991_A2CB_ED400E35790D_.wvu.PrintArea" localSheetId="16" hidden="1">'KTW-4 p10 - Claims'!$A$1:$E$32</definedName>
    <definedName name="Z_D711E10B_9441_4991_A2CB_ED400E35790D_.wvu.PrintArea" localSheetId="17" hidden="1">'KTW-4 p11 - Rate Case Exp'!$A$1:$C$20</definedName>
    <definedName name="Z_D711E10B_9441_4991_A2CB_ED400E35790D_.wvu.PrintArea" localSheetId="18" hidden="1">'KTW-4 p12 - Clearing'!$A$1:$D$12</definedName>
    <definedName name="Z_D711E10B_9441_4991_A2CB_ED400E35790D_.wvu.PrintArea" localSheetId="9" hidden="1">'KTW-4 p3 - Revenue &amp; Gas Cost'!$A$1:$K$37</definedName>
    <definedName name="Z_D711E10B_9441_4991_A2CB_ED400E35790D_.wvu.PrintArea" localSheetId="10" hidden="1">'KTW-4 p4 - Misc Rev Adjs'!$A$1:$E$38</definedName>
    <definedName name="Z_D711E10B_9441_4991_A2CB_ED400E35790D_.wvu.PrintArea" localSheetId="11" hidden="1">'KTW-4 p5 - Bonuses'!$A$1:$H$33</definedName>
    <definedName name="Z_D711E10B_9441_4991_A2CB_ED400E35790D_.wvu.PrintArea" localSheetId="13" hidden="1">'KTW-4 p7 - Uncollectible'!$A$1:$F$48</definedName>
    <definedName name="Z_D711E10B_9441_4991_A2CB_ED400E35790D_.wvu.PrintArea" localSheetId="7" hidden="1">'KTW-4,5,8 p1 - Adjust Issues'!$A$1:$Z$49</definedName>
    <definedName name="Z_D711E10B_9441_4991_A2CB_ED400E35790D_.wvu.PrintArea" localSheetId="8" hidden="1">'KTW-4,5,8 p2 - Adjust Tax'!$A$1:$Z$28</definedName>
    <definedName name="Z_D711E10B_9441_4991_A2CB_ED400E35790D_.wvu.PrintArea" localSheetId="21" hidden="1">'KTW-5 p3 - Payroll 1'!$A$1:$F$43</definedName>
    <definedName name="Z_D711E10B_9441_4991_A2CB_ED400E35790D_.wvu.PrintArea" localSheetId="22" hidden="1">'KTW-5 p4 - Payroll 2'!$A$1:$E$38</definedName>
    <definedName name="Z_D711E10B_9441_4991_A2CB_ED400E35790D_.wvu.PrintArea" localSheetId="23" hidden="1">'KTW-5 p5 - Pay Overheads'!$A$1:$E$43</definedName>
    <definedName name="Z_D711E10B_9441_4991_A2CB_ED400E35790D_.wvu.PrintArea" localSheetId="24" hidden="1">'KTW-5 p6 - 250 Taylor'!$A$1:$C$13</definedName>
    <definedName name="Z_D711E10B_9441_4991_A2CB_ED400E35790D_.wvu.PrintArea" localSheetId="27" hidden="1">'KTW-5 p9 - EOP Deprec Exp'!$A$1:$C$15</definedName>
    <definedName name="Z_D711E10B_9441_4991_A2CB_ED400E35790D_.wvu.PrintArea" localSheetId="31" hidden="1">'WP - Other Rev &amp; Tax'!$A$1:$H$50</definedName>
    <definedName name="Z_D711E10B_9441_4991_A2CB_ED400E35790D_.wvu.PrintTitles" localSheetId="2" hidden="1">'KTW-3 p2 &amp; p3 - O&amp;M'!$1:$5</definedName>
    <definedName name="Z_D711E10B_9441_4991_A2CB_ED400E35790D_.wvu.PrintTitles" localSheetId="5" hidden="1">'KTW-3 p6 &amp; p7 - Rate Base'!$1:$6</definedName>
    <definedName name="Z_D711E10B_9441_4991_A2CB_ED400E35790D_.wvu.PrintTitles" localSheetId="7" hidden="1">'KTW-4,5,8 p1 - Adjust Issues'!$A:$B</definedName>
    <definedName name="Z_D711E10B_9441_4991_A2CB_ED400E35790D_.wvu.PrintTitles" localSheetId="8" hidden="1">'KTW-4,5,8 p2 - Adjust Tax'!$A:$B</definedName>
  </definedNames>
  <calcPr calcId="191029"/>
  <customWorkbookViews>
    <customWorkbookView name="Walker, Kyle T. - Personal View" guid="{A7BD13BF-7E57-44D7-9B02-43E2FA430390}" mergeInterval="0" personalView="1" maximized="1" xWindow="-8" yWindow="-8" windowWidth="1936" windowHeight="1056" tabRatio="896" activeSheetId="1" showComments="commIndAndComment"/>
    <customWorkbookView name="Bourdo, Lora - Personal View" guid="{C29552AC-6B79-447F-B962-713ED43BDF1A}" mergeInterval="0" personalView="1" maximized="1" xWindow="-11" yWindow="-11" windowWidth="1942" windowHeight="1042" tabRatio="896" activeSheetId="13"/>
    <customWorkbookView name="Chao, Susan - Personal View" guid="{6ED201AA-AB2E-4FE7-B06B-B07932512C4D}" mergeInterval="0" personalView="1" maximized="1" xWindow="1672" yWindow="-8" windowWidth="1696" windowHeight="1026" tabRatio="896" activeSheetId="2"/>
    <customWorkbookView name="McVay, Kevin - Personal View" guid="{D711E10B-9441-4991-A2CB-ED400E35790D}" mergeInterval="0" personalView="1" xWindow="494" yWindow="460" windowWidth="1895" windowHeight="1700" tabRatio="896" activeSheetId="23" showComments="commIndAndComment"/>
  </customWorkbookViews>
</workbook>
</file>

<file path=xl/calcChain.xml><?xml version="1.0" encoding="utf-8"?>
<calcChain xmlns="http://schemas.openxmlformats.org/spreadsheetml/2006/main">
  <c r="F48" i="32" l="1"/>
  <c r="E48" i="32"/>
  <c r="F47" i="32"/>
  <c r="E47" i="32"/>
  <c r="F46" i="32"/>
  <c r="E46" i="32"/>
  <c r="F45" i="32"/>
  <c r="E45" i="32"/>
  <c r="F44" i="32"/>
  <c r="E44" i="32"/>
  <c r="G28" i="32"/>
  <c r="E28" i="32"/>
  <c r="G27" i="32"/>
  <c r="G26" i="32"/>
  <c r="G25" i="32"/>
  <c r="E25" i="32"/>
  <c r="G24" i="32"/>
  <c r="E24" i="32"/>
  <c r="G23" i="32"/>
  <c r="E23" i="32"/>
  <c r="G22" i="32"/>
  <c r="E22" i="32"/>
  <c r="O26" i="31"/>
  <c r="N26" i="31"/>
  <c r="M26" i="31"/>
  <c r="L26" i="31"/>
  <c r="K26" i="31"/>
  <c r="J26" i="31"/>
  <c r="I26" i="31"/>
  <c r="H26" i="31"/>
  <c r="G26" i="31"/>
  <c r="F26" i="31"/>
  <c r="E26" i="31"/>
  <c r="D26" i="31"/>
  <c r="C26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C23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C22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O14" i="31"/>
  <c r="N14" i="31"/>
  <c r="M14" i="31"/>
  <c r="L14" i="31"/>
  <c r="K14" i="31"/>
  <c r="J14" i="31"/>
  <c r="I14" i="31"/>
  <c r="H14" i="31"/>
  <c r="G14" i="31"/>
  <c r="F14" i="31"/>
  <c r="E14" i="31"/>
  <c r="D14" i="31"/>
  <c r="C14" i="31"/>
  <c r="C12" i="31"/>
  <c r="C11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O8" i="31"/>
  <c r="N8" i="31"/>
  <c r="M8" i="31"/>
  <c r="L8" i="31"/>
  <c r="K8" i="31"/>
  <c r="J8" i="31"/>
  <c r="I8" i="31"/>
  <c r="H8" i="31"/>
  <c r="G8" i="31"/>
  <c r="F8" i="31"/>
  <c r="E8" i="31"/>
  <c r="D8" i="31"/>
  <c r="C8" i="31"/>
  <c r="F40" i="32"/>
  <c r="E40" i="32"/>
  <c r="F39" i="32"/>
  <c r="E39" i="32"/>
  <c r="F38" i="32"/>
  <c r="E38" i="32"/>
  <c r="F37" i="32"/>
  <c r="E37" i="32"/>
  <c r="F36" i="32"/>
  <c r="E36" i="32"/>
  <c r="F35" i="32"/>
  <c r="E35" i="32"/>
  <c r="F34" i="32"/>
  <c r="E34" i="32"/>
  <c r="F33" i="32"/>
  <c r="E33" i="32"/>
  <c r="F32" i="32"/>
  <c r="E32" i="32"/>
  <c r="C13" i="22"/>
  <c r="C17" i="12"/>
  <c r="E22" i="12"/>
  <c r="E21" i="12"/>
  <c r="E17" i="12"/>
  <c r="E13" i="12"/>
  <c r="E12" i="12"/>
  <c r="E11" i="12"/>
  <c r="E10" i="12"/>
  <c r="C22" i="12"/>
  <c r="C21" i="12"/>
  <c r="C13" i="12"/>
  <c r="C12" i="12"/>
  <c r="C11" i="12"/>
  <c r="C10" i="12"/>
  <c r="C13" i="3"/>
  <c r="C12" i="3"/>
  <c r="C15" i="29"/>
  <c r="C9" i="29"/>
  <c r="E14" i="27"/>
  <c r="C14" i="27"/>
  <c r="E10" i="27"/>
  <c r="C10" i="27"/>
  <c r="J36" i="25"/>
  <c r="J35" i="25"/>
  <c r="C20" i="25"/>
  <c r="J27" i="25"/>
  <c r="I27" i="25"/>
  <c r="J26" i="25"/>
  <c r="I26" i="25"/>
  <c r="J25" i="25"/>
  <c r="I25" i="25"/>
  <c r="J24" i="25"/>
  <c r="I24" i="25"/>
  <c r="K17" i="25"/>
  <c r="J17" i="25"/>
  <c r="K16" i="25"/>
  <c r="J16" i="25"/>
  <c r="K15" i="25"/>
  <c r="J15" i="25"/>
  <c r="K14" i="25"/>
  <c r="J14" i="25"/>
  <c r="K13" i="25"/>
  <c r="J13" i="25"/>
  <c r="K12" i="25"/>
  <c r="J12" i="25"/>
  <c r="K11" i="25"/>
  <c r="J11" i="25"/>
  <c r="K10" i="25"/>
  <c r="J10" i="25"/>
  <c r="K9" i="25"/>
  <c r="J9" i="25"/>
  <c r="K8" i="25"/>
  <c r="J8" i="25"/>
  <c r="K7" i="25"/>
  <c r="J7" i="25"/>
  <c r="K6" i="25"/>
  <c r="J6" i="25"/>
  <c r="E33" i="24"/>
  <c r="D33" i="24"/>
  <c r="C33" i="24"/>
  <c r="E32" i="24"/>
  <c r="D32" i="24"/>
  <c r="C32" i="24"/>
  <c r="E31" i="24"/>
  <c r="D31" i="24"/>
  <c r="C31" i="24"/>
  <c r="E30" i="24"/>
  <c r="D30" i="24"/>
  <c r="C30" i="24"/>
  <c r="E29" i="24"/>
  <c r="D29" i="24"/>
  <c r="C29" i="24"/>
  <c r="E28" i="24"/>
  <c r="D28" i="24"/>
  <c r="C28" i="24"/>
  <c r="E27" i="24"/>
  <c r="D27" i="24"/>
  <c r="C27" i="24"/>
  <c r="E26" i="24"/>
  <c r="D26" i="24"/>
  <c r="C26" i="24"/>
  <c r="E25" i="24"/>
  <c r="D25" i="24"/>
  <c r="C25" i="24"/>
  <c r="E24" i="24"/>
  <c r="D24" i="24"/>
  <c r="C24" i="24"/>
  <c r="E23" i="24"/>
  <c r="D23" i="24"/>
  <c r="C23" i="24"/>
  <c r="E22" i="24"/>
  <c r="D22" i="24"/>
  <c r="C22" i="24"/>
  <c r="E12" i="24"/>
  <c r="F21" i="23"/>
  <c r="D12" i="24"/>
  <c r="E21" i="23"/>
  <c r="C12" i="24"/>
  <c r="D21" i="23"/>
  <c r="C16" i="28"/>
  <c r="C15" i="28"/>
  <c r="C12" i="28"/>
  <c r="C11" i="28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H6" i="21"/>
  <c r="G6" i="21"/>
  <c r="H5" i="21"/>
  <c r="G5" i="21"/>
  <c r="C30" i="19"/>
  <c r="C29" i="19"/>
  <c r="C31" i="19"/>
  <c r="E14" i="19"/>
  <c r="D14" i="19"/>
  <c r="E11" i="19"/>
  <c r="D11" i="19"/>
  <c r="D12" i="17"/>
  <c r="D9" i="17"/>
  <c r="D8" i="17"/>
  <c r="F21" i="16"/>
  <c r="E21" i="16"/>
  <c r="D21" i="16"/>
  <c r="F20" i="16"/>
  <c r="E20" i="16"/>
  <c r="D20" i="16"/>
  <c r="F19" i="16"/>
  <c r="E19" i="16"/>
  <c r="D19" i="16"/>
  <c r="F18" i="16"/>
  <c r="E18" i="16"/>
  <c r="D18" i="16"/>
  <c r="F14" i="16"/>
  <c r="E14" i="16"/>
  <c r="D14" i="16"/>
  <c r="F13" i="16"/>
  <c r="E13" i="16"/>
  <c r="D13" i="16"/>
  <c r="F12" i="16"/>
  <c r="E12" i="16"/>
  <c r="D12" i="16"/>
  <c r="F11" i="16"/>
  <c r="E11" i="16"/>
  <c r="D11" i="16"/>
  <c r="C15" i="15"/>
  <c r="C13" i="15"/>
  <c r="O28" i="14"/>
  <c r="N28" i="14"/>
  <c r="O27" i="14"/>
  <c r="N27" i="14"/>
  <c r="M17" i="14"/>
  <c r="M16" i="14"/>
  <c r="N11" i="14"/>
  <c r="N10" i="14"/>
  <c r="M34" i="13"/>
  <c r="L34" i="13"/>
  <c r="J34" i="13"/>
  <c r="I34" i="13"/>
  <c r="H34" i="13"/>
  <c r="M33" i="13"/>
  <c r="L33" i="13"/>
  <c r="J33" i="13"/>
  <c r="I33" i="13"/>
  <c r="H33" i="13"/>
  <c r="M32" i="13"/>
  <c r="L32" i="13"/>
  <c r="J32" i="13"/>
  <c r="I32" i="13"/>
  <c r="H32" i="13"/>
  <c r="M31" i="13"/>
  <c r="L31" i="13"/>
  <c r="J31" i="13"/>
  <c r="I31" i="13"/>
  <c r="H31" i="13"/>
  <c r="M30" i="13"/>
  <c r="L30" i="13"/>
  <c r="J30" i="13"/>
  <c r="I30" i="13"/>
  <c r="H30" i="13"/>
  <c r="M29" i="13"/>
  <c r="L29" i="13"/>
  <c r="J29" i="13"/>
  <c r="I29" i="13"/>
  <c r="H29" i="13"/>
  <c r="M28" i="13"/>
  <c r="L28" i="13"/>
  <c r="J28" i="13"/>
  <c r="I28" i="13"/>
  <c r="H28" i="13"/>
  <c r="M27" i="13"/>
  <c r="L27" i="13"/>
  <c r="J27" i="13"/>
  <c r="I27" i="13"/>
  <c r="H27" i="13"/>
  <c r="M26" i="13"/>
  <c r="L26" i="13"/>
  <c r="J26" i="13"/>
  <c r="I26" i="13"/>
  <c r="H26" i="13"/>
  <c r="M25" i="13"/>
  <c r="L25" i="13"/>
  <c r="J25" i="13"/>
  <c r="I25" i="13"/>
  <c r="H25" i="13"/>
  <c r="M24" i="13"/>
  <c r="L24" i="13"/>
  <c r="J24" i="13"/>
  <c r="I24" i="13"/>
  <c r="H24" i="13"/>
  <c r="M23" i="13"/>
  <c r="L23" i="13"/>
  <c r="J23" i="13"/>
  <c r="I23" i="13"/>
  <c r="H23" i="13"/>
  <c r="M22" i="13"/>
  <c r="L22" i="13"/>
  <c r="J22" i="13"/>
  <c r="I22" i="13"/>
  <c r="H22" i="13"/>
  <c r="M21" i="13"/>
  <c r="L21" i="13"/>
  <c r="J21" i="13"/>
  <c r="I21" i="13"/>
  <c r="H21" i="13"/>
  <c r="M20" i="13"/>
  <c r="L20" i="13"/>
  <c r="J20" i="13"/>
  <c r="I20" i="13"/>
  <c r="H20" i="13"/>
  <c r="M19" i="13"/>
  <c r="L19" i="13"/>
  <c r="J19" i="13"/>
  <c r="I19" i="13"/>
  <c r="H19" i="13"/>
  <c r="M18" i="13"/>
  <c r="L18" i="13"/>
  <c r="J18" i="13"/>
  <c r="I18" i="13"/>
  <c r="H18" i="13"/>
  <c r="M17" i="13"/>
  <c r="L17" i="13"/>
  <c r="J17" i="13"/>
  <c r="I17" i="13"/>
  <c r="H17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G17" i="32"/>
  <c r="G16" i="32"/>
  <c r="G15" i="32"/>
  <c r="G14" i="32"/>
  <c r="G13" i="32"/>
  <c r="G12" i="32"/>
  <c r="G11" i="32"/>
  <c r="G10" i="32"/>
  <c r="G9" i="32"/>
  <c r="E17" i="32"/>
  <c r="E16" i="32"/>
  <c r="E14" i="32"/>
  <c r="E13" i="32"/>
  <c r="E12" i="32"/>
  <c r="E11" i="32"/>
  <c r="E10" i="32"/>
  <c r="E9" i="32"/>
  <c r="G18" i="32"/>
  <c r="E18" i="32"/>
  <c r="C11" i="13"/>
  <c r="C10" i="13"/>
  <c r="I32" i="12"/>
  <c r="I31" i="12"/>
  <c r="I23" i="12"/>
  <c r="G23" i="12"/>
  <c r="I22" i="12"/>
  <c r="G22" i="12"/>
  <c r="I21" i="12"/>
  <c r="G21" i="12"/>
  <c r="I13" i="12"/>
  <c r="G13" i="12"/>
  <c r="I12" i="12"/>
  <c r="G12" i="12"/>
  <c r="I11" i="12"/>
  <c r="G11" i="12"/>
  <c r="I10" i="12"/>
  <c r="G10" i="12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M25" i="6"/>
  <c r="M20" i="6"/>
  <c r="M19" i="6"/>
  <c r="M18" i="6"/>
  <c r="M17" i="6"/>
  <c r="M16" i="6"/>
  <c r="M15" i="6"/>
  <c r="D30" i="5"/>
  <c r="D29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E15" i="32" s="1"/>
  <c r="D12" i="5"/>
  <c r="D11" i="5"/>
  <c r="D10" i="5"/>
  <c r="D9" i="5"/>
  <c r="D8" i="5"/>
  <c r="C20" i="18"/>
  <c r="C10" i="18"/>
  <c r="G103" i="4"/>
  <c r="F103" i="4"/>
  <c r="E103" i="4"/>
  <c r="G100" i="4"/>
  <c r="F100" i="4"/>
  <c r="E100" i="4"/>
  <c r="G99" i="4"/>
  <c r="F99" i="4"/>
  <c r="E99" i="4"/>
  <c r="G98" i="4"/>
  <c r="F98" i="4"/>
  <c r="E98" i="4"/>
  <c r="G97" i="4"/>
  <c r="F97" i="4"/>
  <c r="E97" i="4"/>
  <c r="G96" i="4"/>
  <c r="F96" i="4"/>
  <c r="E96" i="4"/>
  <c r="G95" i="4"/>
  <c r="F95" i="4"/>
  <c r="E95" i="4"/>
  <c r="G94" i="4"/>
  <c r="F94" i="4"/>
  <c r="E94" i="4"/>
  <c r="G93" i="4"/>
  <c r="F93" i="4"/>
  <c r="E93" i="4"/>
  <c r="G88" i="4"/>
  <c r="F88" i="4"/>
  <c r="E88" i="4"/>
  <c r="G87" i="4"/>
  <c r="F87" i="4"/>
  <c r="E87" i="4"/>
  <c r="G86" i="4"/>
  <c r="F86" i="4"/>
  <c r="E86" i="4"/>
  <c r="G85" i="4"/>
  <c r="F85" i="4"/>
  <c r="E85" i="4"/>
  <c r="G80" i="4"/>
  <c r="F80" i="4"/>
  <c r="E80" i="4"/>
  <c r="G79" i="4"/>
  <c r="F79" i="4"/>
  <c r="E79" i="4"/>
  <c r="G78" i="4"/>
  <c r="F78" i="4"/>
  <c r="E78" i="4"/>
  <c r="G77" i="4"/>
  <c r="F77" i="4"/>
  <c r="E77" i="4"/>
  <c r="G72" i="4"/>
  <c r="F72" i="4"/>
  <c r="E72" i="4"/>
  <c r="G71" i="4"/>
  <c r="F71" i="4"/>
  <c r="E71" i="4"/>
  <c r="G70" i="4"/>
  <c r="F70" i="4"/>
  <c r="E70" i="4"/>
  <c r="G69" i="4"/>
  <c r="F69" i="4"/>
  <c r="E69" i="4"/>
  <c r="G64" i="4"/>
  <c r="F64" i="4"/>
  <c r="E64" i="4"/>
  <c r="G63" i="4"/>
  <c r="F63" i="4"/>
  <c r="E63" i="4"/>
  <c r="G62" i="4"/>
  <c r="F62" i="4"/>
  <c r="E62" i="4"/>
  <c r="G61" i="4"/>
  <c r="F61" i="4"/>
  <c r="E61" i="4"/>
  <c r="G60" i="4"/>
  <c r="F60" i="4"/>
  <c r="E60" i="4"/>
  <c r="G59" i="4"/>
  <c r="F59" i="4"/>
  <c r="E59" i="4"/>
  <c r="G58" i="4"/>
  <c r="F58" i="4"/>
  <c r="E58" i="4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G46" i="4"/>
  <c r="F46" i="4"/>
  <c r="E46" i="4"/>
  <c r="G41" i="4"/>
  <c r="F41" i="4"/>
  <c r="E41" i="4"/>
  <c r="G38" i="4"/>
  <c r="F38" i="4"/>
  <c r="E38" i="4"/>
  <c r="G31" i="4"/>
  <c r="F31" i="4"/>
  <c r="E31" i="4"/>
  <c r="G28" i="4"/>
  <c r="F28" i="4"/>
  <c r="E28" i="4"/>
  <c r="G27" i="4"/>
  <c r="F27" i="4"/>
  <c r="E27" i="4"/>
  <c r="G22" i="4"/>
  <c r="F22" i="4"/>
  <c r="E22" i="4"/>
  <c r="G17" i="4"/>
  <c r="F17" i="4"/>
  <c r="E17" i="4"/>
  <c r="G16" i="4"/>
  <c r="F16" i="4"/>
  <c r="E16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C36" i="13" l="1"/>
  <c r="F1" i="1"/>
  <c r="G44" i="32" l="1"/>
  <c r="M27" i="14" l="1"/>
  <c r="N22" i="14"/>
  <c r="M23" i="14"/>
  <c r="M22" i="14"/>
  <c r="C39" i="23" l="1"/>
  <c r="C35" i="23"/>
  <c r="C36" i="23"/>
  <c r="H12" i="24"/>
  <c r="H18" i="21" l="1"/>
  <c r="P14" i="31" l="1"/>
  <c r="D12" i="31"/>
  <c r="E12" i="31" s="1"/>
  <c r="F12" i="31" s="1"/>
  <c r="G12" i="31" s="1"/>
  <c r="H12" i="31" s="1"/>
  <c r="I12" i="31" s="1"/>
  <c r="J12" i="31" s="1"/>
  <c r="K12" i="31" s="1"/>
  <c r="L12" i="31" s="1"/>
  <c r="M12" i="31" s="1"/>
  <c r="N12" i="31" s="1"/>
  <c r="O12" i="31" s="1"/>
  <c r="X24" i="11" l="1"/>
  <c r="X19" i="11"/>
  <c r="C11" i="8" l="1"/>
  <c r="U9" i="11" l="1"/>
  <c r="V9" i="11"/>
  <c r="W9" i="11"/>
  <c r="X9" i="11"/>
  <c r="Y9" i="11"/>
  <c r="Z9" i="11"/>
  <c r="AA9" i="11"/>
  <c r="AB9" i="11"/>
  <c r="U7" i="11"/>
  <c r="V7" i="11"/>
  <c r="U8" i="11"/>
  <c r="V8" i="11"/>
  <c r="V6" i="11"/>
  <c r="U6" i="11"/>
  <c r="D9" i="11" l="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C9" i="11"/>
  <c r="E11" i="14" l="1"/>
  <c r="F11" i="14" s="1"/>
  <c r="C34" i="24"/>
  <c r="L19" i="9" l="1"/>
  <c r="L21" i="9"/>
  <c r="L27" i="9"/>
  <c r="L29" i="9"/>
  <c r="L35" i="9"/>
  <c r="A12" i="33"/>
  <c r="A1" i="33"/>
  <c r="AB20" i="11" l="1"/>
  <c r="Y20" i="11"/>
  <c r="Z20" i="11" s="1"/>
  <c r="Y15" i="11"/>
  <c r="O15" i="11"/>
  <c r="M21" i="6" l="1"/>
  <c r="C20" i="20" l="1"/>
  <c r="D10" i="17" l="1"/>
  <c r="E12" i="33" l="1"/>
  <c r="F12" i="33"/>
  <c r="Q79" i="7" l="1"/>
  <c r="Q80" i="7"/>
  <c r="L35" i="13"/>
  <c r="H35" i="13"/>
  <c r="D34" i="13"/>
  <c r="E34" i="13" s="1"/>
  <c r="D33" i="13"/>
  <c r="E33" i="13" s="1"/>
  <c r="D32" i="13"/>
  <c r="E32" i="13" s="1"/>
  <c r="D31" i="13"/>
  <c r="E31" i="13" s="1"/>
  <c r="J35" i="13"/>
  <c r="I35" i="13"/>
  <c r="A34" i="13"/>
  <c r="A35" i="13" s="1"/>
  <c r="A36" i="13" s="1"/>
  <c r="A37" i="13" s="1"/>
  <c r="F10" i="33" l="1"/>
  <c r="F14" i="33" s="1"/>
  <c r="V43" i="10" s="1"/>
  <c r="E10" i="33"/>
  <c r="E14" i="33" s="1"/>
  <c r="V42" i="10" s="1"/>
  <c r="G36" i="13"/>
  <c r="G35" i="13"/>
  <c r="C35" i="13" l="1"/>
  <c r="P25" i="31" l="1"/>
  <c r="P23" i="31"/>
  <c r="P22" i="31"/>
  <c r="P16" i="31"/>
  <c r="P10" i="31"/>
  <c r="P9" i="31"/>
  <c r="P8" i="31"/>
  <c r="M13" i="11" l="1"/>
  <c r="M37" i="10"/>
  <c r="M40" i="10" s="1"/>
  <c r="M47" i="10" s="1"/>
  <c r="M17" i="10"/>
  <c r="M11" i="11" s="1"/>
  <c r="D20" i="18" l="1"/>
  <c r="D28" i="13" l="1"/>
  <c r="I45" i="13"/>
  <c r="E33" i="12" l="1"/>
  <c r="G47" i="32" l="1"/>
  <c r="G45" i="32"/>
  <c r="E31" i="12"/>
  <c r="F50" i="32"/>
  <c r="E32" i="12"/>
  <c r="E50" i="32"/>
  <c r="G48" i="32"/>
  <c r="G46" i="32"/>
  <c r="D22" i="14"/>
  <c r="C22" i="14"/>
  <c r="H20" i="14"/>
  <c r="H18" i="14"/>
  <c r="G50" i="32" l="1"/>
  <c r="N8" i="14" l="1"/>
  <c r="D17" i="13" l="1"/>
  <c r="E17" i="13" l="1"/>
  <c r="G25" i="12"/>
  <c r="Q56" i="7" l="1"/>
  <c r="K1" i="12"/>
  <c r="V13" i="11"/>
  <c r="V24" i="10"/>
  <c r="V12" i="11" s="1"/>
  <c r="V17" i="10"/>
  <c r="V11" i="11" s="1"/>
  <c r="U45" i="10"/>
  <c r="U40" i="10"/>
  <c r="U24" i="10"/>
  <c r="U12" i="11" s="1"/>
  <c r="U17" i="10"/>
  <c r="U11" i="11" s="1"/>
  <c r="W40" i="10"/>
  <c r="U47" i="10" l="1"/>
  <c r="N22" i="10"/>
  <c r="N24" i="10" s="1"/>
  <c r="N12" i="11" s="1"/>
  <c r="O45" i="10"/>
  <c r="O44" i="10"/>
  <c r="O43" i="10"/>
  <c r="O42" i="10"/>
  <c r="O38" i="10"/>
  <c r="A1" i="30"/>
  <c r="N40" i="10"/>
  <c r="N47" i="10" s="1"/>
  <c r="N13" i="11"/>
  <c r="N17" i="10"/>
  <c r="N11" i="11" s="1"/>
  <c r="C37" i="23" l="1"/>
  <c r="F17" i="32" l="1"/>
  <c r="A10" i="17" l="1"/>
  <c r="A11" i="17" s="1"/>
  <c r="A12" i="17" s="1"/>
  <c r="A13" i="17" s="1"/>
  <c r="A14" i="17" s="1"/>
  <c r="A9" i="17"/>
  <c r="R22" i="10" l="1"/>
  <c r="I12" i="21" l="1"/>
  <c r="I9" i="21"/>
  <c r="I5" i="21"/>
  <c r="I10" i="21"/>
  <c r="I8" i="21"/>
  <c r="I11" i="21"/>
  <c r="I7" i="21"/>
  <c r="I6" i="21"/>
  <c r="I13" i="21"/>
  <c r="I31" i="6"/>
  <c r="AA17" i="10" l="1"/>
  <c r="AA11" i="11" s="1"/>
  <c r="AB14" i="10"/>
  <c r="H13" i="1" s="1"/>
  <c r="J13" i="9" s="1"/>
  <c r="AB15" i="10"/>
  <c r="H14" i="1" s="1"/>
  <c r="J14" i="9" s="1"/>
  <c r="AB16" i="10"/>
  <c r="AB18" i="10"/>
  <c r="AB19" i="10"/>
  <c r="AB20" i="10"/>
  <c r="H19" i="1" s="1"/>
  <c r="J19" i="9" s="1"/>
  <c r="AB21" i="10"/>
  <c r="H20" i="1" s="1"/>
  <c r="J20" i="9" s="1"/>
  <c r="AB23" i="10"/>
  <c r="AB25" i="10"/>
  <c r="AB26" i="10"/>
  <c r="AB28" i="10"/>
  <c r="H27" i="1" s="1"/>
  <c r="J27" i="9" s="1"/>
  <c r="AB29" i="10"/>
  <c r="H28" i="1" s="1"/>
  <c r="J28" i="9" s="1"/>
  <c r="AB31" i="10"/>
  <c r="AB35" i="10"/>
  <c r="AB36" i="10"/>
  <c r="AB38" i="10"/>
  <c r="AB39" i="10"/>
  <c r="AB41" i="10"/>
  <c r="AB42" i="10"/>
  <c r="AB43" i="10"/>
  <c r="AB44" i="10"/>
  <c r="AB45" i="10"/>
  <c r="AB13" i="10"/>
  <c r="H12" i="1" s="1"/>
  <c r="J12" i="9" s="1"/>
  <c r="M33" i="6"/>
  <c r="AB17" i="10" l="1"/>
  <c r="AB11" i="11" s="1"/>
  <c r="H16" i="1"/>
  <c r="J16" i="9" s="1"/>
  <c r="A19" i="28"/>
  <c r="A20" i="28" s="1"/>
  <c r="A21" i="28" s="1"/>
  <c r="A22" i="28" s="1"/>
  <c r="A23" i="28" s="1"/>
  <c r="C17" i="28" l="1"/>
  <c r="C13" i="28"/>
  <c r="A13" i="28"/>
  <c r="A14" i="28" s="1"/>
  <c r="A15" i="28" s="1"/>
  <c r="A16" i="28" s="1"/>
  <c r="A17" i="28" s="1"/>
  <c r="A18" i="28" s="1"/>
  <c r="C24" i="31"/>
  <c r="C19" i="28" l="1"/>
  <c r="P17" i="31"/>
  <c r="P26" i="31" l="1"/>
  <c r="M24" i="31" l="1"/>
  <c r="M27" i="31" s="1"/>
  <c r="N41" i="7" s="1"/>
  <c r="K24" i="31"/>
  <c r="K27" i="31" s="1"/>
  <c r="L41" i="7" s="1"/>
  <c r="C27" i="31"/>
  <c r="O24" i="31"/>
  <c r="N24" i="31"/>
  <c r="N27" i="31" s="1"/>
  <c r="O41" i="7" s="1"/>
  <c r="L24" i="31"/>
  <c r="L27" i="31" s="1"/>
  <c r="M41" i="7" s="1"/>
  <c r="J24" i="31"/>
  <c r="J27" i="31" s="1"/>
  <c r="K41" i="7" s="1"/>
  <c r="I24" i="31"/>
  <c r="I27" i="31" s="1"/>
  <c r="J41" i="7" s="1"/>
  <c r="H24" i="31"/>
  <c r="H27" i="31" s="1"/>
  <c r="I41" i="7" s="1"/>
  <c r="G24" i="31"/>
  <c r="G27" i="31" s="1"/>
  <c r="H41" i="7" s="1"/>
  <c r="F24" i="31"/>
  <c r="F27" i="31" s="1"/>
  <c r="G41" i="7" s="1"/>
  <c r="E24" i="31"/>
  <c r="E27" i="31" s="1"/>
  <c r="F41" i="7" s="1"/>
  <c r="D24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O27" i="31" l="1"/>
  <c r="P41" i="7" s="1"/>
  <c r="Q47" i="7" s="1"/>
  <c r="P11" i="31"/>
  <c r="P24" i="31"/>
  <c r="D27" i="31"/>
  <c r="E41" i="7" s="1"/>
  <c r="D41" i="7"/>
  <c r="P27" i="31" l="1"/>
  <c r="Q41" i="7"/>
  <c r="Q46" i="7" s="1"/>
  <c r="J39" i="25" l="1"/>
  <c r="M28" i="14" l="1"/>
  <c r="N23" i="14"/>
  <c r="G11" i="14" l="1"/>
  <c r="O23" i="14"/>
  <c r="H11" i="14" l="1"/>
  <c r="O22" i="14"/>
  <c r="E13" i="14" l="1"/>
  <c r="F13" i="14" s="1"/>
  <c r="F22" i="14" s="1"/>
  <c r="G36" i="32"/>
  <c r="G35" i="32"/>
  <c r="G34" i="32"/>
  <c r="G33" i="32"/>
  <c r="E22" i="14" l="1"/>
  <c r="C13" i="29"/>
  <c r="I29" i="21" l="1"/>
  <c r="L6" i="25" l="1"/>
  <c r="K30" i="21" l="1"/>
  <c r="K31" i="21"/>
  <c r="K29" i="21"/>
  <c r="I11" i="25" l="1"/>
  <c r="I12" i="25" s="1"/>
  <c r="I13" i="25" s="1"/>
  <c r="I14" i="25" s="1"/>
  <c r="I15" i="25" s="1"/>
  <c r="I16" i="25" s="1"/>
  <c r="I17" i="25" s="1"/>
  <c r="I10" i="25"/>
  <c r="I7" i="25"/>
  <c r="I8" i="25" s="1"/>
  <c r="C10" i="24" l="1"/>
  <c r="C15" i="24" l="1"/>
  <c r="C17" i="24" s="1"/>
  <c r="F26" i="32"/>
  <c r="F27" i="32"/>
  <c r="F28" i="32"/>
  <c r="F22" i="32"/>
  <c r="H24" i="14" l="1"/>
  <c r="I17" i="6" l="1"/>
  <c r="J19" i="25"/>
  <c r="E10" i="23" l="1"/>
  <c r="E25" i="23" s="1"/>
  <c r="F10" i="23"/>
  <c r="D10" i="23"/>
  <c r="D25" i="23" s="1"/>
  <c r="Q73" i="7" l="1"/>
  <c r="E7" i="16" l="1"/>
  <c r="A18" i="32" l="1"/>
  <c r="A17" i="32"/>
  <c r="L45" i="13" l="1"/>
  <c r="J45" i="13"/>
  <c r="H45" i="13"/>
  <c r="E11" i="8" l="1"/>
  <c r="E13" i="8"/>
  <c r="E12" i="8"/>
  <c r="J34" i="7" l="1"/>
  <c r="I34" i="7"/>
  <c r="H34" i="7"/>
  <c r="G34" i="7"/>
  <c r="F34" i="7"/>
  <c r="D34" i="7"/>
  <c r="J20" i="7"/>
  <c r="I20" i="7"/>
  <c r="H20" i="7"/>
  <c r="G20" i="7"/>
  <c r="F20" i="7"/>
  <c r="E20" i="7"/>
  <c r="D20" i="7"/>
  <c r="E34" i="7"/>
  <c r="K34" i="7"/>
  <c r="L34" i="7"/>
  <c r="M34" i="7"/>
  <c r="N34" i="7"/>
  <c r="O34" i="7"/>
  <c r="P34" i="7"/>
  <c r="Q9" i="7"/>
  <c r="K20" i="7"/>
  <c r="L20" i="7"/>
  <c r="M20" i="7"/>
  <c r="N20" i="7"/>
  <c r="O20" i="7"/>
  <c r="P20" i="7"/>
  <c r="A3" i="4" l="1"/>
  <c r="F35" i="9" l="1"/>
  <c r="F27" i="9"/>
  <c r="F29" i="9"/>
  <c r="F19" i="9"/>
  <c r="F21" i="9"/>
  <c r="F14" i="9"/>
  <c r="F13" i="9"/>
  <c r="G7" i="9"/>
  <c r="A3" i="9"/>
  <c r="T24" i="10" l="1"/>
  <c r="T40" i="10"/>
  <c r="Y28" i="10" l="1"/>
  <c r="Y21" i="10"/>
  <c r="Y20" i="10"/>
  <c r="Y15" i="10"/>
  <c r="Y14" i="10"/>
  <c r="Y13" i="10"/>
  <c r="W13" i="11"/>
  <c r="X13" i="11"/>
  <c r="W17" i="10"/>
  <c r="W11" i="11" s="1"/>
  <c r="X17" i="10"/>
  <c r="X11" i="11" s="1"/>
  <c r="W47" i="10"/>
  <c r="X40" i="10"/>
  <c r="X47" i="10" s="1"/>
  <c r="X24" i="10"/>
  <c r="X12" i="11" s="1"/>
  <c r="A13" i="22"/>
  <c r="A1" i="22"/>
  <c r="A12" i="28"/>
  <c r="A1" i="28"/>
  <c r="C21" i="6" l="1"/>
  <c r="T17" i="10" l="1"/>
  <c r="T11" i="11" s="1"/>
  <c r="T12" i="11"/>
  <c r="T13" i="11"/>
  <c r="A1" i="29"/>
  <c r="T45" i="10" l="1"/>
  <c r="K19" i="25"/>
  <c r="L7" i="25"/>
  <c r="L8" i="25"/>
  <c r="L9" i="25"/>
  <c r="L10" i="25"/>
  <c r="L11" i="25"/>
  <c r="L12" i="25"/>
  <c r="L13" i="25"/>
  <c r="L14" i="25"/>
  <c r="L15" i="25"/>
  <c r="L16" i="25"/>
  <c r="L17" i="25"/>
  <c r="L19" i="25" l="1"/>
  <c r="T47" i="10"/>
  <c r="F14" i="32" l="1"/>
  <c r="F13" i="32"/>
  <c r="F12" i="32"/>
  <c r="F11" i="32"/>
  <c r="F9" i="32"/>
  <c r="F16" i="32" l="1"/>
  <c r="F10" i="32"/>
  <c r="C11" i="20" l="1"/>
  <c r="C13" i="20" s="1"/>
  <c r="K25" i="21"/>
  <c r="I26" i="21"/>
  <c r="J26" i="21"/>
  <c r="H26" i="21"/>
  <c r="H19" i="21"/>
  <c r="I19" i="21"/>
  <c r="J19" i="21"/>
  <c r="H20" i="21"/>
  <c r="I20" i="21"/>
  <c r="J20" i="21"/>
  <c r="H21" i="21"/>
  <c r="I21" i="21"/>
  <c r="J21" i="21"/>
  <c r="H22" i="21"/>
  <c r="I22" i="21"/>
  <c r="J22" i="21"/>
  <c r="H23" i="21"/>
  <c r="I23" i="21"/>
  <c r="J23" i="21"/>
  <c r="H24" i="21"/>
  <c r="I24" i="21"/>
  <c r="J24" i="21"/>
  <c r="I18" i="21"/>
  <c r="J18" i="21"/>
  <c r="H14" i="21"/>
  <c r="G14" i="21"/>
  <c r="H44" i="21"/>
  <c r="H43" i="21"/>
  <c r="H42" i="21"/>
  <c r="H41" i="21"/>
  <c r="H40" i="21"/>
  <c r="H39" i="21"/>
  <c r="H38" i="21"/>
  <c r="H37" i="21"/>
  <c r="H36" i="21"/>
  <c r="H45" i="21" l="1"/>
  <c r="K21" i="21"/>
  <c r="K24" i="21"/>
  <c r="K20" i="21"/>
  <c r="K22" i="21"/>
  <c r="K18" i="21"/>
  <c r="K23" i="21"/>
  <c r="K19" i="21"/>
  <c r="K26" i="21"/>
  <c r="I14" i="21"/>
  <c r="A1" i="27" l="1"/>
  <c r="C19" i="3" l="1"/>
  <c r="A1" i="19" l="1"/>
  <c r="C28" i="3" l="1"/>
  <c r="M29" i="14" l="1"/>
  <c r="G13" i="14" l="1"/>
  <c r="E35" i="12"/>
  <c r="C19" i="1" s="1"/>
  <c r="A11" i="12"/>
  <c r="A12" i="12" s="1"/>
  <c r="A13" i="12" s="1"/>
  <c r="A15" i="12" s="1"/>
  <c r="A17" i="12" s="1"/>
  <c r="A18" i="12" s="1"/>
  <c r="A21" i="12" s="1"/>
  <c r="A22" i="12" s="1"/>
  <c r="A23" i="12" s="1"/>
  <c r="A25" i="12" s="1"/>
  <c r="A27" i="12" s="1"/>
  <c r="A31" i="12" s="1"/>
  <c r="A32" i="12" s="1"/>
  <c r="A33" i="12" s="1"/>
  <c r="A35" i="12" s="1"/>
  <c r="A37" i="12" s="1"/>
  <c r="M24" i="14" l="1"/>
  <c r="G22" i="14" l="1"/>
  <c r="A12" i="23" l="1"/>
  <c r="A13" i="23" s="1"/>
  <c r="A14" i="23" s="1"/>
  <c r="A15" i="23" s="1"/>
  <c r="A16" i="23" s="1"/>
  <c r="A17" i="23" s="1"/>
  <c r="A19" i="23" s="1"/>
  <c r="A21" i="23" s="1"/>
  <c r="A23" i="23" s="1"/>
  <c r="A25" i="23" s="1"/>
  <c r="A27" i="23" s="1"/>
  <c r="A29" i="23" s="1"/>
  <c r="A31" i="23" s="1"/>
  <c r="A12" i="11" l="1"/>
  <c r="A13" i="11" s="1"/>
  <c r="A14" i="11" s="1"/>
  <c r="A15" i="11" s="1"/>
  <c r="A17" i="11" s="1"/>
  <c r="A19" i="11" s="1"/>
  <c r="A20" i="11" s="1"/>
  <c r="A22" i="11" s="1"/>
  <c r="A24" i="11" s="1"/>
  <c r="A25" i="11" s="1"/>
  <c r="A26" i="11" s="1"/>
  <c r="A28" i="11" s="1"/>
  <c r="D18" i="13"/>
  <c r="D19" i="13"/>
  <c r="D20" i="13"/>
  <c r="D21" i="13"/>
  <c r="D22" i="13"/>
  <c r="D23" i="13"/>
  <c r="D24" i="13"/>
  <c r="D25" i="13"/>
  <c r="D26" i="13"/>
  <c r="D27" i="13"/>
  <c r="D29" i="13"/>
  <c r="D30" i="13"/>
  <c r="D35" i="13" l="1"/>
  <c r="E29" i="13"/>
  <c r="E25" i="13"/>
  <c r="E21" i="13"/>
  <c r="E27" i="13"/>
  <c r="E23" i="13"/>
  <c r="E19" i="13"/>
  <c r="E28" i="13"/>
  <c r="E24" i="13"/>
  <c r="E20" i="13"/>
  <c r="E30" i="13"/>
  <c r="E26" i="13"/>
  <c r="E22" i="13"/>
  <c r="E18" i="13"/>
  <c r="E35" i="13" l="1"/>
  <c r="C27" i="1"/>
  <c r="C27" i="9" l="1"/>
  <c r="Q67" i="7" l="1"/>
  <c r="Q68" i="7"/>
  <c r="Q69" i="7"/>
  <c r="Q70" i="7"/>
  <c r="Q72" i="7"/>
  <c r="Q58" i="7"/>
  <c r="Q59" i="7"/>
  <c r="Q54" i="7"/>
  <c r="Q55" i="7"/>
  <c r="Q24" i="7"/>
  <c r="Q25" i="7"/>
  <c r="Q27" i="7"/>
  <c r="Q29" i="7"/>
  <c r="Q31" i="7"/>
  <c r="Q32" i="7"/>
  <c r="Q23" i="7"/>
  <c r="Q28" i="7"/>
  <c r="E6" i="7"/>
  <c r="Q16" i="7"/>
  <c r="F6" i="7" l="1"/>
  <c r="Q30" i="7"/>
  <c r="Q26" i="7"/>
  <c r="G6" i="7" l="1"/>
  <c r="Q34" i="7"/>
  <c r="I6" i="7" l="1"/>
  <c r="J6" i="7" l="1"/>
  <c r="K6" i="7" l="1"/>
  <c r="F25" i="23"/>
  <c r="F28" i="16"/>
  <c r="E28" i="16"/>
  <c r="D28" i="16"/>
  <c r="F27" i="16"/>
  <c r="E27" i="16"/>
  <c r="D27" i="16"/>
  <c r="F26" i="16"/>
  <c r="E26" i="16"/>
  <c r="D26" i="16"/>
  <c r="F25" i="16"/>
  <c r="E25" i="16"/>
  <c r="D25" i="16"/>
  <c r="F22" i="16"/>
  <c r="E22" i="16"/>
  <c r="D22" i="16"/>
  <c r="C21" i="16"/>
  <c r="C20" i="16"/>
  <c r="C19" i="16"/>
  <c r="C18" i="16"/>
  <c r="F15" i="16"/>
  <c r="E15" i="16"/>
  <c r="D15" i="16"/>
  <c r="C14" i="16"/>
  <c r="C13" i="16"/>
  <c r="C12" i="16"/>
  <c r="C11" i="16"/>
  <c r="F7" i="16"/>
  <c r="L6" i="7" l="1"/>
  <c r="F29" i="16"/>
  <c r="C25" i="16"/>
  <c r="C32" i="16" s="1"/>
  <c r="E29" i="16"/>
  <c r="C28" i="16"/>
  <c r="C35" i="16" s="1"/>
  <c r="C27" i="16"/>
  <c r="C34" i="16" s="1"/>
  <c r="D29" i="16"/>
  <c r="C15" i="16"/>
  <c r="C26" i="16"/>
  <c r="C33" i="16" s="1"/>
  <c r="C22" i="16"/>
  <c r="M6" i="7" l="1"/>
  <c r="C36" i="16"/>
  <c r="C29" i="16"/>
  <c r="C48" i="16" s="1"/>
  <c r="C25" i="23"/>
  <c r="C34" i="25" s="1"/>
  <c r="C10" i="23"/>
  <c r="N6" i="7" l="1"/>
  <c r="O6" i="7" l="1"/>
  <c r="Q11" i="7"/>
  <c r="Q12" i="7"/>
  <c r="Q13" i="7"/>
  <c r="Q88" i="7" s="1"/>
  <c r="Q14" i="7"/>
  <c r="Q15" i="7"/>
  <c r="Q17" i="7"/>
  <c r="Q18" i="7"/>
  <c r="Q36" i="7"/>
  <c r="Q37" i="7"/>
  <c r="Q53" i="7"/>
  <c r="Y43" i="10"/>
  <c r="Q10" i="7"/>
  <c r="D28" i="5" l="1"/>
  <c r="P6" i="7"/>
  <c r="Q20" i="7"/>
  <c r="A3" i="10" l="1"/>
  <c r="A3" i="7"/>
  <c r="A13" i="25"/>
  <c r="A15" i="25" s="1"/>
  <c r="A20" i="25" s="1"/>
  <c r="A22" i="25" s="1"/>
  <c r="A24" i="25" s="1"/>
  <c r="C32" i="11"/>
  <c r="S17" i="10"/>
  <c r="S11" i="11" s="1"/>
  <c r="S24" i="10"/>
  <c r="S12" i="11" s="1"/>
  <c r="R17" i="10"/>
  <c r="R11" i="11" s="1"/>
  <c r="R24" i="10"/>
  <c r="R12" i="11" s="1"/>
  <c r="R13" i="11"/>
  <c r="R40" i="10"/>
  <c r="R47" i="10" s="1"/>
  <c r="Q17" i="10"/>
  <c r="Q11" i="11" s="1"/>
  <c r="Q13" i="11"/>
  <c r="Q40" i="10"/>
  <c r="Q47" i="10" s="1"/>
  <c r="P17" i="10"/>
  <c r="P13" i="11"/>
  <c r="P40" i="10"/>
  <c r="P47" i="10" s="1"/>
  <c r="L17" i="10"/>
  <c r="L11" i="11" s="1"/>
  <c r="L13" i="11"/>
  <c r="K17" i="10"/>
  <c r="K11" i="11" s="1"/>
  <c r="K13" i="11"/>
  <c r="K40" i="10"/>
  <c r="K47" i="10" s="1"/>
  <c r="J17" i="10"/>
  <c r="J11" i="11" s="1"/>
  <c r="J13" i="11"/>
  <c r="I17" i="10"/>
  <c r="I11" i="11" s="1"/>
  <c r="I13" i="11"/>
  <c r="I40" i="10"/>
  <c r="I47" i="10" s="1"/>
  <c r="H17" i="10"/>
  <c r="H24" i="10"/>
  <c r="H12" i="11" s="1"/>
  <c r="H13" i="11"/>
  <c r="G17" i="10"/>
  <c r="G11" i="11" s="1"/>
  <c r="G13" i="11"/>
  <c r="G40" i="10"/>
  <c r="G47" i="10" s="1"/>
  <c r="F17" i="10"/>
  <c r="F11" i="11" s="1"/>
  <c r="F24" i="10"/>
  <c r="C11" i="15"/>
  <c r="C17" i="15" s="1"/>
  <c r="F13" i="11"/>
  <c r="F40" i="10"/>
  <c r="F47" i="10" s="1"/>
  <c r="E17" i="10"/>
  <c r="E11" i="11" s="1"/>
  <c r="E13" i="11"/>
  <c r="D24" i="10"/>
  <c r="D13" i="11"/>
  <c r="D40" i="10"/>
  <c r="D47" i="10" s="1"/>
  <c r="C13" i="11"/>
  <c r="C40" i="10"/>
  <c r="C47" i="10" s="1"/>
  <c r="E34" i="24"/>
  <c r="E10" i="24" s="1"/>
  <c r="E15" i="24" s="1"/>
  <c r="D34" i="24"/>
  <c r="D10" i="24" s="1"/>
  <c r="K22" i="10"/>
  <c r="K24" i="10" s="1"/>
  <c r="E16" i="19"/>
  <c r="E18" i="19" s="1"/>
  <c r="A11" i="13"/>
  <c r="A13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" i="13"/>
  <c r="A2" i="13"/>
  <c r="A1" i="13"/>
  <c r="D13" i="13"/>
  <c r="A1" i="15"/>
  <c r="A10" i="32"/>
  <c r="A11" i="32" s="1"/>
  <c r="A12" i="32" s="1"/>
  <c r="A13" i="32" s="1"/>
  <c r="A14" i="32" s="1"/>
  <c r="A15" i="32" s="1"/>
  <c r="A16" i="32" s="1"/>
  <c r="A19" i="32" s="1"/>
  <c r="A3" i="32"/>
  <c r="A3" i="1"/>
  <c r="H13" i="14"/>
  <c r="A1" i="26"/>
  <c r="A2" i="32"/>
  <c r="A1" i="32"/>
  <c r="C32" i="19"/>
  <c r="D15" i="19" s="1"/>
  <c r="A2" i="10"/>
  <c r="A1" i="21"/>
  <c r="A12" i="8"/>
  <c r="A1" i="8"/>
  <c r="C15" i="8"/>
  <c r="A1" i="20"/>
  <c r="G7" i="1"/>
  <c r="O13" i="11" l="1"/>
  <c r="A2" i="16"/>
  <c r="A2" i="17"/>
  <c r="D15" i="24"/>
  <c r="F28" i="10"/>
  <c r="O28" i="10" s="1"/>
  <c r="A2" i="6"/>
  <c r="A2" i="18" s="1"/>
  <c r="A2" i="21" s="1"/>
  <c r="A26" i="25"/>
  <c r="A33" i="25" s="1"/>
  <c r="A34" i="25" s="1"/>
  <c r="A36" i="25" s="1"/>
  <c r="A38" i="25" s="1"/>
  <c r="A40" i="25" s="1"/>
  <c r="A13" i="8"/>
  <c r="A15" i="8" s="1"/>
  <c r="A19" i="8" s="1"/>
  <c r="A20" i="8" s="1"/>
  <c r="A21" i="8" s="1"/>
  <c r="A23" i="8" s="1"/>
  <c r="A25" i="8" s="1"/>
  <c r="A26" i="8" s="1"/>
  <c r="A27" i="8" s="1"/>
  <c r="A22" i="32"/>
  <c r="A23" i="32" s="1"/>
  <c r="A24" i="32" s="1"/>
  <c r="A25" i="32" s="1"/>
  <c r="A26" i="32" s="1"/>
  <c r="A27" i="32" s="1"/>
  <c r="A28" i="32" s="1"/>
  <c r="A29" i="32" s="1"/>
  <c r="D16" i="19"/>
  <c r="D18" i="19" s="1"/>
  <c r="H28" i="14"/>
  <c r="A3" i="11"/>
  <c r="A2" i="12"/>
  <c r="A2" i="8"/>
  <c r="A2" i="14"/>
  <c r="Y17" i="10"/>
  <c r="Y11" i="11" s="1"/>
  <c r="Z43" i="10"/>
  <c r="A2" i="23"/>
  <c r="A2" i="24" s="1"/>
  <c r="A2" i="25"/>
  <c r="E15" i="8"/>
  <c r="C44" i="8"/>
  <c r="E28" i="3"/>
  <c r="C41" i="8"/>
  <c r="M49" i="10" s="1"/>
  <c r="M14" i="11" s="1"/>
  <c r="K12" i="11"/>
  <c r="H11" i="11"/>
  <c r="P11" i="11"/>
  <c r="A2" i="19" l="1"/>
  <c r="A2" i="33"/>
  <c r="U49" i="10"/>
  <c r="U14" i="11" s="1"/>
  <c r="N49" i="10"/>
  <c r="N14" i="11" s="1"/>
  <c r="N17" i="11" s="1"/>
  <c r="N19" i="11" s="1"/>
  <c r="N22" i="11" s="1"/>
  <c r="N28" i="11" s="1"/>
  <c r="K38" i="1"/>
  <c r="G38" i="1"/>
  <c r="G40" i="1" s="1"/>
  <c r="A2" i="22"/>
  <c r="A2" i="15"/>
  <c r="A2" i="26"/>
  <c r="A2" i="20"/>
  <c r="A2" i="27"/>
  <c r="A2" i="30"/>
  <c r="A2" i="28"/>
  <c r="Z28" i="10"/>
  <c r="D27" i="1" s="1"/>
  <c r="D17" i="24"/>
  <c r="E17" i="24"/>
  <c r="F12" i="23" s="1"/>
  <c r="G38" i="9"/>
  <c r="F12" i="11"/>
  <c r="W49" i="10"/>
  <c r="W14" i="11" s="1"/>
  <c r="X49" i="10"/>
  <c r="X14" i="11" s="1"/>
  <c r="X17" i="11" s="1"/>
  <c r="K49" i="10"/>
  <c r="K14" i="11" s="1"/>
  <c r="K17" i="11" s="1"/>
  <c r="K19" i="11" s="1"/>
  <c r="T49" i="10"/>
  <c r="T14" i="11" s="1"/>
  <c r="T17" i="11" s="1"/>
  <c r="T19" i="11" s="1"/>
  <c r="T22" i="11" s="1"/>
  <c r="T28" i="11" s="1"/>
  <c r="T27" i="10" s="1"/>
  <c r="A32" i="32"/>
  <c r="A33" i="32" s="1"/>
  <c r="A34" i="32" s="1"/>
  <c r="A35" i="32" s="1"/>
  <c r="A36" i="32" s="1"/>
  <c r="A37" i="32" s="1"/>
  <c r="A38" i="32" s="1"/>
  <c r="A39" i="32" s="1"/>
  <c r="A40" i="32" s="1"/>
  <c r="A41" i="32" s="1"/>
  <c r="A44" i="32" s="1"/>
  <c r="A45" i="32" s="1"/>
  <c r="A46" i="32" s="1"/>
  <c r="A47" i="32" s="1"/>
  <c r="A48" i="32" s="1"/>
  <c r="A49" i="32" s="1"/>
  <c r="A50" i="32" s="1"/>
  <c r="H22" i="14"/>
  <c r="A28" i="8"/>
  <c r="A30" i="8" s="1"/>
  <c r="A31" i="8" s="1"/>
  <c r="A33" i="8" s="1"/>
  <c r="A35" i="8" s="1"/>
  <c r="A37" i="8" s="1"/>
  <c r="A39" i="8" s="1"/>
  <c r="A41" i="8" s="1"/>
  <c r="A43" i="8" s="1"/>
  <c r="A44" i="8" s="1"/>
  <c r="C25" i="8"/>
  <c r="C28" i="8" s="1"/>
  <c r="Q49" i="10"/>
  <c r="Q14" i="11" s="1"/>
  <c r="R49" i="10"/>
  <c r="R14" i="11" s="1"/>
  <c r="F49" i="10"/>
  <c r="F14" i="11" s="1"/>
  <c r="G49" i="10"/>
  <c r="G14" i="11" s="1"/>
  <c r="I49" i="10"/>
  <c r="I14" i="11" s="1"/>
  <c r="P49" i="10"/>
  <c r="P14" i="11" s="1"/>
  <c r="D49" i="10"/>
  <c r="D14" i="11" s="1"/>
  <c r="C49" i="10"/>
  <c r="F15" i="23" l="1"/>
  <c r="F16" i="23" s="1"/>
  <c r="F17" i="23" s="1"/>
  <c r="K40" i="1"/>
  <c r="M40" i="9" s="1"/>
  <c r="M38" i="9"/>
  <c r="G40" i="9"/>
  <c r="I40" i="9" s="1"/>
  <c r="I38" i="9"/>
  <c r="N27" i="10"/>
  <c r="N36" i="11" s="1"/>
  <c r="E27" i="1"/>
  <c r="E27" i="9" s="1"/>
  <c r="D27" i="9"/>
  <c r="D12" i="23"/>
  <c r="D19" i="23" s="1"/>
  <c r="D23" i="23" s="1"/>
  <c r="E12" i="23"/>
  <c r="T32" i="10"/>
  <c r="T34" i="10" s="1"/>
  <c r="T36" i="11"/>
  <c r="R17" i="11"/>
  <c r="F17" i="11"/>
  <c r="C14" i="11"/>
  <c r="K22" i="11"/>
  <c r="K28" i="11" s="1"/>
  <c r="K27" i="10" s="1"/>
  <c r="E13" i="23" l="1"/>
  <c r="E14" i="23" s="1"/>
  <c r="N32" i="10"/>
  <c r="N34" i="10" s="1"/>
  <c r="N35" i="11" s="1"/>
  <c r="G27" i="1"/>
  <c r="I27" i="1" s="1"/>
  <c r="C12" i="23"/>
  <c r="I28" i="25"/>
  <c r="J28" i="25"/>
  <c r="D27" i="23"/>
  <c r="F19" i="11"/>
  <c r="F22" i="11" s="1"/>
  <c r="F28" i="11" s="1"/>
  <c r="F27" i="10" s="1"/>
  <c r="R19" i="11"/>
  <c r="R22" i="11" s="1"/>
  <c r="R28" i="11" s="1"/>
  <c r="R27" i="10" s="1"/>
  <c r="R32" i="10" s="1"/>
  <c r="R34" i="10" s="1"/>
  <c r="K36" i="11"/>
  <c r="K32" i="10"/>
  <c r="K34" i="10" s="1"/>
  <c r="C13" i="23" l="1"/>
  <c r="K27" i="1"/>
  <c r="M27" i="9" s="1"/>
  <c r="K27" i="9"/>
  <c r="N37" i="11"/>
  <c r="N38" i="11" s="1"/>
  <c r="G27" i="9"/>
  <c r="I27" i="9" s="1"/>
  <c r="C14" i="23"/>
  <c r="F32" i="10"/>
  <c r="F34" i="10" s="1"/>
  <c r="F35" i="11" s="1"/>
  <c r="F37" i="11" s="1"/>
  <c r="F36" i="11"/>
  <c r="R36" i="11"/>
  <c r="R35" i="11"/>
  <c r="R37" i="11" s="1"/>
  <c r="K35" i="11"/>
  <c r="K37" i="11" s="1"/>
  <c r="E19" i="23" l="1"/>
  <c r="E23" i="23" s="1"/>
  <c r="F38" i="11"/>
  <c r="R38" i="11"/>
  <c r="K38" i="11"/>
  <c r="E27" i="23" l="1"/>
  <c r="T35" i="11" l="1"/>
  <c r="T37" i="11" l="1"/>
  <c r="T38" i="11" s="1"/>
  <c r="C15" i="23" l="1"/>
  <c r="F19" i="23"/>
  <c r="C16" i="23"/>
  <c r="F23" i="23" l="1"/>
  <c r="C19" i="23"/>
  <c r="F27" i="23" l="1"/>
  <c r="C23" i="23"/>
  <c r="C21" i="23" l="1"/>
  <c r="C33" i="25"/>
  <c r="C36" i="25" s="1"/>
  <c r="C40" i="25" s="1"/>
  <c r="C27" i="23"/>
  <c r="L20" i="25" l="1"/>
  <c r="J37" i="25"/>
  <c r="J38" i="25" s="1"/>
  <c r="J40" i="25" s="1"/>
  <c r="J29" i="25" l="1"/>
  <c r="J30" i="25" s="1"/>
  <c r="C13" i="25" s="1"/>
  <c r="L21" i="25"/>
  <c r="C12" i="25" s="1"/>
  <c r="C15" i="25" l="1"/>
  <c r="O30" i="10" l="1"/>
  <c r="G15" i="12" l="1"/>
  <c r="G27" i="12" s="1"/>
  <c r="I35" i="12" l="1"/>
  <c r="K35" i="12" s="1"/>
  <c r="C20" i="10" l="1"/>
  <c r="C19" i="9"/>
  <c r="E19" i="3"/>
  <c r="O20" i="10" l="1"/>
  <c r="F23" i="32"/>
  <c r="Z20" i="10" l="1"/>
  <c r="D19" i="1" l="1"/>
  <c r="D19" i="9" l="1"/>
  <c r="E19" i="1"/>
  <c r="G19" i="1" l="1"/>
  <c r="E19" i="9"/>
  <c r="I19" i="1" l="1"/>
  <c r="G19" i="9"/>
  <c r="I19" i="9" s="1"/>
  <c r="K19" i="1" l="1"/>
  <c r="M19" i="9" s="1"/>
  <c r="K19" i="9"/>
  <c r="C23" i="5" l="1"/>
  <c r="C22" i="5"/>
  <c r="C24" i="5" l="1"/>
  <c r="J43" i="21"/>
  <c r="K43" i="21" s="1"/>
  <c r="G58" i="21" s="1"/>
  <c r="C14" i="5"/>
  <c r="C10" i="5"/>
  <c r="C16" i="5"/>
  <c r="H58" i="21" l="1"/>
  <c r="J58" i="21"/>
  <c r="I58" i="21"/>
  <c r="K58" i="21"/>
  <c r="C17" i="5"/>
  <c r="C11" i="5"/>
  <c r="C12" i="5"/>
  <c r="C15" i="5"/>
  <c r="E12" i="27" l="1"/>
  <c r="AA22" i="10" s="1"/>
  <c r="AA24" i="10" s="1"/>
  <c r="C8" i="5"/>
  <c r="C38" i="16"/>
  <c r="C40" i="16" s="1"/>
  <c r="C9" i="5"/>
  <c r="AB22" i="10" l="1"/>
  <c r="H21" i="1" s="1"/>
  <c r="H23" i="1" s="1"/>
  <c r="J23" i="9" s="1"/>
  <c r="AB24" i="10"/>
  <c r="AB12" i="11" s="1"/>
  <c r="AA12" i="11"/>
  <c r="J21" i="9" l="1"/>
  <c r="C26" i="5" l="1"/>
  <c r="W24" i="10" l="1"/>
  <c r="W12" i="11" s="1"/>
  <c r="W17" i="11" s="1"/>
  <c r="W19" i="11" s="1"/>
  <c r="W22" i="11" s="1"/>
  <c r="W28" i="11" s="1"/>
  <c r="W27" i="10" s="1"/>
  <c r="W32" i="10" l="1"/>
  <c r="W34" i="10" s="1"/>
  <c r="W36" i="11"/>
  <c r="W35" i="11" l="1"/>
  <c r="W37" i="11" l="1"/>
  <c r="W38" i="11" s="1"/>
  <c r="F24" i="32" l="1"/>
  <c r="E29" i="32"/>
  <c r="C28" i="1" s="1"/>
  <c r="C28" i="9" l="1"/>
  <c r="E29" i="3"/>
  <c r="Y42" i="10" l="1"/>
  <c r="D43" i="7"/>
  <c r="E43" i="7" l="1"/>
  <c r="Z42" i="10"/>
  <c r="F43" i="7" l="1"/>
  <c r="G43" i="7" l="1"/>
  <c r="H43" i="7" l="1"/>
  <c r="I43" i="7" l="1"/>
  <c r="J43" i="7" l="1"/>
  <c r="K43" i="7" l="1"/>
  <c r="L43" i="7" l="1"/>
  <c r="M43" i="7" l="1"/>
  <c r="N43" i="7" l="1"/>
  <c r="O43" i="7" l="1"/>
  <c r="G12" i="33"/>
  <c r="Q81" i="7" l="1"/>
  <c r="G10" i="33" s="1"/>
  <c r="P43" i="7"/>
  <c r="Q45" i="7" s="1"/>
  <c r="Q48" i="7" s="1"/>
  <c r="Q38" i="7"/>
  <c r="Q43" i="7" s="1"/>
  <c r="C36" i="3" s="1"/>
  <c r="I13" i="6" s="1"/>
  <c r="G14" i="33" l="1"/>
  <c r="V44" i="10" s="1"/>
  <c r="Y44" i="10" l="1"/>
  <c r="Z44" i="10" l="1"/>
  <c r="G39" i="32" l="1"/>
  <c r="G32" i="32" l="1"/>
  <c r="C29" i="5" l="1"/>
  <c r="H29" i="14" l="1"/>
  <c r="C25" i="5"/>
  <c r="E21" i="19"/>
  <c r="E23" i="19" s="1"/>
  <c r="J37" i="10" s="1"/>
  <c r="J40" i="10" s="1"/>
  <c r="J47" i="10" s="1"/>
  <c r="H30" i="14" l="1"/>
  <c r="E37" i="10" s="1"/>
  <c r="E40" i="10" s="1"/>
  <c r="E47" i="10" s="1"/>
  <c r="J49" i="10"/>
  <c r="J14" i="11" s="1"/>
  <c r="E49" i="10" l="1"/>
  <c r="E14" i="11" l="1"/>
  <c r="C30" i="5" l="1"/>
  <c r="H47" i="13"/>
  <c r="C13" i="5"/>
  <c r="C21" i="28"/>
  <c r="C23" i="28" s="1"/>
  <c r="M22" i="10" s="1"/>
  <c r="M24" i="10" s="1"/>
  <c r="D25" i="6"/>
  <c r="C25" i="6" s="1"/>
  <c r="D21" i="19"/>
  <c r="D23" i="19" s="1"/>
  <c r="J22" i="10" s="1"/>
  <c r="M12" i="11" l="1"/>
  <c r="M17" i="11" s="1"/>
  <c r="M19" i="11" s="1"/>
  <c r="M22" i="11" s="1"/>
  <c r="M28" i="11" s="1"/>
  <c r="M27" i="10" s="1"/>
  <c r="M36" i="11" s="1"/>
  <c r="H48" i="13"/>
  <c r="H36" i="13" s="1"/>
  <c r="I47" i="13"/>
  <c r="F15" i="32"/>
  <c r="J24" i="10"/>
  <c r="J12" i="11" l="1"/>
  <c r="J17" i="11" s="1"/>
  <c r="J19" i="11" s="1"/>
  <c r="J22" i="11" s="1"/>
  <c r="J28" i="11" s="1"/>
  <c r="J27" i="10" s="1"/>
  <c r="J36" i="11" s="1"/>
  <c r="I48" i="13"/>
  <c r="I36" i="13" s="1"/>
  <c r="I37" i="13" s="1"/>
  <c r="J47" i="13"/>
  <c r="H37" i="13"/>
  <c r="M32" i="10"/>
  <c r="M34" i="10" s="1"/>
  <c r="J32" i="10" l="1"/>
  <c r="J34" i="10" s="1"/>
  <c r="M35" i="11"/>
  <c r="M37" i="11" s="1"/>
  <c r="M38" i="11" s="1"/>
  <c r="L47" i="13"/>
  <c r="L48" i="13" s="1"/>
  <c r="J48" i="13"/>
  <c r="J36" i="13" s="1"/>
  <c r="J37" i="13" s="1"/>
  <c r="L36" i="13" l="1"/>
  <c r="D36" i="13" s="1"/>
  <c r="J35" i="11"/>
  <c r="J37" i="11" s="1"/>
  <c r="J38" i="11" s="1"/>
  <c r="L37" i="13" l="1"/>
  <c r="E36" i="13"/>
  <c r="D37" i="13"/>
  <c r="C28" i="5" l="1"/>
  <c r="J44" i="21"/>
  <c r="K44" i="21" s="1"/>
  <c r="G59" i="21" l="1"/>
  <c r="J59" i="21" l="1"/>
  <c r="K59" i="21"/>
  <c r="I59" i="21"/>
  <c r="H59" i="21"/>
  <c r="D13" i="31"/>
  <c r="D15" i="31" s="1"/>
  <c r="D18" i="31" s="1"/>
  <c r="E84" i="7" s="1"/>
  <c r="J13" i="31"/>
  <c r="J15" i="31" s="1"/>
  <c r="J18" i="31" s="1"/>
  <c r="K84" i="7" s="1"/>
  <c r="O13" i="31"/>
  <c r="O15" i="31" s="1"/>
  <c r="O18" i="31" s="1"/>
  <c r="P84" i="7" s="1"/>
  <c r="H12" i="33" s="1"/>
  <c r="K13" i="31"/>
  <c r="K15" i="31" s="1"/>
  <c r="K18" i="31" s="1"/>
  <c r="L84" i="7" s="1"/>
  <c r="L13" i="31"/>
  <c r="L15" i="31" s="1"/>
  <c r="L18" i="31" s="1"/>
  <c r="M84" i="7" s="1"/>
  <c r="E13" i="31"/>
  <c r="E15" i="31" s="1"/>
  <c r="E18" i="31" s="1"/>
  <c r="F84" i="7" s="1"/>
  <c r="M13" i="31"/>
  <c r="M15" i="31" s="1"/>
  <c r="M18" i="31" s="1"/>
  <c r="N84" i="7" s="1"/>
  <c r="H13" i="31"/>
  <c r="H15" i="31" s="1"/>
  <c r="H18" i="31" s="1"/>
  <c r="I84" i="7" s="1"/>
  <c r="I13" i="31"/>
  <c r="I15" i="31" s="1"/>
  <c r="I18" i="31" s="1"/>
  <c r="J84" i="7" s="1"/>
  <c r="G13" i="31"/>
  <c r="G15" i="31" s="1"/>
  <c r="G18" i="31" s="1"/>
  <c r="H84" i="7" s="1"/>
  <c r="N13" i="31"/>
  <c r="N15" i="31" s="1"/>
  <c r="N18" i="31" s="1"/>
  <c r="O84" i="7" s="1"/>
  <c r="F13" i="31"/>
  <c r="F15" i="31" s="1"/>
  <c r="F18" i="31" s="1"/>
  <c r="G84" i="7" s="1"/>
  <c r="P12" i="31" l="1"/>
  <c r="C13" i="31"/>
  <c r="C15" i="31" l="1"/>
  <c r="P13" i="31"/>
  <c r="C18" i="31" l="1"/>
  <c r="P15" i="31"/>
  <c r="D84" i="7" l="1"/>
  <c r="P18" i="31"/>
  <c r="Q84" i="7" l="1"/>
  <c r="H10" i="33" s="1"/>
  <c r="H14" i="33" l="1"/>
  <c r="V45" i="10" s="1"/>
  <c r="Y45" i="10" l="1"/>
  <c r="Z45" i="10" l="1"/>
  <c r="D14" i="17" l="1"/>
  <c r="H37" i="10" s="1"/>
  <c r="H40" i="10" l="1"/>
  <c r="H47" i="10" s="1"/>
  <c r="H49" i="10" s="1"/>
  <c r="H14" i="11" s="1"/>
  <c r="H17" i="11" l="1"/>
  <c r="H19" i="11" s="1"/>
  <c r="H22" i="11" s="1"/>
  <c r="H28" i="11" s="1"/>
  <c r="H27" i="10" s="1"/>
  <c r="H36" i="11" l="1"/>
  <c r="H32" i="10"/>
  <c r="H34" i="10" s="1"/>
  <c r="H35" i="11" l="1"/>
  <c r="H37" i="11" l="1"/>
  <c r="G38" i="32"/>
  <c r="H38" i="11" l="1"/>
  <c r="G40" i="32" l="1"/>
  <c r="E41" i="32"/>
  <c r="F41" i="32" l="1"/>
  <c r="C29" i="1"/>
  <c r="C29" i="9" s="1"/>
  <c r="C11" i="22"/>
  <c r="C15" i="22" s="1"/>
  <c r="U30" i="10" s="1"/>
  <c r="G37" i="32"/>
  <c r="G41" i="32" s="1"/>
  <c r="C30" i="3" s="1"/>
  <c r="E30" i="3" l="1"/>
  <c r="U13" i="11"/>
  <c r="C27" i="5"/>
  <c r="D17" i="6"/>
  <c r="C17" i="6" s="1"/>
  <c r="D48" i="1" s="1"/>
  <c r="U17" i="11" l="1"/>
  <c r="U19" i="11" s="1"/>
  <c r="U22" i="11" s="1"/>
  <c r="U28" i="11" s="1"/>
  <c r="U27" i="10" s="1"/>
  <c r="U36" i="11" l="1"/>
  <c r="U32" i="10"/>
  <c r="U34" i="10" s="1"/>
  <c r="U35" i="11" l="1"/>
  <c r="U37" i="11" l="1"/>
  <c r="U38" i="11" l="1"/>
  <c r="AA30" i="10" l="1"/>
  <c r="AB30" i="10" s="1"/>
  <c r="S30" i="10"/>
  <c r="Y30" i="10" s="1"/>
  <c r="Z30" i="10" s="1"/>
  <c r="S13" i="11" l="1"/>
  <c r="Y13" i="11" s="1"/>
  <c r="AA13" i="11"/>
  <c r="S37" i="10"/>
  <c r="S40" i="10" s="1"/>
  <c r="S47" i="10" s="1"/>
  <c r="AA37" i="10"/>
  <c r="AB37" i="10" s="1"/>
  <c r="AB40" i="10" s="1"/>
  <c r="AB47" i="10" s="1"/>
  <c r="H35" i="1" s="1"/>
  <c r="J35" i="9" s="1"/>
  <c r="D29" i="1"/>
  <c r="Z13" i="11"/>
  <c r="AB13" i="11"/>
  <c r="H29" i="1"/>
  <c r="J29" i="9" s="1"/>
  <c r="AA40" i="10" l="1"/>
  <c r="AA47" i="10" s="1"/>
  <c r="AA49" i="10" s="1"/>
  <c r="D29" i="9"/>
  <c r="E29" i="1"/>
  <c r="S49" i="10"/>
  <c r="S14" i="11" l="1"/>
  <c r="AA14" i="11"/>
  <c r="AA17" i="11" s="1"/>
  <c r="AA19" i="11" s="1"/>
  <c r="AA22" i="11" s="1"/>
  <c r="AA28" i="11" s="1"/>
  <c r="AA27" i="10" s="1"/>
  <c r="AB49" i="10"/>
  <c r="AB14" i="11" s="1"/>
  <c r="AB17" i="11" s="1"/>
  <c r="AB19" i="11" s="1"/>
  <c r="AB22" i="11" s="1"/>
  <c r="AB28" i="11" s="1"/>
  <c r="G29" i="1"/>
  <c r="E29" i="9"/>
  <c r="I29" i="1" l="1"/>
  <c r="G29" i="9"/>
  <c r="I29" i="9" s="1"/>
  <c r="AA36" i="11"/>
  <c r="AB27" i="10"/>
  <c r="AA32" i="10"/>
  <c r="AA34" i="10" s="1"/>
  <c r="S17" i="11"/>
  <c r="S19" i="11" s="1"/>
  <c r="S22" i="11" s="1"/>
  <c r="S28" i="11" s="1"/>
  <c r="S27" i="10" s="1"/>
  <c r="AA35" i="11" l="1"/>
  <c r="H26" i="1"/>
  <c r="AB32" i="10"/>
  <c r="AB34" i="10" s="1"/>
  <c r="AB36" i="11"/>
  <c r="S36" i="11"/>
  <c r="S32" i="10"/>
  <c r="S34" i="10" s="1"/>
  <c r="K29" i="1"/>
  <c r="M29" i="9" s="1"/>
  <c r="K29" i="9"/>
  <c r="J26" i="9" l="1"/>
  <c r="H31" i="1"/>
  <c r="S35" i="11"/>
  <c r="AA37" i="11"/>
  <c r="AB35" i="11"/>
  <c r="H33" i="1" l="1"/>
  <c r="J33" i="9" s="1"/>
  <c r="J31" i="9"/>
  <c r="AB37" i="11"/>
  <c r="AB38" i="11" s="1"/>
  <c r="AA38" i="11"/>
  <c r="S37" i="11"/>
  <c r="S38" i="11" l="1"/>
  <c r="F25" i="32" l="1"/>
  <c r="F29" i="32" s="1"/>
  <c r="G29" i="32"/>
  <c r="C29" i="3" s="1"/>
  <c r="Q60" i="7" l="1"/>
  <c r="Q74" i="7" l="1"/>
  <c r="Q52" i="7" l="1"/>
  <c r="Q66" i="7" l="1"/>
  <c r="N63" i="7" l="1"/>
  <c r="Q61" i="7" l="1"/>
  <c r="G63" i="7"/>
  <c r="L63" i="7"/>
  <c r="J63" i="7"/>
  <c r="H63" i="7"/>
  <c r="Q57" i="7"/>
  <c r="D63" i="7"/>
  <c r="F63" i="7"/>
  <c r="K63" i="7"/>
  <c r="P63" i="7"/>
  <c r="C12" i="33" s="1"/>
  <c r="E63" i="7"/>
  <c r="M63" i="7"/>
  <c r="I63" i="7"/>
  <c r="O63" i="7"/>
  <c r="Q63" i="7" l="1"/>
  <c r="C10" i="33" s="1"/>
  <c r="H77" i="7"/>
  <c r="H86" i="7" s="1"/>
  <c r="E77" i="7"/>
  <c r="E86" i="7" s="1"/>
  <c r="J77" i="7"/>
  <c r="J86" i="7" s="1"/>
  <c r="L77" i="7"/>
  <c r="L86" i="7" s="1"/>
  <c r="Q75" i="7"/>
  <c r="F77" i="7"/>
  <c r="F86" i="7" s="1"/>
  <c r="G77" i="7"/>
  <c r="G86" i="7" s="1"/>
  <c r="M77" i="7"/>
  <c r="M86" i="7" s="1"/>
  <c r="P77" i="7"/>
  <c r="D12" i="33" s="1"/>
  <c r="I77" i="7"/>
  <c r="I86" i="7" s="1"/>
  <c r="O77" i="7"/>
  <c r="O86" i="7" s="1"/>
  <c r="K77" i="7"/>
  <c r="K86" i="7" s="1"/>
  <c r="N77" i="7"/>
  <c r="N86" i="7" s="1"/>
  <c r="D77" i="7"/>
  <c r="D86" i="7" s="1"/>
  <c r="Q71" i="7"/>
  <c r="Q77" i="7" l="1"/>
  <c r="C14" i="33"/>
  <c r="V37" i="10" s="1"/>
  <c r="P86" i="7"/>
  <c r="D10" i="33" l="1"/>
  <c r="D14" i="33" s="1"/>
  <c r="V38" i="10" s="1"/>
  <c r="Y38" i="10" s="1"/>
  <c r="Z38" i="10" s="1"/>
  <c r="Q86" i="7"/>
  <c r="Y37" i="10"/>
  <c r="V40" i="10" l="1"/>
  <c r="V47" i="10" s="1"/>
  <c r="V49" i="10" s="1"/>
  <c r="C35" i="1"/>
  <c r="C35" i="9" s="1"/>
  <c r="D32" i="5"/>
  <c r="C32" i="5" s="1"/>
  <c r="Y40" i="10"/>
  <c r="Y47" i="10" s="1"/>
  <c r="Y49" i="10" s="1"/>
  <c r="C13" i="6" l="1"/>
  <c r="E36" i="3"/>
  <c r="D31" i="5"/>
  <c r="C31" i="5" s="1"/>
  <c r="V14" i="11"/>
  <c r="V17" i="11" l="1"/>
  <c r="V19" i="11" s="1"/>
  <c r="V22" i="11" s="1"/>
  <c r="V28" i="11" s="1"/>
  <c r="V27" i="10" s="1"/>
  <c r="Y14" i="11"/>
  <c r="V32" i="10" l="1"/>
  <c r="V34" i="10" s="1"/>
  <c r="V36" i="11"/>
  <c r="V35" i="11" l="1"/>
  <c r="V37" i="11" l="1"/>
  <c r="D20" i="5" l="1"/>
  <c r="V38" i="11"/>
  <c r="X28" i="11"/>
  <c r="X27" i="10" s="1"/>
  <c r="X36" i="11" l="1"/>
  <c r="X32" i="10"/>
  <c r="X34" i="10" s="1"/>
  <c r="X35" i="11" l="1"/>
  <c r="X37" i="11" l="1"/>
  <c r="X38" i="11" l="1"/>
  <c r="C18" i="5" l="1"/>
  <c r="C29" i="23"/>
  <c r="J36" i="21"/>
  <c r="J41" i="25"/>
  <c r="J42" i="25" s="1"/>
  <c r="C22" i="25" s="1"/>
  <c r="C24" i="25" s="1"/>
  <c r="E24" i="25" s="1"/>
  <c r="C31" i="23" l="1"/>
  <c r="D15" i="25"/>
  <c r="K36" i="21"/>
  <c r="J37" i="21"/>
  <c r="G51" i="21" l="1"/>
  <c r="E15" i="25"/>
  <c r="E26" i="25" s="1"/>
  <c r="Q22" i="10" s="1"/>
  <c r="Q24" i="10" s="1"/>
  <c r="D40" i="25"/>
  <c r="E40" i="25" s="1"/>
  <c r="Q29" i="10" s="1"/>
  <c r="Y29" i="10" s="1"/>
  <c r="K37" i="21"/>
  <c r="G52" i="21" s="1"/>
  <c r="J38" i="21"/>
  <c r="P22" i="10"/>
  <c r="Q12" i="11" l="1"/>
  <c r="Q17" i="11" s="1"/>
  <c r="Q19" i="11" s="1"/>
  <c r="Q22" i="11" s="1"/>
  <c r="Q28" i="11" s="1"/>
  <c r="Q27" i="10" s="1"/>
  <c r="Q36" i="11" s="1"/>
  <c r="K38" i="21"/>
  <c r="G53" i="21" s="1"/>
  <c r="J39" i="21"/>
  <c r="K52" i="21"/>
  <c r="H52" i="21"/>
  <c r="J52" i="21"/>
  <c r="I52" i="21"/>
  <c r="P24" i="10"/>
  <c r="P12" i="11" s="1"/>
  <c r="Y22" i="10"/>
  <c r="Y24" i="10" s="1"/>
  <c r="K51" i="21"/>
  <c r="J51" i="21"/>
  <c r="I51" i="21"/>
  <c r="H51" i="21"/>
  <c r="P17" i="11" l="1"/>
  <c r="P19" i="11" s="1"/>
  <c r="P22" i="11" s="1"/>
  <c r="P28" i="11" s="1"/>
  <c r="P27" i="10" s="1"/>
  <c r="Y12" i="11"/>
  <c r="Y17" i="11" s="1"/>
  <c r="Y19" i="11" s="1"/>
  <c r="Y22" i="11" s="1"/>
  <c r="Y28" i="11" s="1"/>
  <c r="K39" i="21"/>
  <c r="J40" i="21"/>
  <c r="J53" i="21"/>
  <c r="I53" i="21"/>
  <c r="H53" i="21"/>
  <c r="K53" i="21"/>
  <c r="Q32" i="10"/>
  <c r="Q34" i="10" s="1"/>
  <c r="G54" i="21" l="1"/>
  <c r="J41" i="21"/>
  <c r="K40" i="21"/>
  <c r="G55" i="21" s="1"/>
  <c r="P32" i="10"/>
  <c r="P34" i="10" s="1"/>
  <c r="P36" i="11"/>
  <c r="Y27" i="10"/>
  <c r="Q35" i="11"/>
  <c r="Q37" i="11" s="1"/>
  <c r="Q38" i="11" s="1"/>
  <c r="P35" i="11" l="1"/>
  <c r="Y32" i="10"/>
  <c r="Y34" i="10" s="1"/>
  <c r="J42" i="21"/>
  <c r="K42" i="21" s="1"/>
  <c r="G57" i="21" s="1"/>
  <c r="K41" i="21"/>
  <c r="G56" i="21" s="1"/>
  <c r="Y36" i="11"/>
  <c r="K55" i="21"/>
  <c r="I55" i="21"/>
  <c r="J55" i="21"/>
  <c r="H55" i="21"/>
  <c r="K54" i="21"/>
  <c r="H54" i="21"/>
  <c r="I54" i="21"/>
  <c r="J54" i="21"/>
  <c r="K45" i="21" l="1"/>
  <c r="K56" i="21"/>
  <c r="J56" i="21"/>
  <c r="H56" i="21"/>
  <c r="I56" i="21"/>
  <c r="I57" i="21"/>
  <c r="K57" i="21"/>
  <c r="J57" i="21"/>
  <c r="J60" i="21" s="1"/>
  <c r="H57" i="21"/>
  <c r="G60" i="21"/>
  <c r="P37" i="11"/>
  <c r="Y35" i="11"/>
  <c r="I60" i="21" l="1"/>
  <c r="D12" i="21" s="1"/>
  <c r="L37" i="10" s="1"/>
  <c r="K60" i="21"/>
  <c r="H60" i="21"/>
  <c r="D10" i="21" s="1"/>
  <c r="Y37" i="11"/>
  <c r="Y38" i="11" s="1"/>
  <c r="P38" i="11"/>
  <c r="L22" i="10" l="1"/>
  <c r="L24" i="10" s="1"/>
  <c r="L12" i="11" s="1"/>
  <c r="L40" i="10"/>
  <c r="L47" i="10" s="1"/>
  <c r="O37" i="10"/>
  <c r="O40" i="10" l="1"/>
  <c r="O47" i="10" s="1"/>
  <c r="Z37" i="10"/>
  <c r="Z40" i="10" s="1"/>
  <c r="Z47" i="10" s="1"/>
  <c r="D35" i="1" s="1"/>
  <c r="L49" i="10"/>
  <c r="E35" i="1" l="1"/>
  <c r="D35" i="9"/>
  <c r="L14" i="11"/>
  <c r="Z49" i="10"/>
  <c r="Z14" i="11" s="1"/>
  <c r="O14" i="11" l="1"/>
  <c r="L17" i="11"/>
  <c r="L19" i="11" s="1"/>
  <c r="L22" i="11" s="1"/>
  <c r="L28" i="11" s="1"/>
  <c r="L27" i="10" s="1"/>
  <c r="G35" i="1"/>
  <c r="D47" i="1" s="1"/>
  <c r="E35" i="9"/>
  <c r="L32" i="10" l="1"/>
  <c r="L34" i="10" s="1"/>
  <c r="L36" i="11"/>
  <c r="G35" i="9"/>
  <c r="I35" i="9" s="1"/>
  <c r="I35" i="1"/>
  <c r="D55" i="1"/>
  <c r="K35" i="1" l="1"/>
  <c r="K35" i="9"/>
  <c r="L35" i="11"/>
  <c r="L37" i="11" l="1"/>
  <c r="E55" i="1"/>
  <c r="M35" i="9"/>
  <c r="L38" i="11" l="1"/>
  <c r="C19" i="5" l="1"/>
  <c r="C21" i="5" l="1"/>
  <c r="H25" i="14" l="1"/>
  <c r="C20" i="5"/>
  <c r="H26" i="14" l="1"/>
  <c r="E22" i="10" s="1"/>
  <c r="E24" i="10" l="1"/>
  <c r="E12" i="11" l="1"/>
  <c r="E17" i="11" l="1"/>
  <c r="E19" i="11" s="1"/>
  <c r="E22" i="11" s="1"/>
  <c r="E28" i="11" s="1"/>
  <c r="E27" i="10" s="1"/>
  <c r="E36" i="11" l="1"/>
  <c r="E32" i="10"/>
  <c r="E34" i="10" s="1"/>
  <c r="E35" i="11" l="1"/>
  <c r="E37" i="11" l="1"/>
  <c r="E38" i="11" l="1"/>
  <c r="C20" i="3" l="1"/>
  <c r="C20" i="1"/>
  <c r="C20" i="9" l="1"/>
  <c r="E20" i="3"/>
  <c r="C42" i="16"/>
  <c r="C44" i="16" s="1"/>
  <c r="G21" i="10" s="1"/>
  <c r="G24" i="10" l="1"/>
  <c r="G12" i="11" s="1"/>
  <c r="G17" i="11" l="1"/>
  <c r="G19" i="11" s="1"/>
  <c r="G22" i="11" s="1"/>
  <c r="G28" i="11" s="1"/>
  <c r="G27" i="10" s="1"/>
  <c r="G32" i="10" l="1"/>
  <c r="G34" i="10" s="1"/>
  <c r="G36" i="11"/>
  <c r="G35" i="11" l="1"/>
  <c r="G37" i="11" l="1"/>
  <c r="G38" i="11" l="1"/>
  <c r="F23" i="4" l="1"/>
  <c r="F34" i="4"/>
  <c r="F18" i="4" l="1"/>
  <c r="G23" i="4"/>
  <c r="G18" i="4" l="1"/>
  <c r="G34" i="4"/>
  <c r="E23" i="4"/>
  <c r="E34" i="4"/>
  <c r="E18" i="4" l="1"/>
  <c r="F73" i="4" l="1"/>
  <c r="F81" i="4"/>
  <c r="F105" i="4"/>
  <c r="F42" i="4" l="1"/>
  <c r="F65" i="4"/>
  <c r="E10" i="18"/>
  <c r="F89" i="4"/>
  <c r="E73" i="4"/>
  <c r="G73" i="4"/>
  <c r="E105" i="4"/>
  <c r="G105" i="4"/>
  <c r="E81" i="4"/>
  <c r="G81" i="4"/>
  <c r="F107" i="4" l="1"/>
  <c r="C21" i="1" s="1"/>
  <c r="G42" i="4"/>
  <c r="G89" i="4"/>
  <c r="E65" i="4"/>
  <c r="G65" i="4"/>
  <c r="G107" i="4" s="1"/>
  <c r="E20" i="18"/>
  <c r="E27" i="18" s="1"/>
  <c r="I22" i="10" s="1"/>
  <c r="E89" i="4"/>
  <c r="E42" i="4"/>
  <c r="E21" i="3" l="1"/>
  <c r="E23" i="3" s="1"/>
  <c r="C21" i="9"/>
  <c r="C23" i="9" s="1"/>
  <c r="E107" i="4"/>
  <c r="C21" i="3" s="1"/>
  <c r="C23" i="3" s="1"/>
  <c r="C23" i="1"/>
  <c r="I24" i="10"/>
  <c r="O22" i="10"/>
  <c r="G108" i="4" l="1"/>
  <c r="F108" i="4"/>
  <c r="Z22" i="10"/>
  <c r="I12" i="11"/>
  <c r="E108" i="4" l="1"/>
  <c r="I17" i="11"/>
  <c r="I19" i="11" s="1"/>
  <c r="I22" i="11" s="1"/>
  <c r="I28" i="11" s="1"/>
  <c r="I27" i="10" s="1"/>
  <c r="I32" i="10" s="1"/>
  <c r="I34" i="10" s="1"/>
  <c r="I35" i="11" s="1"/>
  <c r="D21" i="1"/>
  <c r="E21" i="1" s="1"/>
  <c r="G21" i="1" l="1"/>
  <c r="E21" i="9"/>
  <c r="D21" i="9"/>
  <c r="I36" i="11"/>
  <c r="I37" i="11"/>
  <c r="I21" i="1" l="1"/>
  <c r="G21" i="9"/>
  <c r="I21" i="9" s="1"/>
  <c r="I38" i="11"/>
  <c r="K21" i="9" l="1"/>
  <c r="K21" i="1"/>
  <c r="M21" i="9" s="1"/>
  <c r="E11" i="13" l="1"/>
  <c r="E19" i="32" l="1"/>
  <c r="C14" i="1" s="1"/>
  <c r="F18" i="32" l="1"/>
  <c r="F19" i="32" s="1"/>
  <c r="G19" i="32"/>
  <c r="C14" i="3" s="1"/>
  <c r="E10" i="13"/>
  <c r="E13" i="13" s="1"/>
  <c r="E37" i="13" s="1"/>
  <c r="D15" i="10" s="1"/>
  <c r="C13" i="13"/>
  <c r="C37" i="13" s="1"/>
  <c r="E14" i="3"/>
  <c r="C14" i="9"/>
  <c r="D17" i="10" l="1"/>
  <c r="O15" i="10"/>
  <c r="Z15" i="10" l="1"/>
  <c r="D29" i="10"/>
  <c r="D11" i="11"/>
  <c r="D12" i="11" l="1"/>
  <c r="D14" i="1"/>
  <c r="D14" i="9" l="1"/>
  <c r="E14" i="1"/>
  <c r="D17" i="11"/>
  <c r="D19" i="11" s="1"/>
  <c r="D22" i="11" s="1"/>
  <c r="D28" i="11" s="1"/>
  <c r="D27" i="10" s="1"/>
  <c r="D32" i="10" l="1"/>
  <c r="D34" i="10" s="1"/>
  <c r="D36" i="11"/>
  <c r="G14" i="1"/>
  <c r="E14" i="9"/>
  <c r="I14" i="1" l="1"/>
  <c r="G14" i="9"/>
  <c r="I14" i="9" s="1"/>
  <c r="D35" i="11"/>
  <c r="D37" i="11" l="1"/>
  <c r="K14" i="1"/>
  <c r="M14" i="9" s="1"/>
  <c r="K14" i="9"/>
  <c r="D38" i="11" l="1"/>
  <c r="C15" i="12" l="1"/>
  <c r="D11" i="12"/>
  <c r="D12" i="12"/>
  <c r="D13" i="12"/>
  <c r="C25" i="12" l="1"/>
  <c r="E25" i="12"/>
  <c r="D10" i="12"/>
  <c r="E15" i="12"/>
  <c r="C13" i="1" l="1"/>
  <c r="C13" i="9" l="1"/>
  <c r="E13" i="3"/>
  <c r="C27" i="12" l="1"/>
  <c r="K17" i="12" l="1"/>
  <c r="E27" i="12"/>
  <c r="C12" i="1"/>
  <c r="E12" i="3" l="1"/>
  <c r="E16" i="3" s="1"/>
  <c r="C12" i="9"/>
  <c r="C16" i="9" s="1"/>
  <c r="C16" i="1"/>
  <c r="C11" i="6" s="1"/>
  <c r="C15" i="6" s="1"/>
  <c r="C19" i="6" s="1"/>
  <c r="C23" i="6" s="1"/>
  <c r="C27" i="6" s="1"/>
  <c r="C26" i="1" s="1"/>
  <c r="E37" i="12"/>
  <c r="C31" i="1" l="1"/>
  <c r="C33" i="1" s="1"/>
  <c r="C38" i="1" s="1"/>
  <c r="C40" i="1" s="1"/>
  <c r="E26" i="3"/>
  <c r="E32" i="3" s="1"/>
  <c r="E34" i="3" s="1"/>
  <c r="E39" i="3" s="1"/>
  <c r="C26" i="9"/>
  <c r="C31" i="9" s="1"/>
  <c r="C33" i="9" s="1"/>
  <c r="C38" i="9" s="1"/>
  <c r="C40" i="9" s="1"/>
  <c r="E41" i="3" l="1"/>
  <c r="F41" i="3" s="1"/>
  <c r="F39" i="3"/>
  <c r="C16" i="3" l="1"/>
  <c r="I11" i="6" s="1"/>
  <c r="I15" i="6" s="1"/>
  <c r="I19" i="6" s="1"/>
  <c r="I23" i="6" l="1"/>
  <c r="C27" i="3" s="1"/>
  <c r="I25" i="6" l="1"/>
  <c r="I29" i="6" s="1"/>
  <c r="I33" i="6" s="1"/>
  <c r="C26" i="3" s="1"/>
  <c r="C32" i="3" s="1"/>
  <c r="C34" i="3" s="1"/>
  <c r="C39" i="3" s="1"/>
  <c r="C41" i="3" s="1"/>
  <c r="H23" i="12" l="1"/>
  <c r="H22" i="12" l="1"/>
  <c r="I25" i="12" l="1"/>
  <c r="K25" i="12" s="1"/>
  <c r="C14" i="10" s="1"/>
  <c r="O14" i="10" s="1"/>
  <c r="Z14" i="10" s="1"/>
  <c r="D13" i="1" s="1"/>
  <c r="H21" i="12"/>
  <c r="D13" i="9" l="1"/>
  <c r="E13" i="1"/>
  <c r="E13" i="9" l="1"/>
  <c r="G13" i="1"/>
  <c r="I13" i="1" l="1"/>
  <c r="G13" i="9"/>
  <c r="I13" i="9" s="1"/>
  <c r="K13" i="1" l="1"/>
  <c r="M13" i="9" s="1"/>
  <c r="K13" i="9"/>
  <c r="H10" i="12" l="1"/>
  <c r="H12" i="12"/>
  <c r="H13" i="12"/>
  <c r="H11" i="12" l="1"/>
  <c r="I15" i="12"/>
  <c r="I27" i="12" l="1"/>
  <c r="K15" i="12"/>
  <c r="C13" i="10" s="1"/>
  <c r="C17" i="10" l="1"/>
  <c r="O13" i="10"/>
  <c r="C21" i="10"/>
  <c r="I37" i="12"/>
  <c r="K37" i="12" s="1"/>
  <c r="K27" i="12"/>
  <c r="Z13" i="10" l="1"/>
  <c r="O17" i="10"/>
  <c r="O21" i="10"/>
  <c r="C24" i="10"/>
  <c r="C11" i="11"/>
  <c r="C29" i="10"/>
  <c r="O29" i="10" s="1"/>
  <c r="Z29" i="10" s="1"/>
  <c r="D28" i="1" s="1"/>
  <c r="O24" i="10" l="1"/>
  <c r="Z21" i="10"/>
  <c r="E28" i="1"/>
  <c r="E28" i="9" s="1"/>
  <c r="D28" i="9"/>
  <c r="O11" i="11"/>
  <c r="C12" i="11"/>
  <c r="O12" i="11" s="1"/>
  <c r="D12" i="1"/>
  <c r="Z17" i="10"/>
  <c r="Z11" i="11" s="1"/>
  <c r="O17" i="11" l="1"/>
  <c r="O19" i="11" s="1"/>
  <c r="O22" i="11" s="1"/>
  <c r="O28" i="11" s="1"/>
  <c r="Z24" i="10"/>
  <c r="D20" i="1"/>
  <c r="C17" i="11"/>
  <c r="C19" i="11" s="1"/>
  <c r="C22" i="11" s="1"/>
  <c r="C28" i="11" s="1"/>
  <c r="C27" i="10" s="1"/>
  <c r="D16" i="1"/>
  <c r="E12" i="1"/>
  <c r="D12" i="9"/>
  <c r="D16" i="9" s="1"/>
  <c r="E12" i="9" l="1"/>
  <c r="E16" i="9" s="1"/>
  <c r="E16" i="1"/>
  <c r="D23" i="1"/>
  <c r="E20" i="1"/>
  <c r="D20" i="9"/>
  <c r="D23" i="9" s="1"/>
  <c r="C36" i="11"/>
  <c r="O27" i="10"/>
  <c r="C32" i="10"/>
  <c r="C34" i="10" s="1"/>
  <c r="Z12" i="11"/>
  <c r="Z17" i="11" s="1"/>
  <c r="Z19" i="11" s="1"/>
  <c r="Z22" i="11" s="1"/>
  <c r="Z28" i="11" s="1"/>
  <c r="C35" i="11" l="1"/>
  <c r="E20" i="9"/>
  <c r="E23" i="9" s="1"/>
  <c r="E23" i="1"/>
  <c r="C19" i="8"/>
  <c r="C21" i="8"/>
  <c r="C20" i="8"/>
  <c r="Z27" i="10"/>
  <c r="O32" i="10"/>
  <c r="O34" i="10" s="1"/>
  <c r="O36" i="11"/>
  <c r="C23" i="8" l="1"/>
  <c r="C30" i="8" s="1"/>
  <c r="C31" i="8" s="1"/>
  <c r="C33" i="8" s="1"/>
  <c r="C35" i="8" s="1"/>
  <c r="Z36" i="11"/>
  <c r="D26" i="1"/>
  <c r="Z32" i="10"/>
  <c r="Z34" i="10" s="1"/>
  <c r="C37" i="11"/>
  <c r="O35" i="11"/>
  <c r="Z35" i="11" s="1"/>
  <c r="D26" i="9" l="1"/>
  <c r="D31" i="9" s="1"/>
  <c r="D33" i="9" s="1"/>
  <c r="E26" i="1"/>
  <c r="D31" i="1"/>
  <c r="D33" i="1" s="1"/>
  <c r="C37" i="8"/>
  <c r="C39" i="8" s="1"/>
  <c r="O37" i="11"/>
  <c r="C38" i="11"/>
  <c r="Z37" i="11" l="1"/>
  <c r="Z38" i="11" s="1"/>
  <c r="O38" i="11"/>
  <c r="H51" i="10"/>
  <c r="Q51" i="10"/>
  <c r="V51" i="10"/>
  <c r="AA51" i="10"/>
  <c r="AB51" i="10" s="1"/>
  <c r="R51" i="10"/>
  <c r="P51" i="10"/>
  <c r="I51" i="10"/>
  <c r="D51" i="10"/>
  <c r="E51" i="10"/>
  <c r="G51" i="10"/>
  <c r="U51" i="10"/>
  <c r="M51" i="10"/>
  <c r="T51" i="10"/>
  <c r="S51" i="10"/>
  <c r="F51" i="10"/>
  <c r="L51" i="10"/>
  <c r="W51" i="10"/>
  <c r="K51" i="10"/>
  <c r="J51" i="10"/>
  <c r="X51" i="10"/>
  <c r="N51" i="10"/>
  <c r="C51" i="10"/>
  <c r="E26" i="9"/>
  <c r="E31" i="9" s="1"/>
  <c r="E33" i="9" s="1"/>
  <c r="E38" i="9" s="1"/>
  <c r="E40" i="9" s="1"/>
  <c r="E31" i="1"/>
  <c r="E33" i="1" s="1"/>
  <c r="D56" i="1" l="1"/>
  <c r="D57" i="1" s="1"/>
  <c r="E38" i="1"/>
  <c r="E40" i="1" s="1"/>
  <c r="O51" i="10"/>
  <c r="Y51" i="10"/>
  <c r="Z51" i="10" l="1"/>
  <c r="F12" i="1"/>
  <c r="F20" i="1"/>
  <c r="F28" i="1"/>
  <c r="F26" i="1" l="1"/>
  <c r="F26" i="9" s="1"/>
  <c r="F23" i="1"/>
  <c r="F20" i="9"/>
  <c r="F23" i="9" s="1"/>
  <c r="G20" i="1"/>
  <c r="F12" i="9"/>
  <c r="F16" i="9" s="1"/>
  <c r="F2" i="1"/>
  <c r="F16" i="1"/>
  <c r="G12" i="1"/>
  <c r="F28" i="9"/>
  <c r="G28" i="1"/>
  <c r="G26" i="1" l="1"/>
  <c r="D51" i="1" s="1"/>
  <c r="F31" i="1"/>
  <c r="F31" i="9"/>
  <c r="F33" i="9" s="1"/>
  <c r="M16" i="1"/>
  <c r="F33" i="1"/>
  <c r="G23" i="1"/>
  <c r="I20" i="1"/>
  <c r="G20" i="9"/>
  <c r="I28" i="1"/>
  <c r="G28" i="9"/>
  <c r="I28" i="9" s="1"/>
  <c r="G12" i="9"/>
  <c r="G16" i="1"/>
  <c r="I12" i="1"/>
  <c r="G26" i="9" l="1"/>
  <c r="I26" i="9" s="1"/>
  <c r="G31" i="1"/>
  <c r="G33" i="1" s="1"/>
  <c r="D46" i="1" s="1"/>
  <c r="D49" i="1" s="1"/>
  <c r="D50" i="1" s="1"/>
  <c r="D52" i="1" s="1"/>
  <c r="I26" i="1"/>
  <c r="K26" i="9" s="1"/>
  <c r="K28" i="9"/>
  <c r="I20" i="9"/>
  <c r="G23" i="9"/>
  <c r="I16" i="1"/>
  <c r="K12" i="9"/>
  <c r="I23" i="1"/>
  <c r="K20" i="9"/>
  <c r="I12" i="9"/>
  <c r="G16" i="9"/>
  <c r="D59" i="1" l="1"/>
  <c r="K23" i="9"/>
  <c r="I31" i="1"/>
  <c r="I33" i="1" s="1"/>
  <c r="K16" i="9"/>
  <c r="I16" i="9"/>
  <c r="G31" i="9"/>
  <c r="I31" i="9" s="1"/>
  <c r="I23" i="9"/>
  <c r="G33" i="9" l="1"/>
  <c r="I33" i="9" s="1"/>
  <c r="K31" i="9"/>
  <c r="I38" i="1"/>
  <c r="E56" i="1"/>
  <c r="E57" i="1" s="1"/>
  <c r="K33" i="9"/>
  <c r="K38" i="9" l="1"/>
  <c r="I40" i="1"/>
  <c r="K40" i="9" s="1"/>
  <c r="J12" i="1"/>
  <c r="J20" i="1"/>
  <c r="J28" i="1"/>
  <c r="J26" i="1" l="1"/>
  <c r="K26" i="1" s="1"/>
  <c r="M26" i="9" s="1"/>
  <c r="J23" i="1"/>
  <c r="L20" i="9"/>
  <c r="K20" i="1"/>
  <c r="M20" i="9" s="1"/>
  <c r="J2" i="1"/>
  <c r="J3" i="1" s="1"/>
  <c r="J16" i="1"/>
  <c r="L12" i="9"/>
  <c r="K12" i="1"/>
  <c r="M12" i="9" s="1"/>
  <c r="L28" i="9"/>
  <c r="K28" i="1"/>
  <c r="M28" i="9" s="1"/>
  <c r="L26" i="9" l="1"/>
  <c r="N16" i="1"/>
  <c r="L16" i="9"/>
  <c r="K16" i="1"/>
  <c r="M16" i="9" s="1"/>
  <c r="J31" i="1"/>
  <c r="L23" i="9"/>
  <c r="K23" i="1"/>
  <c r="M23" i="9" s="1"/>
  <c r="L31" i="9" l="1"/>
  <c r="K31" i="1"/>
  <c r="M31" i="9" s="1"/>
  <c r="J33" i="1"/>
  <c r="L33" i="9" l="1"/>
  <c r="K33" i="1"/>
  <c r="M33" i="9" l="1"/>
  <c r="E59" i="1"/>
</calcChain>
</file>

<file path=xl/sharedStrings.xml><?xml version="1.0" encoding="utf-8"?>
<sst xmlns="http://schemas.openxmlformats.org/spreadsheetml/2006/main" count="1599" uniqueCount="813">
  <si>
    <t>NW Natural</t>
  </si>
  <si>
    <t>Northwest Natural Gas Company</t>
  </si>
  <si>
    <t>Washington Rate Case</t>
  </si>
  <si>
    <t>Test Period Actuals Tax Adjustment</t>
  </si>
  <si>
    <t>Bonus Adjustment</t>
  </si>
  <si>
    <t>Uncollectible Accounts Adjustments</t>
  </si>
  <si>
    <t>Claims Expense Adjustment</t>
  </si>
  <si>
    <t>System</t>
  </si>
  <si>
    <t>Washington</t>
  </si>
  <si>
    <t>Oregon</t>
  </si>
  <si>
    <t>($000)</t>
  </si>
  <si>
    <t>Test Year</t>
  </si>
  <si>
    <t>Proposed</t>
  </si>
  <si>
    <t>Test Year at</t>
  </si>
  <si>
    <t>Weather</t>
  </si>
  <si>
    <t>Line</t>
  </si>
  <si>
    <t>Results</t>
  </si>
  <si>
    <t>Rate</t>
  </si>
  <si>
    <t>May</t>
  </si>
  <si>
    <t xml:space="preserve">Line </t>
  </si>
  <si>
    <t>Percent of</t>
  </si>
  <si>
    <t>Weighted</t>
  </si>
  <si>
    <t xml:space="preserve">Normalized </t>
  </si>
  <si>
    <t>Payroll</t>
  </si>
  <si>
    <t>Working</t>
  </si>
  <si>
    <t>Marketing and</t>
  </si>
  <si>
    <t>Adjustment</t>
  </si>
  <si>
    <t>Three Year</t>
  </si>
  <si>
    <t>Expensed</t>
  </si>
  <si>
    <t>Disallowance</t>
  </si>
  <si>
    <t>Disallowed</t>
  </si>
  <si>
    <t>No.</t>
  </si>
  <si>
    <t>Adjustments</t>
  </si>
  <si>
    <t>Adjusted</t>
  </si>
  <si>
    <t>Increase</t>
  </si>
  <si>
    <t>Equity Return</t>
  </si>
  <si>
    <t>Gross Plant</t>
  </si>
  <si>
    <t>Average</t>
  </si>
  <si>
    <t xml:space="preserve"> No.</t>
  </si>
  <si>
    <t>Total Capital</t>
  </si>
  <si>
    <t>Average Cost</t>
  </si>
  <si>
    <t>Cost</t>
  </si>
  <si>
    <t xml:space="preserve">Gas Sales </t>
  </si>
  <si>
    <t>Bonus</t>
  </si>
  <si>
    <t>Accounts</t>
  </si>
  <si>
    <t>Capital</t>
  </si>
  <si>
    <t>Claims</t>
  </si>
  <si>
    <t>Normalized</t>
  </si>
  <si>
    <t>Allocation</t>
  </si>
  <si>
    <t>Accrual</t>
  </si>
  <si>
    <t>Amount</t>
  </si>
  <si>
    <t>Percent</t>
  </si>
  <si>
    <t>Customers-all</t>
  </si>
  <si>
    <t>O&amp;M Expense</t>
  </si>
  <si>
    <t>Construction</t>
  </si>
  <si>
    <t>(a)</t>
  </si>
  <si>
    <t>(b)</t>
  </si>
  <si>
    <t>(c)</t>
  </si>
  <si>
    <t>(d)</t>
  </si>
  <si>
    <t>(e)</t>
  </si>
  <si>
    <t>&amp; Purchases</t>
  </si>
  <si>
    <t>Revenues</t>
  </si>
  <si>
    <t>Total</t>
  </si>
  <si>
    <t>Actual</t>
  </si>
  <si>
    <t>Cost of Capital</t>
  </si>
  <si>
    <t>(f)</t>
  </si>
  <si>
    <t>(g)</t>
  </si>
  <si>
    <t>(h)</t>
  </si>
  <si>
    <t>(i)</t>
  </si>
  <si>
    <t>(j)</t>
  </si>
  <si>
    <t>(k)</t>
  </si>
  <si>
    <t>(n)</t>
  </si>
  <si>
    <t>(o)</t>
  </si>
  <si>
    <t>Performance Bonus - O &amp; M</t>
  </si>
  <si>
    <t>Operating Revenues</t>
  </si>
  <si>
    <t xml:space="preserve">   Average</t>
  </si>
  <si>
    <t>Gas Revenues</t>
  </si>
  <si>
    <t xml:space="preserve">   Sale of Gas                                                     </t>
  </si>
  <si>
    <t>Utility Income before Interest and Taxes</t>
  </si>
  <si>
    <t xml:space="preserve">   Long Term Debt</t>
  </si>
  <si>
    <t>Residential</t>
  </si>
  <si>
    <t xml:space="preserve">    Residential </t>
  </si>
  <si>
    <t>Expensed during Test period</t>
  </si>
  <si>
    <t xml:space="preserve">   Transportation                                                </t>
  </si>
  <si>
    <t xml:space="preserve">   Short Term Debt</t>
  </si>
  <si>
    <t xml:space="preserve">   Sale of Gas</t>
  </si>
  <si>
    <t xml:space="preserve">    Commercial</t>
  </si>
  <si>
    <t xml:space="preserve">   Miscellaneous Revenues</t>
  </si>
  <si>
    <t>Interest on Historic Average Rate Base</t>
  </si>
  <si>
    <t xml:space="preserve">   Transportation</t>
  </si>
  <si>
    <t xml:space="preserve">    Industrial</t>
  </si>
  <si>
    <t>Normalized Expenses</t>
  </si>
  <si>
    <t>Accumulated Depreciation</t>
  </si>
  <si>
    <t xml:space="preserve">   Common Stock</t>
  </si>
  <si>
    <t>Interruptible</t>
  </si>
  <si>
    <t xml:space="preserve">    Interruptible</t>
  </si>
  <si>
    <t xml:space="preserve">      Total Operating Revenues</t>
  </si>
  <si>
    <t>Pre-Tax Net Income</t>
  </si>
  <si>
    <t xml:space="preserve">       Total </t>
  </si>
  <si>
    <t xml:space="preserve">      Total </t>
  </si>
  <si>
    <t>Performance Bonus - Construction</t>
  </si>
  <si>
    <t>3-factor</t>
  </si>
  <si>
    <t xml:space="preserve">      Subtotal</t>
  </si>
  <si>
    <t>Operating Revenue Deductions</t>
  </si>
  <si>
    <t>Net Write-Offs</t>
  </si>
  <si>
    <t xml:space="preserve">   Gas Purchased</t>
  </si>
  <si>
    <t>Customer Advances</t>
  </si>
  <si>
    <t>Direct</t>
  </si>
  <si>
    <t>Revenue Sensitive Costs</t>
  </si>
  <si>
    <t>Adjustment - System (line 4 - line 1)</t>
  </si>
  <si>
    <t xml:space="preserve">   Uncollectible Accrual for Gas Sales </t>
  </si>
  <si>
    <t xml:space="preserve">   Other Operating &amp; Maintenance Expenses   </t>
  </si>
  <si>
    <t xml:space="preserve">   Gas Sales </t>
  </si>
  <si>
    <t xml:space="preserve">   Uncollectible Accrual</t>
  </si>
  <si>
    <t xml:space="preserve">Allocation to Washington </t>
  </si>
  <si>
    <t xml:space="preserve">Tax Rate </t>
  </si>
  <si>
    <t xml:space="preserve">   Other Operating &amp; Maintenance Expenses</t>
  </si>
  <si>
    <t>Unaccounted For Gas</t>
  </si>
  <si>
    <t xml:space="preserve">   (O&amp;M on 3-factor, const on gross plant)</t>
  </si>
  <si>
    <t xml:space="preserve">      Total Operating &amp; Maintenance Expense</t>
  </si>
  <si>
    <t>Leasehold Improvements</t>
  </si>
  <si>
    <t xml:space="preserve">   Other</t>
  </si>
  <si>
    <t>Deferred Taxes</t>
  </si>
  <si>
    <t>Write-Off % - 3-Year Average</t>
  </si>
  <si>
    <t xml:space="preserve">   Federal Income Tax</t>
  </si>
  <si>
    <t xml:space="preserve">   Property Taxes</t>
  </si>
  <si>
    <t xml:space="preserve">   O &amp; M - Uncollectible </t>
  </si>
  <si>
    <t/>
  </si>
  <si>
    <t xml:space="preserve">   Oregon Excise Tax</t>
  </si>
  <si>
    <t xml:space="preserve">   Other Taxes</t>
  </si>
  <si>
    <t xml:space="preserve">   Depreciation &amp; Amortization</t>
  </si>
  <si>
    <t xml:space="preserve">   WA Utility Tax</t>
  </si>
  <si>
    <t xml:space="preserve">   WUTC Fee</t>
  </si>
  <si>
    <t xml:space="preserve">      Total Operating Revenue Deductions</t>
  </si>
  <si>
    <t>Average Rate Base</t>
  </si>
  <si>
    <t>Average Deferred Taxes</t>
  </si>
  <si>
    <t xml:space="preserve">Normalized Uncollectible </t>
  </si>
  <si>
    <t xml:space="preserve">        Net Operating Revenues</t>
  </si>
  <si>
    <t>Ending Deferred Taxes</t>
  </si>
  <si>
    <t xml:space="preserve">      Net Operating Revenues</t>
  </si>
  <si>
    <t xml:space="preserve">      Total Rate Base</t>
  </si>
  <si>
    <t xml:space="preserve">   Federal Taxable Income</t>
  </si>
  <si>
    <t>Washington Allocation Factor</t>
  </si>
  <si>
    <t xml:space="preserve">   Utility Plant in Service</t>
  </si>
  <si>
    <t xml:space="preserve">   Rate of Return</t>
  </si>
  <si>
    <t xml:space="preserve">   Total Income Taxes </t>
  </si>
  <si>
    <t xml:space="preserve">   Accumulated Depreciation</t>
  </si>
  <si>
    <t xml:space="preserve">   Return on Common Equity</t>
  </si>
  <si>
    <t xml:space="preserve">      Net Utility Plant</t>
  </si>
  <si>
    <t>Employee Cost</t>
  </si>
  <si>
    <t xml:space="preserve">   Utility Operating Income </t>
  </si>
  <si>
    <t xml:space="preserve">   Storage Gas</t>
  </si>
  <si>
    <t>Washington Allocation of Accrued Amount</t>
  </si>
  <si>
    <t>Tax Check</t>
  </si>
  <si>
    <t>Extraordinary Claims</t>
  </si>
  <si>
    <t xml:space="preserve">   Net-to-gross factor</t>
  </si>
  <si>
    <t xml:space="preserve">   Leasehold Improvements </t>
  </si>
  <si>
    <t xml:space="preserve">     Adjustment (Normalized less Accrued)</t>
  </si>
  <si>
    <t>Pre-tax Net Income</t>
  </si>
  <si>
    <t xml:space="preserve">   Accumulated Deferred Income Taxes</t>
  </si>
  <si>
    <t>Interest on Rate Base</t>
  </si>
  <si>
    <t xml:space="preserve">   Interest Coordination Factor</t>
  </si>
  <si>
    <t>Permanent Differences</t>
  </si>
  <si>
    <t xml:space="preserve"> is used on page 1, column (b)</t>
  </si>
  <si>
    <t xml:space="preserve">   Federal tax rate </t>
  </si>
  <si>
    <t xml:space="preserve">   Interest Coordination</t>
  </si>
  <si>
    <t>Adjustment takes expense from test period accrual to 3 year paid average</t>
  </si>
  <si>
    <t xml:space="preserve">   Variance</t>
  </si>
  <si>
    <t xml:space="preserve">   Uncollectible Accounts</t>
  </si>
  <si>
    <t>Revenue Requirement</t>
  </si>
  <si>
    <t>Incremental Net Operating Revenue</t>
  </si>
  <si>
    <t>Grossed up for Revenue Sensitive</t>
  </si>
  <si>
    <t>Calculated ROR after applied Revenue Requirement</t>
  </si>
  <si>
    <t>Other Taxes</t>
  </si>
  <si>
    <t>Income Tax Calculations</t>
  </si>
  <si>
    <t xml:space="preserve">   Book Revenues</t>
  </si>
  <si>
    <t xml:space="preserve">   State Tax Depreciation</t>
  </si>
  <si>
    <t xml:space="preserve">   Interest Expense (Income)</t>
  </si>
  <si>
    <t xml:space="preserve">   Book/Tax Differences (Sched. M)</t>
  </si>
  <si>
    <t>Rate Base</t>
  </si>
  <si>
    <t>Production</t>
  </si>
  <si>
    <t>Transmission</t>
  </si>
  <si>
    <t>Distribution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</si>
  <si>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</si>
  <si>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</si>
  <si>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</si>
  <si>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</si>
  <si>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</si>
  <si>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</si>
  <si>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>Variance</t>
  </si>
  <si>
    <t>Customers-The Dalles</t>
  </si>
  <si>
    <t>firm volumes</t>
  </si>
  <si>
    <t>sales volumes</t>
  </si>
  <si>
    <t>sendout volumes</t>
  </si>
  <si>
    <t>sales/sendout volumes</t>
  </si>
  <si>
    <t>General</t>
  </si>
  <si>
    <t>Regulatory</t>
  </si>
  <si>
    <t>Telemetering</t>
  </si>
  <si>
    <t>Direct-Wa</t>
  </si>
  <si>
    <t>Direct-Or</t>
  </si>
  <si>
    <t>Gross plant direct assign</t>
  </si>
  <si>
    <t>Depreciation</t>
  </si>
  <si>
    <t>Storage Gas</t>
  </si>
  <si>
    <t>Pre-tax less interest</t>
  </si>
  <si>
    <t>tax calculated</t>
  </si>
  <si>
    <t>tax on line 1</t>
  </si>
  <si>
    <t>variance</t>
  </si>
  <si>
    <t>O&amp;M</t>
  </si>
  <si>
    <t>Const</t>
  </si>
  <si>
    <t>Non-Util</t>
  </si>
  <si>
    <t>Elimination of Clearing Account Balances</t>
  </si>
  <si>
    <t>Account Class</t>
  </si>
  <si>
    <t>Adjustment to O&amp;M</t>
  </si>
  <si>
    <t>Adjustment to Construction</t>
  </si>
  <si>
    <t>Depreciation Factor</t>
  </si>
  <si>
    <t>Other</t>
  </si>
  <si>
    <t>Storage and storage transmission</t>
  </si>
  <si>
    <t xml:space="preserve">   Total Gross Plant</t>
  </si>
  <si>
    <t>Test Period</t>
  </si>
  <si>
    <t>Clearing</t>
  </si>
  <si>
    <t>Adjustments to Test Period</t>
  </si>
  <si>
    <t xml:space="preserve">   Aid in Advance of Construction</t>
  </si>
  <si>
    <t xml:space="preserve">   Book Expenses before Deprec. &amp; Interest</t>
  </si>
  <si>
    <t>Total Adjusted Construction (line 6 + line 12)</t>
  </si>
  <si>
    <t>Total Adjusted O &amp; M (line 3 + line 9)</t>
  </si>
  <si>
    <t xml:space="preserve">     Adjustment to Washington - Rate Base</t>
  </si>
  <si>
    <t xml:space="preserve">     Adjustment to Washington - O&amp;M</t>
  </si>
  <si>
    <t xml:space="preserve">Annualized Wages and Salaries                      </t>
  </si>
  <si>
    <t>Officers</t>
  </si>
  <si>
    <t xml:space="preserve"> No. </t>
  </si>
  <si>
    <t>Average Payroll per Employee</t>
  </si>
  <si>
    <t xml:space="preserve">   Adjustment to O &amp; M Payroll - System</t>
  </si>
  <si>
    <t>Washington Allocation for O&amp;M Payroll</t>
  </si>
  <si>
    <t>Adjustment to O &amp; M Payroll - Washington</t>
  </si>
  <si>
    <t xml:space="preserve">Payroll Overhead Adjustment </t>
  </si>
  <si>
    <t>Health and Life Insurance Adjustment</t>
  </si>
  <si>
    <t>Factor 1/</t>
  </si>
  <si>
    <t>Payroll Tax Adjustment</t>
  </si>
  <si>
    <t xml:space="preserve">      Total Adjustment</t>
  </si>
  <si>
    <t>Payroll - Normalized</t>
  </si>
  <si>
    <t>O&amp;M Payroll - Normalized</t>
  </si>
  <si>
    <t xml:space="preserve">O&amp;M Payroll - Actual </t>
  </si>
  <si>
    <t>1/</t>
  </si>
  <si>
    <t>Overhead</t>
  </si>
  <si>
    <t>Payroll Adjustment - Excluding Bonuses</t>
  </si>
  <si>
    <t>Notes:</t>
  </si>
  <si>
    <t>2/</t>
  </si>
  <si>
    <t>3/</t>
  </si>
  <si>
    <t>Total and Officer columns included to determine company O&amp;M % for some adjustments</t>
  </si>
  <si>
    <t>Payroll - Annualized    3/</t>
  </si>
  <si>
    <t>Total   1/</t>
  </si>
  <si>
    <t>Officers  2/</t>
  </si>
  <si>
    <t>FICA Tax Rate</t>
  </si>
  <si>
    <t>Cost of Capital and Revenue Sensitive Calculations</t>
  </si>
  <si>
    <t>Weather Normalized Gas Sales and Purchases Adjustment</t>
  </si>
  <si>
    <t>1/  Payroll Cost Allocation Factor</t>
  </si>
  <si>
    <t>Page 2</t>
  </si>
  <si>
    <t>Reconnect Charges</t>
  </si>
  <si>
    <t>Late Payment Charges</t>
  </si>
  <si>
    <t>Automated Payment Charge</t>
  </si>
  <si>
    <t>Return Check</t>
  </si>
  <si>
    <t>Field Collection</t>
  </si>
  <si>
    <t>Meter Rentals</t>
  </si>
  <si>
    <t>Utility Property Rental</t>
  </si>
  <si>
    <t>Total Other Op Revenues</t>
  </si>
  <si>
    <t>Property</t>
  </si>
  <si>
    <t>Franchise</t>
  </si>
  <si>
    <t>Regulatory Fee</t>
  </si>
  <si>
    <t>Depreciation Expense</t>
  </si>
  <si>
    <t>Detail of Other Revenues, Other Taxes and Depreciation</t>
  </si>
  <si>
    <t>allocation</t>
  </si>
  <si>
    <t>O&amp;M %</t>
  </si>
  <si>
    <t>(l)</t>
  </si>
  <si>
    <t>(m)</t>
  </si>
  <si>
    <t>Direct &amp; Gross Plant</t>
  </si>
  <si>
    <t>CNG and LNG Refueling</t>
  </si>
  <si>
    <t>Subtotal Rate Base</t>
  </si>
  <si>
    <t xml:space="preserve">     Total Rate Base</t>
  </si>
  <si>
    <t>Rate Case</t>
  </si>
  <si>
    <t>Outside Services - Washington Rate Case</t>
  </si>
  <si>
    <t>Rate Case Expense Adjustment</t>
  </si>
  <si>
    <t>3-Year Average for rate case frequency</t>
  </si>
  <si>
    <t>Health and Life O&amp;M Costs - Current Cost</t>
  </si>
  <si>
    <t>Health and Life O&amp;M Costs - Actual Test Period O&amp;M</t>
  </si>
  <si>
    <t>Pension Costs - Test Period Actual O&amp;M</t>
  </si>
  <si>
    <t>Property Tax Adjustment</t>
  </si>
  <si>
    <t>Property Taxes - Test Period Expense</t>
  </si>
  <si>
    <t>Tax</t>
  </si>
  <si>
    <t>Adjustments to Miscellaneous Revenues</t>
  </si>
  <si>
    <t xml:space="preserve">No. </t>
  </si>
  <si>
    <t>Revenue &amp; Technical Adjustments</t>
  </si>
  <si>
    <t>Subtotal</t>
  </si>
  <si>
    <t>Other Miscellaneous Revenues</t>
  </si>
  <si>
    <t>DSM - Amortization</t>
  </si>
  <si>
    <t>(p)</t>
  </si>
  <si>
    <t>(q)</t>
  </si>
  <si>
    <t>Misc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</si>
  <si>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</si>
  <si>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</si>
  <si>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</si>
  <si>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</si>
  <si>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</si>
  <si>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</si>
  <si>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</si>
  <si>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</si>
  <si>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</si>
  <si>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</si>
  <si>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</si>
  <si>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Unbilled amounts</t>
  </si>
  <si>
    <t>Rate Base - System &amp; Washington</t>
  </si>
  <si>
    <t>Factor</t>
  </si>
  <si>
    <t>(Residential</t>
  </si>
  <si>
    <t>Customers)</t>
  </si>
  <si>
    <t>Allocated</t>
  </si>
  <si>
    <t>Marketing</t>
  </si>
  <si>
    <t>NBU</t>
  </si>
  <si>
    <t>BU</t>
  </si>
  <si>
    <t>Washington Allocated Results</t>
  </si>
  <si>
    <t>Marketing and Customer Communications Adjustment</t>
  </si>
  <si>
    <t>Commercial</t>
  </si>
  <si>
    <t>Industrial Firm</t>
  </si>
  <si>
    <t>Uncollectible</t>
  </si>
  <si>
    <t>Restating</t>
  </si>
  <si>
    <t>Pro Forma</t>
  </si>
  <si>
    <t>(r)</t>
  </si>
  <si>
    <t>(s)</t>
  </si>
  <si>
    <t>Cust. Comm.</t>
  </si>
  <si>
    <t>Total O&amp;M Adjustment</t>
  </si>
  <si>
    <t>Operations and Maintenance Expense: Allocation of System Amounts</t>
  </si>
  <si>
    <t>Natural Gas Storage</t>
  </si>
  <si>
    <t>Underground Storage Expense</t>
  </si>
  <si>
    <t>Operation</t>
  </si>
  <si>
    <t>816</t>
  </si>
  <si>
    <t>Wells Expense</t>
  </si>
  <si>
    <t>818</t>
  </si>
  <si>
    <t>Compressor Station Expense</t>
  </si>
  <si>
    <t>820</t>
  </si>
  <si>
    <t>Measuring and Regulator Station Expense</t>
  </si>
  <si>
    <t>821</t>
  </si>
  <si>
    <t>Purification Expense</t>
  </si>
  <si>
    <t>Maintenance</t>
  </si>
  <si>
    <t>832</t>
  </si>
  <si>
    <t>Total Underground Storage Expense</t>
  </si>
  <si>
    <t>Other Storage Expense</t>
  </si>
  <si>
    <t>840</t>
  </si>
  <si>
    <t>Supervision and Engineering</t>
  </si>
  <si>
    <t>Total Other Storage Expense</t>
  </si>
  <si>
    <t>Liquified Natural Gas Expense</t>
  </si>
  <si>
    <t>844</t>
  </si>
  <si>
    <t>847</t>
  </si>
  <si>
    <t>Total Liquified Natural Gas Expense</t>
  </si>
  <si>
    <t>Total Natural Gas Storage</t>
  </si>
  <si>
    <t>Transmission Expense</t>
  </si>
  <si>
    <t>856</t>
  </si>
  <si>
    <t>Mains Expense</t>
  </si>
  <si>
    <t>863</t>
  </si>
  <si>
    <t>Maintenance of Mains</t>
  </si>
  <si>
    <t>Total Transmission Expense</t>
  </si>
  <si>
    <t>Distribution Expense</t>
  </si>
  <si>
    <t>870</t>
  </si>
  <si>
    <t>874</t>
  </si>
  <si>
    <t>Mains and Services Expense</t>
  </si>
  <si>
    <t>875</t>
  </si>
  <si>
    <t>Measuring and Regulator Station Expense - General</t>
  </si>
  <si>
    <t>877</t>
  </si>
  <si>
    <t>Measuring and Regulator Station Expense - City Gate</t>
  </si>
  <si>
    <t>878</t>
  </si>
  <si>
    <t>Meter and House Regulator Expense</t>
  </si>
  <si>
    <t>879</t>
  </si>
  <si>
    <t>Customer Installation Expense</t>
  </si>
  <si>
    <t>880</t>
  </si>
  <si>
    <t>Other Expense</t>
  </si>
  <si>
    <t>881</t>
  </si>
  <si>
    <t>Rents</t>
  </si>
  <si>
    <t>885</t>
  </si>
  <si>
    <t>887</t>
  </si>
  <si>
    <t>Mains</t>
  </si>
  <si>
    <t>889</t>
  </si>
  <si>
    <t>891</t>
  </si>
  <si>
    <t>892</t>
  </si>
  <si>
    <t>Services</t>
  </si>
  <si>
    <t>893</t>
  </si>
  <si>
    <t>Meters and House Regulators</t>
  </si>
  <si>
    <t>894</t>
  </si>
  <si>
    <t>Other Equipment</t>
  </si>
  <si>
    <t>Total Distribution Expense</t>
  </si>
  <si>
    <t>Customer Accounts Expense</t>
  </si>
  <si>
    <t>901</t>
  </si>
  <si>
    <t>Supervision</t>
  </si>
  <si>
    <t>902</t>
  </si>
  <si>
    <t>Meter Reading Expenses</t>
  </si>
  <si>
    <t>903</t>
  </si>
  <si>
    <t>Customer Records and Collection Expense</t>
  </si>
  <si>
    <t>904</t>
  </si>
  <si>
    <t>Uncollectible Accounts</t>
  </si>
  <si>
    <t>Total Customer Accounts Expense</t>
  </si>
  <si>
    <t>Customer Service and Informational</t>
  </si>
  <si>
    <t>907</t>
  </si>
  <si>
    <t>908</t>
  </si>
  <si>
    <t>Customer Assistance Expense</t>
  </si>
  <si>
    <t>Customer Information Expense</t>
  </si>
  <si>
    <t>910</t>
  </si>
  <si>
    <t>Miscellaneous Customer Service Expense</t>
  </si>
  <si>
    <t>Total Customer Service and Informational</t>
  </si>
  <si>
    <t>Sales Expense</t>
  </si>
  <si>
    <t>911</t>
  </si>
  <si>
    <t>912</t>
  </si>
  <si>
    <t>Demonstration and Selling Expense</t>
  </si>
  <si>
    <t>913</t>
  </si>
  <si>
    <t>Advertising</t>
  </si>
  <si>
    <t>916</t>
  </si>
  <si>
    <t>Miscellaneous Sales Expense</t>
  </si>
  <si>
    <t>Total Sales Expense</t>
  </si>
  <si>
    <t>Administrative and General Expense</t>
  </si>
  <si>
    <t>921</t>
  </si>
  <si>
    <t>Office Supplies and Expense</t>
  </si>
  <si>
    <t>922</t>
  </si>
  <si>
    <t>Administrative Expenses Transferred - Credit</t>
  </si>
  <si>
    <t>924</t>
  </si>
  <si>
    <t>Property Insurance Premium</t>
  </si>
  <si>
    <t>925</t>
  </si>
  <si>
    <t>Injuries and Damages</t>
  </si>
  <si>
    <t>926</t>
  </si>
  <si>
    <t>Employee Pensions and Benefits</t>
  </si>
  <si>
    <t>928</t>
  </si>
  <si>
    <t>Regulatory Commission Expense</t>
  </si>
  <si>
    <t>930</t>
  </si>
  <si>
    <t>Miscellaneous General Expense</t>
  </si>
  <si>
    <t>931</t>
  </si>
  <si>
    <t>935</t>
  </si>
  <si>
    <t>Maintenance of General Plant</t>
  </si>
  <si>
    <t>Total Administrative and General Expense</t>
  </si>
  <si>
    <t>Total Operations and Maintenance Expense</t>
  </si>
  <si>
    <t xml:space="preserve">   3-Year Average</t>
  </si>
  <si>
    <t>WA GREAT, WA-LIEE</t>
  </si>
  <si>
    <t>13 Month</t>
  </si>
  <si>
    <t>AMA</t>
  </si>
  <si>
    <t>Commodity and Demand Amortizations</t>
  </si>
  <si>
    <t>Therm</t>
  </si>
  <si>
    <t>Deliveries</t>
  </si>
  <si>
    <t>and Margin</t>
  </si>
  <si>
    <t>Sales Volumes and Revenues</t>
  </si>
  <si>
    <t xml:space="preserve">   Total Sales of Gas Revenues</t>
  </si>
  <si>
    <t>Transportation Volumes and Revenues</t>
  </si>
  <si>
    <t>Firm</t>
  </si>
  <si>
    <t>Special Contracts - Firm</t>
  </si>
  <si>
    <t xml:space="preserve">   Total Transportation</t>
  </si>
  <si>
    <t>Total Deliveries and Revenues</t>
  </si>
  <si>
    <t>Gas Costs</t>
  </si>
  <si>
    <t xml:space="preserve">  Total Cost of Gas</t>
  </si>
  <si>
    <t>Total Margin</t>
  </si>
  <si>
    <t>Washington Normalized Amount</t>
  </si>
  <si>
    <t>Allocation Factor (Customers - All)</t>
  </si>
  <si>
    <t>Federal Income Tax</t>
  </si>
  <si>
    <t>Expense</t>
  </si>
  <si>
    <t>Average Employee Count - Test Period</t>
  </si>
  <si>
    <t xml:space="preserve">   (line 3 / line 2)    </t>
  </si>
  <si>
    <t xml:space="preserve">   (line 4 * line 1)    </t>
  </si>
  <si>
    <t>Customers-Residential</t>
  </si>
  <si>
    <t>Customers-Commercial</t>
  </si>
  <si>
    <t>Customers-Industrial</t>
  </si>
  <si>
    <t>Admin Transfer</t>
  </si>
  <si>
    <t>Perimeter</t>
  </si>
  <si>
    <t>Intangible Software</t>
  </si>
  <si>
    <t>Intangible Other</t>
  </si>
  <si>
    <t>Land</t>
  </si>
  <si>
    <t>Structures</t>
  </si>
  <si>
    <t>Reserve</t>
  </si>
  <si>
    <t xml:space="preserve">   Total Reserve</t>
  </si>
  <si>
    <t>Earnings Before Tax</t>
  </si>
  <si>
    <t xml:space="preserve">   Total Rev Sensitive Costs Incl Tax</t>
  </si>
  <si>
    <t>Normals</t>
  </si>
  <si>
    <t>no trend - 3 year average</t>
  </si>
  <si>
    <t>trend down - take last year</t>
  </si>
  <si>
    <t>trend up - take last year</t>
  </si>
  <si>
    <t>RENT FROM GAS PROPERTY-RENT - UTILITY PR</t>
  </si>
  <si>
    <t xml:space="preserve">   Total Miscellaneous Revenues</t>
  </si>
  <si>
    <t>Allocation - 3-Factor</t>
  </si>
  <si>
    <t xml:space="preserve">   Federal Income Tax  [1]</t>
  </si>
  <si>
    <t>[1]  Statutory Federal Income Tax Rate:</t>
  </si>
  <si>
    <t>Post Test Year</t>
  </si>
  <si>
    <t>in 2018</t>
  </si>
  <si>
    <t>2017 paid</t>
  </si>
  <si>
    <t xml:space="preserve">   Actual Claims - Ordinary (Paid)</t>
  </si>
  <si>
    <t>O&amp;M Accrual</t>
  </si>
  <si>
    <t>Capital Accrual</t>
  </si>
  <si>
    <t>Off/Ex</t>
  </si>
  <si>
    <t>Cap</t>
  </si>
  <si>
    <t>NBU Goals Inc Bonus</t>
  </si>
  <si>
    <t>NBU Goals Inc Supp</t>
  </si>
  <si>
    <t>Exec</t>
  </si>
  <si>
    <t>Key Goal Award</t>
  </si>
  <si>
    <t>Key Goal Supp</t>
  </si>
  <si>
    <t>Alloc Paid</t>
  </si>
  <si>
    <t>TME 9/30/18</t>
  </si>
  <si>
    <t xml:space="preserve">   3-Year Average Claims - Extraordinary 1/</t>
  </si>
  <si>
    <t>WACOG Incurred</t>
  </si>
  <si>
    <t>WACOG Deferred</t>
  </si>
  <si>
    <t>Demand Incurred</t>
  </si>
  <si>
    <t>Demand Deferred</t>
  </si>
  <si>
    <t>Amortizations</t>
  </si>
  <si>
    <t>Mist ISS Fuel-in-kind</t>
  </si>
  <si>
    <t>Demand Charges (Net of Deferral)</t>
  </si>
  <si>
    <t>Commodity Charges (Net of Deferral)</t>
  </si>
  <si>
    <t>Officers/Exempt</t>
  </si>
  <si>
    <t>Clerical/Hourly</t>
  </si>
  <si>
    <t>Accruals in TY</t>
  </si>
  <si>
    <t>Perf Bonus</t>
  </si>
  <si>
    <t>Key Goal</t>
  </si>
  <si>
    <t>Alloc Accrued</t>
  </si>
  <si>
    <t>Miscellaneous</t>
  </si>
  <si>
    <t>Cost of Gas</t>
  </si>
  <si>
    <t xml:space="preserve">   Total Cost of Gas</t>
  </si>
  <si>
    <t>Pension Adjustment - Washington Allocated Costs</t>
  </si>
  <si>
    <t>System-Wide FAS 87</t>
  </si>
  <si>
    <t>System-Wide Service Cost</t>
  </si>
  <si>
    <t>Service Cost O&amp;M</t>
  </si>
  <si>
    <t>Non-Service Cost</t>
  </si>
  <si>
    <t>Total O&amp;M</t>
  </si>
  <si>
    <t>WA Allocated O&amp;M</t>
  </si>
  <si>
    <t>WA Allocation % (Payroll)</t>
  </si>
  <si>
    <t>Pension (FAS 87)</t>
  </si>
  <si>
    <t>Health and Life</t>
  </si>
  <si>
    <t>Note: Pension administrative costs and Western States not normalized</t>
  </si>
  <si>
    <t>Marketing Expenses - Account 912</t>
  </si>
  <si>
    <t>Total Adjustment for Marketing &amp; Communications</t>
  </si>
  <si>
    <t>Storage Maint. Expense of Compressor Equp</t>
  </si>
  <si>
    <t>845</t>
  </si>
  <si>
    <t>LNG Fuel Expense - Credit Liquef Costs</t>
  </si>
  <si>
    <t>Price Per Therm</t>
  </si>
  <si>
    <t>Average Class</t>
  </si>
  <si>
    <t>Washington Post Test-Year Capital Projects</t>
  </si>
  <si>
    <t>Net Clearing</t>
  </si>
  <si>
    <t>Factor %</t>
  </si>
  <si>
    <t>Health</t>
  </si>
  <si>
    <t xml:space="preserve">401k </t>
  </si>
  <si>
    <t>OPEB</t>
  </si>
  <si>
    <t>QP Pension</t>
  </si>
  <si>
    <t>Western States Pension</t>
  </si>
  <si>
    <t>Workers Comp</t>
  </si>
  <si>
    <t>Coos County</t>
  </si>
  <si>
    <t>Direct - OR</t>
  </si>
  <si>
    <t>Small Tools / Transpo / Vehicles</t>
  </si>
  <si>
    <t>630/640'S - Small tools mix - updated mix per M. Cresalia</t>
  </si>
  <si>
    <t>645'S - Vehicles - updated mix</t>
  </si>
  <si>
    <t xml:space="preserve">   Net Clearing</t>
  </si>
  <si>
    <t>Washington Alloc</t>
  </si>
  <si>
    <t>Return on Equity Consultant</t>
  </si>
  <si>
    <t>Outside Legal</t>
  </si>
  <si>
    <t xml:space="preserve">   Total</t>
  </si>
  <si>
    <t>O&amp;M based on Regulatory application of Pension related costs in O&amp;M (costs map to Non-Operating for GAAP).</t>
  </si>
  <si>
    <t>Non-AMR Read Charge</t>
  </si>
  <si>
    <t>Rate Adjustments (Rev Def &amp; Amort)</t>
  </si>
  <si>
    <t>Land &amp; Structures</t>
  </si>
  <si>
    <t xml:space="preserve">   Total Depreciation</t>
  </si>
  <si>
    <t>Customers All</t>
  </si>
  <si>
    <t>3-Factor</t>
  </si>
  <si>
    <t>Per Alloc History</t>
  </si>
  <si>
    <t>Firm Volumes</t>
  </si>
  <si>
    <t>Total Marketing and Advertising</t>
  </si>
  <si>
    <t>Direct &amp; 3-Factor</t>
  </si>
  <si>
    <t>Department of Energy</t>
  </si>
  <si>
    <t>Adjusted Payroll - O&amp;M</t>
  </si>
  <si>
    <t>Test Period Payroll - O&amp;M</t>
  </si>
  <si>
    <t>Clearing Allocation %'s</t>
  </si>
  <si>
    <t>Determination of Clearing Amounts</t>
  </si>
  <si>
    <t>Clearing Accounts Classified</t>
  </si>
  <si>
    <t>Clearing Accounts Allocated to Washington</t>
  </si>
  <si>
    <t>North Mist Property Tax</t>
  </si>
  <si>
    <t>FTEs</t>
  </si>
  <si>
    <t>Total Health</t>
  </si>
  <si>
    <t>Exempt</t>
  </si>
  <si>
    <t>Non-Exempt</t>
  </si>
  <si>
    <t>Union</t>
  </si>
  <si>
    <t>H&amp;L Active</t>
  </si>
  <si>
    <t>Post-Retire</t>
  </si>
  <si>
    <t>Total H&amp;L</t>
  </si>
  <si>
    <t>Federal Research Credit - increase from TCJA</t>
  </si>
  <si>
    <t xml:space="preserve">State Tax Rate </t>
  </si>
  <si>
    <t>State Income Tax</t>
  </si>
  <si>
    <t xml:space="preserve">Federal Tax Rate </t>
  </si>
  <si>
    <t>Federal Income Tax Before Credits</t>
  </si>
  <si>
    <t xml:space="preserve">Federal Income Tax </t>
  </si>
  <si>
    <t>EDIT</t>
  </si>
  <si>
    <t>Amortization</t>
  </si>
  <si>
    <t>Property Taxes - Capitalized</t>
  </si>
  <si>
    <t>(t)</t>
  </si>
  <si>
    <t>Holdco Adjustment</t>
  </si>
  <si>
    <t>Pre Tax Income Adjusted for Permanents</t>
  </si>
  <si>
    <t>Pre Tax Income Adj for Perms and State Tax</t>
  </si>
  <si>
    <t>Note:</t>
  </si>
  <si>
    <t>O&amp;M above excludes amounts that are not intended to be recoverable in ratemaking.</t>
  </si>
  <si>
    <t>Tax Calculated (include Tax Credits)</t>
  </si>
  <si>
    <t>Percent of Total</t>
  </si>
  <si>
    <t>Test Year Based on Twelve Months Ended September 30, 2020</t>
  </si>
  <si>
    <t>Environmental Admin Costs</t>
  </si>
  <si>
    <t>Compressor Station Fuel</t>
  </si>
  <si>
    <t>ACTUAL</t>
  </si>
  <si>
    <t>Curtailment</t>
  </si>
  <si>
    <t>Source</t>
  </si>
  <si>
    <t>2018-2020</t>
  </si>
  <si>
    <t>Expenses not qualifying under WAC 480-90-223 (913)</t>
  </si>
  <si>
    <t>2018 paid</t>
  </si>
  <si>
    <t>in 2019</t>
  </si>
  <si>
    <t>Source:</t>
  </si>
  <si>
    <t>TOTAL</t>
  </si>
  <si>
    <t>AFUDC Equity</t>
  </si>
  <si>
    <t>250 Taylor</t>
  </si>
  <si>
    <t>Lease Exp</t>
  </si>
  <si>
    <t>250 Taylor Lease Expense Adjustment</t>
  </si>
  <si>
    <t>TME 9/30/19</t>
  </si>
  <si>
    <t>TME 9/30/20</t>
  </si>
  <si>
    <t>Sept 2020</t>
  </si>
  <si>
    <t>Annualized 2021 Wage Increases (12 months) NBU</t>
  </si>
  <si>
    <t>2021 Costs</t>
  </si>
  <si>
    <t>n/a</t>
  </si>
  <si>
    <t>POHs - 9/30/20 12 month rolling payroll mix</t>
  </si>
  <si>
    <t xml:space="preserve">O&amp;M Payroll Factor </t>
  </si>
  <si>
    <t>2019 paid</t>
  </si>
  <si>
    <t>in 2020</t>
  </si>
  <si>
    <t>TTM Feb 20</t>
  </si>
  <si>
    <t>Annualized 2021 Wage Increases (12 months) BU</t>
  </si>
  <si>
    <t>12 Months Payroll - 9/30/2020</t>
  </si>
  <si>
    <t>Yr. 1 Revenue Change:</t>
  </si>
  <si>
    <t>Year 2</t>
  </si>
  <si>
    <t>Year 1</t>
  </si>
  <si>
    <t>Year 2 Test Year</t>
  </si>
  <si>
    <t>Yr. 2 Revenue Change:</t>
  </si>
  <si>
    <t>Total Year 1</t>
  </si>
  <si>
    <t>Total Year 2</t>
  </si>
  <si>
    <t>TME September</t>
  </si>
  <si>
    <t>NW Natural Gas Co.</t>
  </si>
  <si>
    <t>Deferred Income Taxes - Plant</t>
  </si>
  <si>
    <t>October 1, 2019 - September 30, 2020</t>
  </si>
  <si>
    <t>Fed Depreciation</t>
  </si>
  <si>
    <t>State Depreciation</t>
  </si>
  <si>
    <t>Fed (w/o State Benefit)</t>
  </si>
  <si>
    <t>WA Allocated Depreciation DTL</t>
  </si>
  <si>
    <t>WA Plant EDIT</t>
  </si>
  <si>
    <t>Total WA Plant Deferred</t>
  </si>
  <si>
    <t>Total WA ADIT &amp; EDIT</t>
  </si>
  <si>
    <t>OR Plant EDIT</t>
  </si>
  <si>
    <t>OR Gas Reserves EDIT</t>
  </si>
  <si>
    <t>Total System Plant Deferred</t>
  </si>
  <si>
    <t>Total System ADIT &amp; EDIT</t>
  </si>
  <si>
    <t>WA ADIT-Other [1]</t>
  </si>
  <si>
    <t>System ADIT-Other [1]</t>
  </si>
  <si>
    <t>Allocated out of NWN Utility Amount Actual</t>
  </si>
  <si>
    <t>Allocated into NWN Utility Amount Actual</t>
  </si>
  <si>
    <t>Allocated out of NWN Utility Amount Proposed</t>
  </si>
  <si>
    <t>Allocated into NWN Utility Amount Proposed</t>
  </si>
  <si>
    <t>Net Proposed</t>
  </si>
  <si>
    <t>Net Actual</t>
  </si>
  <si>
    <t>WA Allocation - 3-factor</t>
  </si>
  <si>
    <t>Net Adjustment - System</t>
  </si>
  <si>
    <t>Total Adjustment - WA</t>
  </si>
  <si>
    <t>OR EDIT Amortization (Plant and non-Plant)</t>
  </si>
  <si>
    <t>WA EDIT Amortization (Plant) Current</t>
  </si>
  <si>
    <t>WA EDIT Amortization (Plant) Proposed</t>
  </si>
  <si>
    <t>EDIT Amort</t>
  </si>
  <si>
    <t>HoldCo</t>
  </si>
  <si>
    <t>WA EDIT Amortization Proforma Adjustment</t>
  </si>
  <si>
    <t>Rate Increase</t>
  </si>
  <si>
    <t>Year 1 Test Year</t>
  </si>
  <si>
    <t>at 9.40%</t>
  </si>
  <si>
    <t>Total Yr1</t>
  </si>
  <si>
    <t>Total Yr2</t>
  </si>
  <si>
    <t>Addition to O&amp;M</t>
  </si>
  <si>
    <t>(u)</t>
  </si>
  <si>
    <t>(v)</t>
  </si>
  <si>
    <t>Post Test Year 1</t>
  </si>
  <si>
    <t>Post Test Year 2</t>
  </si>
  <si>
    <t>Capital &amp; O&amp;M</t>
  </si>
  <si>
    <t>Property Taxes - Paid During 2020</t>
  </si>
  <si>
    <t>TTM Feb 18</t>
  </si>
  <si>
    <t>TTM Feb 19</t>
  </si>
  <si>
    <t>250 Taylor Operations Center Adjustment</t>
  </si>
  <si>
    <t>Working Capital Adjustments</t>
  </si>
  <si>
    <t>Current Working Capital Assets</t>
  </si>
  <si>
    <t>Current Working Capital Liabilities</t>
  </si>
  <si>
    <t xml:space="preserve">   Net Working Capital</t>
  </si>
  <si>
    <t>WA Allocation</t>
  </si>
  <si>
    <t>Total Working Capital Adjustment</t>
  </si>
  <si>
    <t>Payroll Based on Average Employees</t>
  </si>
  <si>
    <t xml:space="preserve">Amounts reflect average salaries </t>
  </si>
  <si>
    <t>Incremental Payroll</t>
  </si>
  <si>
    <t>Incremental Payroll Taxes</t>
  </si>
  <si>
    <t>Non-Plant Related Excess Deferred Income Taxes</t>
  </si>
  <si>
    <t>2019 BU Salary Adjustment December 1, 2019</t>
  </si>
  <si>
    <t xml:space="preserve">2020 BU Salary Adjustment June 1, 2020 </t>
  </si>
  <si>
    <t>Annualized 2020 Wage Increases (5 months) NBU</t>
  </si>
  <si>
    <t>Annualized 2019 Wage Increases (2 months) BU</t>
  </si>
  <si>
    <t xml:space="preserve">2021 BU Salary Adjustment June 1, 2021 </t>
  </si>
  <si>
    <t>2020 NBU Adjustment March 1, 2020</t>
  </si>
  <si>
    <t xml:space="preserve">2021 NBU Adjustment March 1, 2021 </t>
  </si>
  <si>
    <t>Annualized 2020 Wage Increases (8 months) BU</t>
  </si>
  <si>
    <t>Depreciation Expenses (TME 9/30/20)</t>
  </si>
  <si>
    <t>Key Goals Bonus - O &amp; M [1]</t>
  </si>
  <si>
    <t>Other Operating Revenues [1]</t>
  </si>
  <si>
    <t>[1] Other operating revenue is twelve months ended February 28, 2020</t>
  </si>
  <si>
    <t>Key Goals Bonus - Construction [1]</t>
  </si>
  <si>
    <t>Net Operating Revenues at allowable ROR</t>
  </si>
  <si>
    <t>[1] Based on gross plant at September 30, 2020</t>
  </si>
  <si>
    <t>[1] Per the current Collective Bargaining Agreement, the Key Goals program does not continue past 2019</t>
  </si>
  <si>
    <t>819</t>
  </si>
  <si>
    <t>Distribution Net Plant Allocation Factor - WA</t>
  </si>
  <si>
    <t>Depreciation Expenses (Period Ending 9/30/20)  [1]</t>
  </si>
  <si>
    <t>Reference</t>
  </si>
  <si>
    <t>Open for</t>
  </si>
  <si>
    <t>Use</t>
  </si>
  <si>
    <t>nonrecurring - eliminate</t>
  </si>
  <si>
    <t>Jurisdictional Allocation Factors</t>
  </si>
  <si>
    <t>LATE PAYMENT CHARGE</t>
  </si>
  <si>
    <t>AUTOMATED PAYMENT CHARGE</t>
  </si>
  <si>
    <t>FIELD COLLECTION CHARGES</t>
  </si>
  <si>
    <t>MISC SERVICE REVENUES-EARLY TERMINATION</t>
  </si>
  <si>
    <t>RECONN CHG-CR-AFTER OFFICE H</t>
  </si>
  <si>
    <t>RECONN CHG-CR-DURING OFFICE</t>
  </si>
  <si>
    <t>RECONN CHG-SEAS-AFTER OFFICE</t>
  </si>
  <si>
    <t>RECONN CHG-SEAS-DURING OFFIC</t>
  </si>
  <si>
    <t>DELINQ RECONNECT FEE</t>
  </si>
  <si>
    <t>RETURNED CHECK CHARGE</t>
  </si>
  <si>
    <t>METER RENTALS</t>
  </si>
  <si>
    <t>OTHER GAS REV - MISC</t>
  </si>
  <si>
    <t>MULTIPLE CALL OUT FEE</t>
  </si>
  <si>
    <t>Washington Miscellaneous Revenue</t>
  </si>
  <si>
    <t xml:space="preserve">   Total System Amounts</t>
  </si>
  <si>
    <t xml:space="preserve">   Total Washington Allocated</t>
  </si>
  <si>
    <t>SEAS RECONNECTION FEE</t>
  </si>
  <si>
    <t>SUMMARY BILLS SVCS</t>
  </si>
  <si>
    <t>NON-AMR Install/Remove Charge</t>
  </si>
  <si>
    <t>CURTAILMENT UNAUTH TA</t>
  </si>
  <si>
    <t>Normalized Method</t>
  </si>
  <si>
    <t xml:space="preserve"> [1] February 2020 was a leap year, ending February 29</t>
  </si>
  <si>
    <t xml:space="preserve"> [2] Weighted uncollectible rate of</t>
  </si>
  <si>
    <t xml:space="preserve">       Weighted Total [2]</t>
  </si>
  <si>
    <t>12 Months Ended February 28 [1]</t>
  </si>
  <si>
    <t>[1]  WA and System ADIT-Other amounts have been straight lined from October through August, as only period end balances were available.</t>
  </si>
  <si>
    <t>WA Allocation % (Depr. Allocation)</t>
  </si>
  <si>
    <t>Excess Deferred Income Tax Amortization Rate Base Adjustment</t>
  </si>
  <si>
    <t>System Permanent M-1s</t>
  </si>
  <si>
    <t xml:space="preserve">   Estimated Revenue Requirement</t>
  </si>
  <si>
    <t>Pension Costs - Current Cost (Calendar 2021)</t>
  </si>
  <si>
    <t>Normalized to test year average pay per executive times TY average 12.5 Officers</t>
  </si>
  <si>
    <t>Sept 2019</t>
  </si>
  <si>
    <t>Exh. KTW-2</t>
  </si>
  <si>
    <t>Exh. KTW-3</t>
  </si>
  <si>
    <t>Page 1</t>
  </si>
  <si>
    <t>Page 4</t>
  </si>
  <si>
    <t>Federal Tax Credits &amp; EDIT Amortization</t>
  </si>
  <si>
    <t>Exh. KTW-4</t>
  </si>
  <si>
    <t>Exh. KTW-5</t>
  </si>
  <si>
    <t>Exh. KTW-7</t>
  </si>
  <si>
    <t>Page 7</t>
  </si>
  <si>
    <t>Reduction of Deferred Taxes - Rate Base (half of three year amortization)</t>
  </si>
  <si>
    <t>Page 8</t>
  </si>
  <si>
    <t>Proposed Plant Related Excess Deferred Income Tax Amortization</t>
  </si>
  <si>
    <t>Total Annual Excess Deferred Income Tax Amortization</t>
  </si>
  <si>
    <t>End of Period Rate Base Adjustment</t>
  </si>
  <si>
    <t>End of Period Depreciation Expense Adjustment</t>
  </si>
  <si>
    <t>Page 9</t>
  </si>
  <si>
    <t>13 mo. AMA of Test Year</t>
  </si>
  <si>
    <t>End of Period September 30, 2020</t>
  </si>
  <si>
    <t>Aid in Advance of Construction</t>
  </si>
  <si>
    <t>Utility Plant in Service</t>
  </si>
  <si>
    <t>Accumulated Deferred Income Taxes</t>
  </si>
  <si>
    <t>Page 10</t>
  </si>
  <si>
    <t>Line No.</t>
  </si>
  <si>
    <t>Exh. KTW-8</t>
  </si>
  <si>
    <t>Test Year Results</t>
  </si>
  <si>
    <t>Page 3</t>
  </si>
  <si>
    <t>Page 5</t>
  </si>
  <si>
    <t>Page 6</t>
  </si>
  <si>
    <t>Page 11</t>
  </si>
  <si>
    <t>Page 12</t>
  </si>
  <si>
    <t>Page 13</t>
  </si>
  <si>
    <t>a</t>
  </si>
  <si>
    <t>b</t>
  </si>
  <si>
    <t>c</t>
  </si>
  <si>
    <t>e</t>
  </si>
  <si>
    <t>d=(a+b+c)/3</t>
  </si>
  <si>
    <t>f=d-e</t>
  </si>
  <si>
    <t>Save for</t>
  </si>
  <si>
    <t>Future Use</t>
  </si>
  <si>
    <t>Save for Future Use</t>
  </si>
  <si>
    <t>Addition to Rate Base (Net Book Value)</t>
  </si>
  <si>
    <t>Addition to Depreciation Expense 1/</t>
  </si>
  <si>
    <t>1/ Year 2 amount is net of depreciation expense savings from retirement of current SAP application</t>
  </si>
  <si>
    <t>EOP</t>
  </si>
  <si>
    <t>Depreciation Exp.</t>
  </si>
  <si>
    <t>(w)</t>
  </si>
  <si>
    <t>(x)</t>
  </si>
  <si>
    <t>Exh. KTW-9</t>
  </si>
  <si>
    <t>Flow Through, Pre-1981 Depreciation</t>
  </si>
  <si>
    <t>Flow Through, Pre-1981 Removal Costs</t>
  </si>
  <si>
    <t>Meetings and Meals</t>
  </si>
  <si>
    <t>Transportation</t>
  </si>
  <si>
    <t>ESPP Plan Discount</t>
  </si>
  <si>
    <t>Per Accounting and UG-20XXXX-NWN-KTW-WP19 12-18-20 Payroll Analysis Report_Sep20.xlsx</t>
  </si>
  <si>
    <t>Test Year Payroll (TTM 09/30/20)</t>
  </si>
  <si>
    <t>KTW-5 p4 - Payroll 2</t>
  </si>
  <si>
    <t>Source: WA Commission Basis Report</t>
  </si>
  <si>
    <t>paid bonuses in 2020</t>
  </si>
  <si>
    <t>Exh. TFD-2</t>
  </si>
  <si>
    <t>Tax from KTW-2</t>
  </si>
  <si>
    <t>Unmaterial</t>
  </si>
  <si>
    <t>20XXXX-NWN-Exh-KTW-5-Walker-WP1-12-18-2020.xlsx</t>
  </si>
  <si>
    <t>Exh. MBR-1T</t>
  </si>
  <si>
    <t>20XXXX-NWN-Exh-KTW-4-Walker-WP6-12-18-2020.xlsx</t>
  </si>
  <si>
    <t>20XXXX-NWN-Exh-KTW-4-Walker-WP6-12-18-2020.xlsx &amp; 20XXXX-NWN-Exh-KTW-4-Walker-WP7-12-18-2020.xlsx</t>
  </si>
  <si>
    <t>20XXXX-NWN-Exh-KTW-2-Walker-WP3-12-18-2020.xlsx</t>
  </si>
  <si>
    <t>20XXXX-NWN-Exh-KTW-5-Walker-WP7-12-18-2020.xlsx</t>
  </si>
  <si>
    <t>20XXXX-NWN-Exh-KTW-4-Walker-WP5-12-18-2020.xlsx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</si>
</sst>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0.0000%"/>
    <numFmt numFmtId="166" formatCode="0.0%"/>
    <numFmt numFmtId="167" formatCode="&quot;$&quot;#,##0.0_);\(&quot;$&quot;#,##0.0\)"/>
    <numFmt numFmtId="168" formatCode="#,##0.0"/>
    <numFmt numFmtId="169" formatCode="General_)"/>
    <numFmt numFmtId="170" formatCode="_(* #,##0_);_(* \(#,##0\);_(* &quot;-&quot;??_);_(@_)"/>
    <numFmt numFmtId="171" formatCode="&quot;$&quot;#,##0.00000_);\(&quot;$&quot;#,##0.00000\)"/>
    <numFmt numFmtId="172" formatCode="#,##0.000"/>
    <numFmt numFmtId="173" formatCode="#,##0.0_);\(#,##0.0\)"/>
    <numFmt numFmtId="174" formatCode="#,##0.00000"/>
    <numFmt numFmtId="175" formatCode="0.00000"/>
    <numFmt numFmtId="176" formatCode="0_);\(0\)"/>
    <numFmt numFmtId="177" formatCode="#,##0.0000"/>
    <numFmt numFmtId="178" formatCode="#,##0.000000"/>
    <numFmt numFmtId="179" formatCode="m/d/yyyy;@"/>
    <numFmt numFmtId="180" formatCode="[$-409]mmm\-yy;@"/>
    <numFmt numFmtId="181" formatCode="&quot;$&quot;#,##0.000_);\(&quot;$&quot;#,##0.000\)"/>
    <numFmt numFmtId="182" formatCode="&quot;$&quot;#,##0"/>
    <numFmt numFmtId="183" formatCode="_(&quot;$&quot;* #,##0_);_(&quot;$&quot;* \(#,##0\);_(&quot;$&quot;* &quot;-&quot;??_);_(@_)"/>
    <numFmt numFmtId="184" formatCode="#,##0.0000000"/>
    <numFmt numFmtId="185" formatCode="#,##0.00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name val="Tahoma"/>
      <family val="2"/>
    </font>
    <font>
      <b/>
      <sz val="11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>
      <alignment vertical="top"/>
    </xf>
    <xf numFmtId="0" fontId="4" fillId="0" borderId="0">
      <alignment vertical="top"/>
    </xf>
    <xf numFmtId="4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7" fontId="7" fillId="0" borderId="0" applyFont="0" applyFill="0" applyBorder="0" applyAlignment="0" applyProtection="0">
      <alignment vertical="top"/>
    </xf>
    <xf numFmtId="5" fontId="4" fillId="0" borderId="0">
      <alignment vertical="top"/>
    </xf>
    <xf numFmtId="5" fontId="4" fillId="0" borderId="0">
      <alignment vertical="top"/>
    </xf>
    <xf numFmtId="5" fontId="7" fillId="0" borderId="0" applyFont="0" applyFill="0" applyBorder="0" applyAlignment="0" applyProtection="0">
      <alignment vertical="top"/>
    </xf>
    <xf numFmtId="0" fontId="4" fillId="0" borderId="0">
      <alignment vertical="top"/>
    </xf>
    <xf numFmtId="0" fontId="7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>
      <alignment horizontal="right" vertical="top"/>
    </xf>
    <xf numFmtId="0" fontId="3" fillId="0" borderId="0">
      <alignment vertical="top"/>
    </xf>
    <xf numFmtId="0" fontId="6" fillId="0" borderId="0"/>
    <xf numFmtId="0" fontId="4" fillId="0" borderId="0">
      <alignment vertical="top"/>
    </xf>
    <xf numFmtId="3" fontId="3" fillId="0" borderId="1">
      <alignment vertical="top"/>
    </xf>
    <xf numFmtId="10" fontId="7" fillId="0" borderId="0" applyFont="0" applyFill="0" applyBorder="0" applyAlignment="0" applyProtection="0">
      <alignment vertical="top"/>
    </xf>
    <xf numFmtId="10" fontId="7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4" fillId="0" borderId="2" applyNumberFormat="0" applyFont="0" applyFill="0" applyAlignment="0" applyProtection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43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</xf>
  </cellStyleXfs>
  <cellXfs count="612">
    <xf numFmtId="3" fontId="0" fillId="0" borderId="0" xfId="0" applyNumberFormat="1">
      <alignment vertical="top"/>
    </xf>
    <xf numFmtId="3" fontId="9" fillId="3" borderId="0" xfId="0" applyNumberFormat="1" applyFont="1" applyFill="1">
      <alignment vertical="top"/>
    </xf>
    <xf numFmtId="0" fontId="9" fillId="3" borderId="0" xfId="0" applyNumberFormat="1" applyFont="1" applyFill="1">
      <alignment vertical="top"/>
    </xf>
    <xf numFmtId="3" fontId="9" fillId="3" borderId="0" xfId="0" quotePrefix="1" applyNumberFormat="1" applyFont="1" applyFill="1" applyAlignment="1">
      <alignment horizontal="left" vertical="top"/>
    </xf>
    <xf numFmtId="18" fontId="9" fillId="3" borderId="0" xfId="0" applyNumberFormat="1" applyFont="1" applyFill="1">
      <alignment vertical="top"/>
    </xf>
    <xf numFmtId="3" fontId="9" fillId="3" borderId="0" xfId="0" applyNumberFormat="1" applyFont="1" applyFill="1" applyAlignment="1">
      <alignment horizontal="center" vertical="top"/>
    </xf>
    <xf numFmtId="10" fontId="9" fillId="3" borderId="0" xfId="0" applyNumberFormat="1" applyFont="1" applyFill="1" applyAlignment="1">
      <alignment horizontal="center" vertical="top"/>
    </xf>
    <xf numFmtId="3" fontId="9" fillId="3" borderId="3" xfId="0" applyNumberFormat="1" applyFont="1" applyFill="1" applyBorder="1" applyAlignment="1">
      <alignment horizontal="center" vertical="top"/>
    </xf>
    <xf numFmtId="3" fontId="10" fillId="3" borderId="0" xfId="0" applyNumberFormat="1" applyFont="1" applyFill="1">
      <alignment vertical="top"/>
    </xf>
    <xf numFmtId="10" fontId="10" fillId="3" borderId="0" xfId="19" applyFont="1" applyFill="1">
      <alignment vertical="top"/>
    </xf>
    <xf numFmtId="3" fontId="10" fillId="3" borderId="0" xfId="0" applyNumberFormat="1" applyFont="1" applyFill="1" applyProtection="1">
      <alignment vertical="top"/>
      <protection locked="0"/>
    </xf>
    <xf numFmtId="5" fontId="10" fillId="3" borderId="0" xfId="0" applyNumberFormat="1" applyFont="1" applyFill="1">
      <alignment vertical="top"/>
    </xf>
    <xf numFmtId="164" fontId="10" fillId="3" borderId="0" xfId="19" applyNumberFormat="1" applyFont="1" applyFill="1">
      <alignment vertical="top"/>
    </xf>
    <xf numFmtId="37" fontId="10" fillId="3" borderId="0" xfId="2" applyNumberFormat="1" applyFont="1" applyFill="1">
      <alignment vertical="top"/>
    </xf>
    <xf numFmtId="37" fontId="10" fillId="3" borderId="0" xfId="3" applyNumberFormat="1" applyFont="1" applyFill="1">
      <alignment vertical="top"/>
    </xf>
    <xf numFmtId="37" fontId="10" fillId="3" borderId="3" xfId="2" applyNumberFormat="1" applyFont="1" applyFill="1" applyBorder="1">
      <alignment vertical="top"/>
    </xf>
    <xf numFmtId="37" fontId="10" fillId="3" borderId="3" xfId="3" applyNumberFormat="1" applyFont="1" applyFill="1" applyBorder="1">
      <alignment vertical="top"/>
    </xf>
    <xf numFmtId="3" fontId="9" fillId="3" borderId="26" xfId="0" applyNumberFormat="1" applyFont="1" applyFill="1" applyBorder="1">
      <alignment vertical="top"/>
    </xf>
    <xf numFmtId="5" fontId="9" fillId="3" borderId="0" xfId="0" applyNumberFormat="1" applyFont="1" applyFill="1">
      <alignment vertical="top"/>
    </xf>
    <xf numFmtId="5" fontId="10" fillId="3" borderId="4" xfId="8" applyFont="1" applyFill="1" applyBorder="1">
      <alignment vertical="top"/>
    </xf>
    <xf numFmtId="5" fontId="10" fillId="3" borderId="0" xfId="8" applyFont="1" applyFill="1">
      <alignment vertical="top"/>
    </xf>
    <xf numFmtId="3" fontId="10" fillId="3" borderId="0" xfId="0" applyNumberFormat="1" applyFont="1" applyFill="1" applyBorder="1">
      <alignment vertical="top"/>
    </xf>
    <xf numFmtId="10" fontId="10" fillId="3" borderId="4" xfId="0" applyNumberFormat="1" applyFont="1" applyFill="1" applyBorder="1">
      <alignment vertical="top"/>
    </xf>
    <xf numFmtId="10" fontId="10" fillId="3" borderId="0" xfId="0" applyNumberFormat="1" applyFont="1" applyFill="1">
      <alignment vertical="top"/>
    </xf>
    <xf numFmtId="3" fontId="10" fillId="3" borderId="3" xfId="0" applyNumberFormat="1" applyFont="1" applyFill="1" applyBorder="1">
      <alignment vertical="top"/>
    </xf>
    <xf numFmtId="9" fontId="10" fillId="3" borderId="0" xfId="0" applyNumberFormat="1" applyFont="1" applyFill="1">
      <alignment vertical="top"/>
    </xf>
    <xf numFmtId="0" fontId="10" fillId="3" borderId="0" xfId="0" applyNumberFormat="1" applyFont="1" applyFill="1">
      <alignment vertical="top"/>
    </xf>
    <xf numFmtId="3" fontId="9" fillId="3" borderId="5" xfId="0" applyNumberFormat="1" applyFont="1" applyFill="1" applyBorder="1" applyAlignment="1">
      <alignment horizontal="center" vertical="top"/>
    </xf>
    <xf numFmtId="170" fontId="10" fillId="3" borderId="0" xfId="2" applyNumberFormat="1" applyFont="1" applyFill="1" applyAlignment="1"/>
    <xf numFmtId="37" fontId="10" fillId="3" borderId="0" xfId="0" applyNumberFormat="1" applyFont="1" applyFill="1">
      <alignment vertical="top"/>
    </xf>
    <xf numFmtId="37" fontId="10" fillId="3" borderId="0" xfId="0" applyNumberFormat="1" applyFont="1" applyFill="1" applyBorder="1">
      <alignment vertical="top"/>
    </xf>
    <xf numFmtId="3" fontId="14" fillId="3" borderId="0" xfId="0" applyNumberFormat="1" applyFont="1" applyFill="1">
      <alignment vertical="top"/>
    </xf>
    <xf numFmtId="5" fontId="10" fillId="3" borderId="4" xfId="8" applyNumberFormat="1" applyFont="1" applyFill="1" applyBorder="1">
      <alignment vertical="top"/>
    </xf>
    <xf numFmtId="5" fontId="10" fillId="3" borderId="0" xfId="0" applyNumberFormat="1" applyFont="1" applyFill="1" applyBorder="1">
      <alignment vertical="top"/>
    </xf>
    <xf numFmtId="10" fontId="10" fillId="3" borderId="0" xfId="19" applyNumberFormat="1" applyFont="1" applyFill="1">
      <alignment vertical="top"/>
    </xf>
    <xf numFmtId="5" fontId="10" fillId="3" borderId="0" xfId="8" applyNumberFormat="1" applyFont="1" applyFill="1">
      <alignment vertical="top"/>
    </xf>
    <xf numFmtId="3" fontId="9" fillId="3" borderId="0" xfId="0" applyNumberFormat="1" applyFont="1" applyFill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horizontal="center" vertical="center"/>
    </xf>
    <xf numFmtId="179" fontId="10" fillId="3" borderId="0" xfId="0" applyNumberFormat="1" applyFont="1" applyFill="1" applyBorder="1">
      <alignment vertical="top"/>
    </xf>
    <xf numFmtId="3" fontId="9" fillId="3" borderId="3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Alignment="1">
      <alignment horizontal="left" vertical="center"/>
    </xf>
    <xf numFmtId="37" fontId="10" fillId="3" borderId="0" xfId="0" applyNumberFormat="1" applyFont="1" applyFill="1" applyAlignment="1">
      <alignment vertical="center"/>
    </xf>
    <xf numFmtId="37" fontId="10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>
      <alignment vertical="top"/>
    </xf>
    <xf numFmtId="10" fontId="10" fillId="3" borderId="0" xfId="19" applyFont="1" applyFill="1" applyBorder="1">
      <alignment vertical="top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37" fontId="10" fillId="3" borderId="3" xfId="0" applyNumberFormat="1" applyFont="1" applyFill="1" applyBorder="1">
      <alignment vertical="top"/>
    </xf>
    <xf numFmtId="3" fontId="16" fillId="3" borderId="31" xfId="0" applyNumberFormat="1" applyFont="1" applyFill="1" applyBorder="1">
      <alignment vertical="top"/>
    </xf>
    <xf numFmtId="3" fontId="10" fillId="3" borderId="32" xfId="0" applyNumberFormat="1" applyFont="1" applyFill="1" applyBorder="1">
      <alignment vertical="top"/>
    </xf>
    <xf numFmtId="3" fontId="6" fillId="3" borderId="31" xfId="0" applyNumberFormat="1" applyFont="1" applyFill="1" applyBorder="1">
      <alignment vertical="top"/>
    </xf>
    <xf numFmtId="3" fontId="19" fillId="3" borderId="0" xfId="0" applyNumberFormat="1" applyFont="1" applyFill="1">
      <alignment vertical="top"/>
    </xf>
    <xf numFmtId="3" fontId="6" fillId="3" borderId="20" xfId="0" applyNumberFormat="1" applyFont="1" applyFill="1" applyBorder="1">
      <alignment vertical="top"/>
    </xf>
    <xf numFmtId="164" fontId="10" fillId="3" borderId="0" xfId="0" applyNumberFormat="1" applyFont="1" applyFill="1">
      <alignment vertical="top"/>
    </xf>
    <xf numFmtId="3" fontId="10" fillId="3" borderId="0" xfId="0" quotePrefix="1" applyNumberFormat="1" applyFont="1" applyFill="1" applyAlignment="1">
      <alignment horizontal="left" vertical="top"/>
    </xf>
    <xf numFmtId="37" fontId="10" fillId="3" borderId="0" xfId="3" quotePrefix="1" applyNumberFormat="1" applyFont="1" applyFill="1" applyAlignment="1">
      <alignment horizontal="left" vertical="top"/>
    </xf>
    <xf numFmtId="3" fontId="6" fillId="3" borderId="21" xfId="0" applyNumberFormat="1" applyFont="1" applyFill="1" applyBorder="1">
      <alignment vertical="top"/>
    </xf>
    <xf numFmtId="5" fontId="10" fillId="3" borderId="0" xfId="5" applyNumberFormat="1" applyFont="1" applyFill="1">
      <alignment vertical="top"/>
    </xf>
    <xf numFmtId="10" fontId="10" fillId="3" borderId="3" xfId="19" applyFont="1" applyFill="1" applyBorder="1">
      <alignment vertical="top"/>
    </xf>
    <xf numFmtId="3" fontId="10" fillId="3" borderId="4" xfId="0" applyNumberFormat="1" applyFont="1" applyFill="1" applyBorder="1">
      <alignment vertical="top"/>
    </xf>
    <xf numFmtId="5" fontId="10" fillId="3" borderId="4" xfId="0" applyNumberFormat="1" applyFont="1" applyFill="1" applyBorder="1">
      <alignment vertical="top"/>
    </xf>
    <xf numFmtId="10" fontId="14" fillId="3" borderId="0" xfId="19" applyFont="1" applyFill="1">
      <alignment vertical="top"/>
    </xf>
    <xf numFmtId="37" fontId="10" fillId="3" borderId="0" xfId="19" applyNumberFormat="1" applyFont="1" applyFill="1">
      <alignment vertical="top"/>
    </xf>
    <xf numFmtId="5" fontId="10" fillId="3" borderId="0" xfId="8" applyNumberFormat="1" applyFont="1" applyFill="1" applyBorder="1">
      <alignment vertical="top"/>
    </xf>
    <xf numFmtId="0" fontId="11" fillId="3" borderId="0" xfId="0" applyFont="1" applyFill="1" applyAlignment="1"/>
    <xf numFmtId="3" fontId="15" fillId="3" borderId="0" xfId="0" applyNumberFormat="1" applyFont="1" applyFill="1">
      <alignment vertical="top"/>
    </xf>
    <xf numFmtId="0" fontId="9" fillId="3" borderId="0" xfId="0" applyFont="1" applyFill="1" applyAlignment="1">
      <alignment horizontal="center" vertical="top"/>
    </xf>
    <xf numFmtId="0" fontId="9" fillId="3" borderId="0" xfId="0" applyNumberFormat="1" applyFont="1" applyFill="1" applyBorder="1" applyAlignment="1" applyProtection="1">
      <alignment vertical="top"/>
    </xf>
    <xf numFmtId="0" fontId="10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left" vertical="top"/>
    </xf>
    <xf numFmtId="177" fontId="10" fillId="3" borderId="0" xfId="0" applyNumberFormat="1" applyFont="1" applyFill="1">
      <alignment vertical="top"/>
    </xf>
    <xf numFmtId="174" fontId="10" fillId="3" borderId="0" xfId="0" applyNumberFormat="1" applyFont="1" applyFill="1">
      <alignment vertical="top"/>
    </xf>
    <xf numFmtId="0" fontId="9" fillId="3" borderId="0" xfId="0" applyFont="1" applyFill="1">
      <alignment vertical="top"/>
    </xf>
    <xf numFmtId="10" fontId="9" fillId="3" borderId="0" xfId="0" applyNumberFormat="1" applyFont="1" applyFill="1">
      <alignment vertical="top"/>
    </xf>
    <xf numFmtId="3" fontId="9" fillId="3" borderId="3" xfId="0" applyNumberFormat="1" applyFont="1" applyFill="1" applyBorder="1">
      <alignment vertical="top"/>
    </xf>
    <xf numFmtId="3" fontId="10" fillId="3" borderId="0" xfId="0" applyNumberFormat="1" applyFont="1" applyFill="1" applyAlignment="1">
      <alignment horizontal="center" vertical="top"/>
    </xf>
    <xf numFmtId="165" fontId="10" fillId="3" borderId="0" xfId="19" applyNumberFormat="1" applyFont="1" applyFill="1">
      <alignment vertical="top"/>
    </xf>
    <xf numFmtId="164" fontId="10" fillId="3" borderId="3" xfId="19" applyNumberFormat="1" applyFont="1" applyFill="1" applyBorder="1">
      <alignment vertical="top"/>
    </xf>
    <xf numFmtId="10" fontId="10" fillId="3" borderId="4" xfId="19" applyFont="1" applyFill="1" applyBorder="1">
      <alignment vertical="top"/>
    </xf>
    <xf numFmtId="164" fontId="10" fillId="3" borderId="4" xfId="19" applyNumberFormat="1" applyFont="1" applyFill="1" applyBorder="1">
      <alignment vertical="top"/>
    </xf>
    <xf numFmtId="164" fontId="10" fillId="3" borderId="3" xfId="0" applyNumberFormat="1" applyFont="1" applyFill="1" applyBorder="1">
      <alignment vertical="top"/>
    </xf>
    <xf numFmtId="164" fontId="10" fillId="3" borderId="4" xfId="0" applyNumberFormat="1" applyFont="1" applyFill="1" applyBorder="1">
      <alignment vertical="top"/>
    </xf>
    <xf numFmtId="3" fontId="0" fillId="3" borderId="0" xfId="0" applyNumberFormat="1" applyFill="1">
      <alignment vertical="top"/>
    </xf>
    <xf numFmtId="3" fontId="9" fillId="3" borderId="26" xfId="0" applyNumberFormat="1" applyFont="1" applyFill="1" applyBorder="1" applyAlignment="1">
      <alignment horizontal="center" vertical="top"/>
    </xf>
    <xf numFmtId="3" fontId="9" fillId="3" borderId="6" xfId="0" applyNumberFormat="1" applyFont="1" applyFill="1" applyBorder="1" applyAlignment="1">
      <alignment horizontal="center" vertical="top"/>
    </xf>
    <xf numFmtId="3" fontId="9" fillId="3" borderId="27" xfId="0" applyNumberFormat="1" applyFont="1" applyFill="1" applyBorder="1" applyAlignment="1">
      <alignment horizontal="center" vertical="top"/>
    </xf>
    <xf numFmtId="3" fontId="9" fillId="3" borderId="28" xfId="0" applyNumberFormat="1" applyFont="1" applyFill="1" applyBorder="1" applyAlignment="1">
      <alignment horizontal="center" vertical="top"/>
    </xf>
    <xf numFmtId="3" fontId="9" fillId="3" borderId="29" xfId="0" applyNumberFormat="1" applyFont="1" applyFill="1" applyBorder="1" applyAlignment="1">
      <alignment horizontal="center" vertical="top"/>
    </xf>
    <xf numFmtId="3" fontId="10" fillId="3" borderId="28" xfId="0" applyNumberFormat="1" applyFont="1" applyFill="1" applyBorder="1">
      <alignment vertical="top"/>
    </xf>
    <xf numFmtId="5" fontId="10" fillId="3" borderId="28" xfId="0" applyNumberFormat="1" applyFont="1" applyFill="1" applyBorder="1">
      <alignment vertical="top"/>
    </xf>
    <xf numFmtId="37" fontId="10" fillId="3" borderId="28" xfId="0" applyNumberFormat="1" applyFont="1" applyFill="1" applyBorder="1">
      <alignment vertical="top"/>
    </xf>
    <xf numFmtId="37" fontId="10" fillId="3" borderId="29" xfId="0" applyNumberFormat="1" applyFont="1" applyFill="1" applyBorder="1">
      <alignment vertical="top"/>
    </xf>
    <xf numFmtId="37" fontId="10" fillId="3" borderId="4" xfId="0" applyNumberFormat="1" applyFont="1" applyFill="1" applyBorder="1">
      <alignment vertical="top"/>
    </xf>
    <xf numFmtId="37" fontId="10" fillId="3" borderId="30" xfId="0" applyNumberFormat="1" applyFont="1" applyFill="1" applyBorder="1">
      <alignment vertical="top"/>
    </xf>
    <xf numFmtId="37" fontId="10" fillId="3" borderId="27" xfId="0" applyNumberFormat="1" applyFont="1" applyFill="1" applyBorder="1">
      <alignment vertical="top"/>
    </xf>
    <xf numFmtId="15" fontId="9" fillId="3" borderId="0" xfId="0" applyNumberFormat="1" applyFont="1" applyFill="1">
      <alignment vertical="top"/>
    </xf>
    <xf numFmtId="37" fontId="9" fillId="3" borderId="0" xfId="0" applyNumberFormat="1" applyFont="1" applyFill="1">
      <alignment vertical="top"/>
    </xf>
    <xf numFmtId="0" fontId="9" fillId="3" borderId="0" xfId="17" applyFont="1" applyFill="1" applyAlignment="1">
      <alignment vertical="center"/>
    </xf>
    <xf numFmtId="0" fontId="9" fillId="3" borderId="0" xfId="0" applyNumberFormat="1" applyFont="1" applyFill="1" applyBorder="1" applyAlignment="1" applyProtection="1">
      <alignment vertical="center"/>
    </xf>
    <xf numFmtId="0" fontId="10" fillId="3" borderId="0" xfId="17" applyFont="1" applyFill="1" applyAlignment="1">
      <alignment vertical="center"/>
    </xf>
    <xf numFmtId="0" fontId="9" fillId="3" borderId="0" xfId="17" quotePrefix="1" applyFont="1" applyFill="1" applyAlignment="1">
      <alignment horizontal="center" vertical="center"/>
    </xf>
    <xf numFmtId="3" fontId="9" fillId="3" borderId="0" xfId="17" quotePrefix="1" applyNumberFormat="1" applyFont="1" applyFill="1" applyAlignment="1">
      <alignment horizontal="left" vertical="center"/>
    </xf>
    <xf numFmtId="1" fontId="9" fillId="3" borderId="0" xfId="0" applyNumberFormat="1" applyFont="1" applyFill="1" applyAlignment="1">
      <alignment horizontal="left" vertical="center"/>
    </xf>
    <xf numFmtId="1" fontId="9" fillId="3" borderId="0" xfId="0" applyNumberFormat="1" applyFont="1" applyFill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3" xfId="0" applyNumberFormat="1" applyFont="1" applyFill="1" applyBorder="1" applyAlignment="1" applyProtection="1">
      <alignment vertical="center"/>
    </xf>
    <xf numFmtId="1" fontId="9" fillId="3" borderId="3" xfId="0" quotePrefix="1" applyNumberFormat="1" applyFont="1" applyFill="1" applyBorder="1" applyAlignment="1">
      <alignment horizontal="center" vertical="center"/>
    </xf>
    <xf numFmtId="174" fontId="9" fillId="3" borderId="3" xfId="2" applyNumberFormat="1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0" fontId="9" fillId="3" borderId="3" xfId="0" quotePrefix="1" applyNumberFormat="1" applyFont="1" applyFill="1" applyBorder="1" applyAlignment="1" applyProtection="1">
      <alignment horizontal="left" vertical="center"/>
    </xf>
    <xf numFmtId="0" fontId="9" fillId="3" borderId="0" xfId="0" quotePrefix="1" applyNumberFormat="1" applyFont="1" applyFill="1" applyBorder="1" applyAlignment="1" applyProtection="1">
      <alignment horizontal="left" vertical="center"/>
    </xf>
    <xf numFmtId="0" fontId="9" fillId="3" borderId="0" xfId="0" applyFont="1" applyFill="1" applyAlignment="1">
      <alignment horizontal="center" vertical="center"/>
    </xf>
    <xf numFmtId="37" fontId="10" fillId="3" borderId="0" xfId="0" applyNumberFormat="1" applyFont="1" applyFill="1" applyBorder="1" applyAlignment="1">
      <alignment vertical="top"/>
    </xf>
    <xf numFmtId="174" fontId="10" fillId="3" borderId="0" xfId="2" applyNumberFormat="1" applyFont="1" applyFill="1" applyAlignment="1">
      <alignment horizontal="center" vertical="top"/>
    </xf>
    <xf numFmtId="5" fontId="10" fillId="3" borderId="0" xfId="0" applyNumberFormat="1" applyFont="1" applyFill="1" applyBorder="1" applyAlignment="1">
      <alignment vertical="top"/>
    </xf>
    <xf numFmtId="174" fontId="10" fillId="3" borderId="0" xfId="2" applyNumberFormat="1" applyFont="1" applyFill="1" applyAlignment="1">
      <alignment horizontal="center" vertical="center"/>
    </xf>
    <xf numFmtId="5" fontId="10" fillId="3" borderId="0" xfId="0" applyNumberFormat="1" applyFont="1" applyFill="1" applyBorder="1" applyAlignment="1">
      <alignment vertical="center"/>
    </xf>
    <xf numFmtId="37" fontId="10" fillId="3" borderId="3" xfId="0" applyNumberFormat="1" applyFont="1" applyFill="1" applyBorder="1" applyAlignment="1">
      <alignment vertical="top"/>
    </xf>
    <xf numFmtId="5" fontId="10" fillId="3" borderId="3" xfId="0" applyNumberFormat="1" applyFont="1" applyFill="1" applyBorder="1" applyAlignment="1">
      <alignment vertical="top"/>
    </xf>
    <xf numFmtId="37" fontId="10" fillId="3" borderId="3" xfId="0" applyNumberFormat="1" applyFont="1" applyFill="1" applyBorder="1" applyAlignment="1">
      <alignment vertical="center"/>
    </xf>
    <xf numFmtId="5" fontId="10" fillId="3" borderId="3" xfId="0" applyNumberFormat="1" applyFont="1" applyFill="1" applyBorder="1" applyAlignment="1">
      <alignment vertical="center"/>
    </xf>
    <xf numFmtId="1" fontId="9" fillId="3" borderId="0" xfId="0" applyNumberFormat="1" applyFont="1" applyFill="1" applyBorder="1" applyAlignment="1">
      <alignment vertical="center"/>
    </xf>
    <xf numFmtId="174" fontId="10" fillId="3" borderId="0" xfId="2" applyNumberFormat="1" applyFont="1" applyFill="1" applyBorder="1" applyAlignment="1">
      <alignment horizontal="center" vertical="top"/>
    </xf>
    <xf numFmtId="174" fontId="10" fillId="3" borderId="0" xfId="2" applyNumberFormat="1" applyFont="1" applyFill="1" applyBorder="1" applyAlignment="1">
      <alignment horizontal="center" vertical="center"/>
    </xf>
    <xf numFmtId="1" fontId="9" fillId="3" borderId="0" xfId="0" quotePrefix="1" applyNumberFormat="1" applyFont="1" applyFill="1" applyAlignment="1">
      <alignment horizontal="left" vertical="center"/>
    </xf>
    <xf numFmtId="37" fontId="10" fillId="3" borderId="0" xfId="0" applyNumberFormat="1" applyFont="1" applyFill="1" applyAlignment="1">
      <alignment vertical="top"/>
    </xf>
    <xf numFmtId="5" fontId="10" fillId="3" borderId="0" xfId="0" applyNumberFormat="1" applyFont="1" applyFill="1" applyAlignment="1">
      <alignment vertical="top"/>
    </xf>
    <xf numFmtId="5" fontId="10" fillId="3" borderId="0" xfId="0" applyNumberFormat="1" applyFont="1" applyFill="1" applyAlignment="1">
      <alignment vertical="center"/>
    </xf>
    <xf numFmtId="1" fontId="9" fillId="3" borderId="0" xfId="0" applyNumberFormat="1" applyFont="1" applyFill="1" applyAlignment="1">
      <alignment vertical="center"/>
    </xf>
    <xf numFmtId="174" fontId="10" fillId="3" borderId="0" xfId="2" applyNumberFormat="1" applyFont="1" applyFill="1" applyBorder="1" applyAlignment="1" applyProtection="1">
      <alignment horizontal="center" vertical="center"/>
    </xf>
    <xf numFmtId="5" fontId="10" fillId="3" borderId="0" xfId="0" applyNumberFormat="1" applyFont="1" applyFill="1" applyBorder="1" applyAlignment="1" applyProtection="1">
      <alignment vertical="center"/>
    </xf>
    <xf numFmtId="169" fontId="9" fillId="3" borderId="0" xfId="0" applyNumberFormat="1" applyFont="1" applyFill="1" applyAlignment="1" applyProtection="1">
      <alignment horizontal="left" vertical="center"/>
    </xf>
    <xf numFmtId="37" fontId="10" fillId="3" borderId="0" xfId="0" applyNumberFormat="1" applyFont="1" applyFill="1" applyAlignment="1" applyProtection="1">
      <alignment vertical="center"/>
    </xf>
    <xf numFmtId="1" fontId="9" fillId="3" borderId="3" xfId="0" quotePrefix="1" applyNumberFormat="1" applyFont="1" applyFill="1" applyBorder="1" applyAlignment="1">
      <alignment horizontal="left" vertical="center"/>
    </xf>
    <xf numFmtId="5" fontId="9" fillId="3" borderId="0" xfId="0" applyNumberFormat="1" applyFont="1" applyFill="1" applyAlignment="1">
      <alignment vertical="center"/>
    </xf>
    <xf numFmtId="1" fontId="9" fillId="3" borderId="0" xfId="0" quotePrefix="1" applyNumberFormat="1" applyFont="1" applyFill="1" applyBorder="1" applyAlignment="1">
      <alignment horizontal="left" vertical="center"/>
    </xf>
    <xf numFmtId="5" fontId="10" fillId="3" borderId="0" xfId="5" applyNumberFormat="1" applyFont="1" applyFill="1" applyBorder="1" applyAlignment="1">
      <alignment vertical="center"/>
    </xf>
    <xf numFmtId="37" fontId="10" fillId="3" borderId="8" xfId="0" applyNumberFormat="1" applyFont="1" applyFill="1" applyBorder="1" applyAlignment="1" applyProtection="1">
      <alignment vertical="center"/>
    </xf>
    <xf numFmtId="5" fontId="10" fillId="3" borderId="8" xfId="0" applyNumberFormat="1" applyFont="1" applyFill="1" applyBorder="1" applyAlignment="1" applyProtection="1">
      <alignment vertical="center"/>
    </xf>
    <xf numFmtId="0" fontId="9" fillId="3" borderId="0" xfId="0" quotePrefix="1" applyFont="1" applyFill="1" applyAlignment="1">
      <alignment horizontal="left" vertical="center"/>
    </xf>
    <xf numFmtId="37" fontId="10" fillId="3" borderId="4" xfId="0" applyNumberFormat="1" applyFont="1" applyFill="1" applyBorder="1" applyAlignment="1">
      <alignment vertical="center"/>
    </xf>
    <xf numFmtId="5" fontId="10" fillId="3" borderId="4" xfId="5" applyNumberFormat="1" applyFont="1" applyFill="1" applyBorder="1" applyAlignment="1">
      <alignment vertical="center"/>
    </xf>
    <xf numFmtId="1" fontId="9" fillId="3" borderId="3" xfId="0" applyNumberFormat="1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5" fontId="10" fillId="3" borderId="0" xfId="0" applyNumberFormat="1" applyFont="1" applyFill="1" applyBorder="1" applyAlignment="1" applyProtection="1">
      <alignment horizontal="center" vertical="center"/>
    </xf>
    <xf numFmtId="5" fontId="10" fillId="3" borderId="0" xfId="5" applyNumberFormat="1" applyFont="1" applyFill="1" applyBorder="1" applyAlignment="1" applyProtection="1">
      <alignment horizontal="right" vertical="center"/>
    </xf>
    <xf numFmtId="1" fontId="9" fillId="3" borderId="0" xfId="0" applyNumberFormat="1" applyFont="1" applyFill="1" applyBorder="1" applyAlignment="1">
      <alignment horizontal="left" vertical="center"/>
    </xf>
    <xf numFmtId="37" fontId="10" fillId="3" borderId="0" xfId="0" applyNumberFormat="1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5" fontId="10" fillId="3" borderId="0" xfId="5" applyNumberFormat="1" applyFont="1" applyFill="1" applyAlignment="1" applyProtection="1">
      <alignment horizontal="center" vertical="center"/>
    </xf>
    <xf numFmtId="0" fontId="9" fillId="3" borderId="0" xfId="0" applyNumberFormat="1" applyFont="1" applyFill="1" applyAlignment="1">
      <alignment horizontal="center" vertical="top"/>
    </xf>
    <xf numFmtId="4" fontId="9" fillId="3" borderId="0" xfId="0" applyNumberFormat="1" applyFont="1" applyFill="1" applyAlignment="1">
      <alignment horizontal="center" vertical="top"/>
    </xf>
    <xf numFmtId="3" fontId="9" fillId="3" borderId="0" xfId="0" applyNumberFormat="1" applyFont="1" applyFill="1" applyBorder="1" applyAlignment="1">
      <alignment horizontal="center" vertical="top"/>
    </xf>
    <xf numFmtId="3" fontId="9" fillId="3" borderId="0" xfId="0" applyNumberFormat="1" applyFont="1" applyFill="1" applyAlignment="1">
      <alignment horizontal="left" vertical="top" indent="1"/>
    </xf>
    <xf numFmtId="5" fontId="10" fillId="3" borderId="0" xfId="8" applyNumberFormat="1" applyFont="1" applyFill="1" applyAlignment="1">
      <alignment horizontal="right" vertical="top"/>
    </xf>
    <xf numFmtId="167" fontId="10" fillId="3" borderId="0" xfId="0" applyNumberFormat="1" applyFont="1" applyFill="1">
      <alignment vertical="top"/>
    </xf>
    <xf numFmtId="5" fontId="10" fillId="3" borderId="3" xfId="8" applyNumberFormat="1" applyFont="1" applyFill="1" applyBorder="1" applyAlignment="1">
      <alignment horizontal="right" vertical="top"/>
    </xf>
    <xf numFmtId="167" fontId="10" fillId="3" borderId="0" xfId="0" applyNumberFormat="1" applyFont="1" applyFill="1" applyBorder="1">
      <alignment vertical="top"/>
    </xf>
    <xf numFmtId="173" fontId="10" fillId="3" borderId="0" xfId="0" applyNumberFormat="1" applyFont="1" applyFill="1">
      <alignment vertical="top"/>
    </xf>
    <xf numFmtId="3" fontId="9" fillId="3" borderId="0" xfId="0" applyNumberFormat="1" applyFont="1" applyFill="1" applyAlignment="1">
      <alignment horizontal="left" vertical="top" indent="2"/>
    </xf>
    <xf numFmtId="173" fontId="10" fillId="3" borderId="0" xfId="8" applyNumberFormat="1" applyFont="1" applyFill="1" applyBorder="1" applyAlignment="1">
      <alignment horizontal="right" vertical="top"/>
    </xf>
    <xf numFmtId="5" fontId="10" fillId="3" borderId="0" xfId="8" applyNumberFormat="1" applyFont="1" applyFill="1" applyBorder="1" applyAlignment="1">
      <alignment horizontal="right" vertical="top"/>
    </xf>
    <xf numFmtId="0" fontId="10" fillId="3" borderId="13" xfId="0" applyNumberFormat="1" applyFont="1" applyFill="1" applyBorder="1" applyAlignment="1">
      <alignment horizontal="center" vertical="top"/>
    </xf>
    <xf numFmtId="3" fontId="10" fillId="3" borderId="13" xfId="0" applyNumberFormat="1" applyFont="1" applyFill="1" applyBorder="1">
      <alignment vertical="top"/>
    </xf>
    <xf numFmtId="3" fontId="10" fillId="3" borderId="13" xfId="0" applyNumberFormat="1" applyFont="1" applyFill="1" applyBorder="1" applyAlignment="1">
      <alignment horizontal="center" vertical="top"/>
    </xf>
    <xf numFmtId="3" fontId="10" fillId="3" borderId="14" xfId="0" applyNumberFormat="1" applyFont="1" applyFill="1" applyBorder="1" applyAlignment="1">
      <alignment horizontal="center" vertical="top"/>
    </xf>
    <xf numFmtId="3" fontId="9" fillId="3" borderId="0" xfId="0" applyNumberFormat="1" applyFont="1" applyFill="1" applyAlignment="1">
      <alignment horizontal="left" vertical="top"/>
    </xf>
    <xf numFmtId="173" fontId="10" fillId="3" borderId="0" xfId="8" applyNumberFormat="1" applyFont="1" applyFill="1" applyAlignment="1">
      <alignment horizontal="right" vertical="top"/>
    </xf>
    <xf numFmtId="3" fontId="10" fillId="3" borderId="15" xfId="0" applyNumberFormat="1" applyFont="1" applyFill="1" applyBorder="1">
      <alignment vertical="top"/>
    </xf>
    <xf numFmtId="3" fontId="10" fillId="3" borderId="16" xfId="0" applyNumberFormat="1" applyFont="1" applyFill="1" applyBorder="1" applyAlignment="1">
      <alignment horizontal="center" vertical="top"/>
    </xf>
    <xf numFmtId="3" fontId="10" fillId="3" borderId="16" xfId="0" applyNumberFormat="1" applyFont="1" applyFill="1" applyBorder="1">
      <alignment vertical="top"/>
    </xf>
    <xf numFmtId="3" fontId="10" fillId="3" borderId="3" xfId="0" applyNumberFormat="1" applyFont="1" applyFill="1" applyBorder="1" applyAlignment="1">
      <alignment horizontal="center" vertical="top"/>
    </xf>
    <xf numFmtId="37" fontId="10" fillId="3" borderId="0" xfId="2" applyNumberFormat="1" applyFont="1" applyFill="1" applyBorder="1">
      <alignment vertical="top"/>
    </xf>
    <xf numFmtId="5" fontId="10" fillId="3" borderId="4" xfId="8" applyNumberFormat="1" applyFont="1" applyFill="1" applyBorder="1" applyAlignment="1">
      <alignment horizontal="right" vertical="top"/>
    </xf>
    <xf numFmtId="167" fontId="10" fillId="3" borderId="0" xfId="8" applyNumberFormat="1" applyFont="1" applyFill="1" applyBorder="1" applyAlignment="1">
      <alignment horizontal="right" vertical="top"/>
    </xf>
    <xf numFmtId="178" fontId="10" fillId="3" borderId="0" xfId="0" applyNumberFormat="1" applyFont="1" applyFill="1">
      <alignment vertical="top"/>
    </xf>
    <xf numFmtId="3" fontId="10" fillId="3" borderId="17" xfId="0" applyNumberFormat="1" applyFont="1" applyFill="1" applyBorder="1">
      <alignment vertical="top"/>
    </xf>
    <xf numFmtId="3" fontId="10" fillId="3" borderId="6" xfId="0" applyNumberFormat="1" applyFont="1" applyFill="1" applyBorder="1">
      <alignment vertical="top"/>
    </xf>
    <xf numFmtId="3" fontId="10" fillId="3" borderId="18" xfId="0" applyNumberFormat="1" applyFont="1" applyFill="1" applyBorder="1">
      <alignment vertical="top"/>
    </xf>
    <xf numFmtId="10" fontId="10" fillId="3" borderId="3" xfId="19" applyNumberFormat="1" applyFont="1" applyFill="1" applyBorder="1">
      <alignment vertical="top"/>
    </xf>
    <xf numFmtId="37" fontId="9" fillId="3" borderId="6" xfId="2" applyNumberFormat="1" applyFont="1" applyFill="1" applyBorder="1">
      <alignment vertical="top"/>
    </xf>
    <xf numFmtId="3" fontId="10" fillId="3" borderId="18" xfId="0" applyNumberFormat="1" applyFont="1" applyFill="1" applyBorder="1" applyAlignment="1">
      <alignment horizontal="center" vertical="top"/>
    </xf>
    <xf numFmtId="3" fontId="9" fillId="3" borderId="0" xfId="0" quotePrefix="1" applyNumberFormat="1" applyFont="1" applyFill="1" applyAlignment="1">
      <alignment horizontal="center" vertical="top"/>
    </xf>
    <xf numFmtId="3" fontId="10" fillId="3" borderId="0" xfId="0" applyNumberFormat="1" applyFont="1" applyFill="1" applyAlignment="1">
      <alignment horizontal="left" vertical="top"/>
    </xf>
    <xf numFmtId="3" fontId="9" fillId="3" borderId="3" xfId="0" quotePrefix="1" applyNumberFormat="1" applyFont="1" applyFill="1" applyBorder="1" applyAlignment="1">
      <alignment horizontal="center" vertical="top"/>
    </xf>
    <xf numFmtId="0" fontId="10" fillId="3" borderId="0" xfId="0" applyFont="1" applyFill="1">
      <alignment vertical="top"/>
    </xf>
    <xf numFmtId="37" fontId="10" fillId="3" borderId="0" xfId="3" applyNumberFormat="1" applyFont="1" applyFill="1" applyBorder="1">
      <alignment vertical="top"/>
    </xf>
    <xf numFmtId="1" fontId="9" fillId="3" borderId="3" xfId="0" applyNumberFormat="1" applyFont="1" applyFill="1" applyBorder="1" applyAlignment="1">
      <alignment horizontal="center" vertical="top"/>
    </xf>
    <xf numFmtId="3" fontId="9" fillId="3" borderId="0" xfId="0" quotePrefix="1" applyNumberFormat="1" applyFont="1" applyFill="1" applyBorder="1" applyAlignment="1">
      <alignment horizontal="center" vertical="top"/>
    </xf>
    <xf numFmtId="3" fontId="10" fillId="3" borderId="0" xfId="3" applyFont="1" applyFill="1">
      <alignment vertical="top"/>
    </xf>
    <xf numFmtId="5" fontId="10" fillId="3" borderId="0" xfId="8" applyFont="1" applyFill="1" applyBorder="1">
      <alignment vertical="top"/>
    </xf>
    <xf numFmtId="3" fontId="9" fillId="3" borderId="0" xfId="3" applyFont="1" applyFill="1">
      <alignment vertical="top"/>
    </xf>
    <xf numFmtId="3" fontId="9" fillId="3" borderId="0" xfId="0" quotePrefix="1" applyNumberFormat="1" applyFont="1" applyFill="1" applyAlignment="1">
      <alignment horizontal="center" vertical="center"/>
    </xf>
    <xf numFmtId="3" fontId="10" fillId="3" borderId="0" xfId="0" applyNumberFormat="1" applyFont="1" applyFill="1" applyBorder="1" applyAlignment="1">
      <alignment vertical="center"/>
    </xf>
    <xf numFmtId="10" fontId="10" fillId="3" borderId="0" xfId="0" applyNumberFormat="1" applyFont="1" applyFill="1" applyAlignment="1">
      <alignment vertical="center"/>
    </xf>
    <xf numFmtId="5" fontId="10" fillId="3" borderId="4" xfId="0" applyNumberFormat="1" applyFont="1" applyFill="1" applyBorder="1" applyAlignment="1">
      <alignment vertical="center"/>
    </xf>
    <xf numFmtId="3" fontId="9" fillId="3" borderId="0" xfId="0" applyNumberFormat="1" applyFont="1" applyFill="1" applyAlignment="1">
      <alignment vertical="top"/>
    </xf>
    <xf numFmtId="3" fontId="10" fillId="3" borderId="0" xfId="0" applyNumberFormat="1" applyFont="1" applyFill="1" applyAlignment="1">
      <alignment vertical="top"/>
    </xf>
    <xf numFmtId="1" fontId="9" fillId="3" borderId="0" xfId="0" applyNumberFormat="1" applyFont="1" applyFill="1" applyAlignment="1">
      <alignment horizontal="center" vertical="top"/>
    </xf>
    <xf numFmtId="5" fontId="10" fillId="3" borderId="0" xfId="8" applyFont="1" applyFill="1" applyAlignment="1">
      <alignment horizontal="right" vertical="top"/>
    </xf>
    <xf numFmtId="41" fontId="10" fillId="3" borderId="0" xfId="3" applyNumberFormat="1" applyFont="1" applyFill="1" applyAlignment="1">
      <alignment horizontal="right" vertical="top"/>
    </xf>
    <xf numFmtId="41" fontId="10" fillId="3" borderId="3" xfId="3" applyNumberFormat="1" applyFont="1" applyFill="1" applyBorder="1" applyAlignment="1">
      <alignment horizontal="right" vertical="top"/>
    </xf>
    <xf numFmtId="41" fontId="10" fillId="3" borderId="0" xfId="0" applyNumberFormat="1" applyFont="1" applyFill="1" applyAlignment="1">
      <alignment vertical="top"/>
    </xf>
    <xf numFmtId="37" fontId="10" fillId="3" borderId="3" xfId="3" applyNumberFormat="1" applyFont="1" applyFill="1" applyBorder="1" applyAlignment="1">
      <alignment horizontal="right" vertical="top"/>
    </xf>
    <xf numFmtId="164" fontId="10" fillId="3" borderId="0" xfId="19" applyNumberFormat="1" applyFont="1" applyFill="1" applyAlignment="1">
      <alignment vertical="top"/>
    </xf>
    <xf numFmtId="164" fontId="10" fillId="3" borderId="0" xfId="19" applyNumberFormat="1" applyFont="1" applyFill="1" applyBorder="1" applyAlignment="1">
      <alignment vertical="top"/>
    </xf>
    <xf numFmtId="164" fontId="10" fillId="3" borderId="3" xfId="19" applyNumberFormat="1" applyFont="1" applyFill="1" applyBorder="1" applyAlignment="1">
      <alignment vertical="top"/>
    </xf>
    <xf numFmtId="5" fontId="9" fillId="3" borderId="0" xfId="0" applyNumberFormat="1" applyFont="1" applyFill="1" applyAlignment="1">
      <alignment vertical="top"/>
    </xf>
    <xf numFmtId="5" fontId="10" fillId="3" borderId="4" xfId="0" applyNumberFormat="1" applyFont="1" applyFill="1" applyBorder="1" applyAlignment="1">
      <alignment vertical="top"/>
    </xf>
    <xf numFmtId="0" fontId="9" fillId="3" borderId="0" xfId="0" applyFont="1" applyFill="1" applyAlignment="1"/>
    <xf numFmtId="0" fontId="10" fillId="3" borderId="0" xfId="0" applyFont="1" applyFill="1" applyAlignment="1"/>
    <xf numFmtId="0" fontId="9" fillId="3" borderId="0" xfId="0" applyFont="1" applyFill="1" applyAlignment="1">
      <alignment horizontal="center"/>
    </xf>
    <xf numFmtId="5" fontId="10" fillId="3" borderId="4" xfId="7" applyFont="1" applyFill="1" applyBorder="1">
      <alignment vertical="top"/>
    </xf>
    <xf numFmtId="9" fontId="10" fillId="3" borderId="0" xfId="20" quotePrefix="1" applyNumberFormat="1" applyFont="1" applyFill="1" applyBorder="1">
      <alignment vertical="top"/>
    </xf>
    <xf numFmtId="5" fontId="10" fillId="3" borderId="0" xfId="7" applyFont="1" applyFill="1" applyBorder="1">
      <alignment vertical="top"/>
    </xf>
    <xf numFmtId="5" fontId="9" fillId="3" borderId="4" xfId="7" applyFont="1" applyFill="1" applyBorder="1">
      <alignment vertical="top"/>
    </xf>
    <xf numFmtId="0" fontId="9" fillId="3" borderId="0" xfId="0" applyNumberFormat="1" applyFont="1" applyFill="1" applyAlignment="1">
      <alignment horizontal="left" vertical="top"/>
    </xf>
    <xf numFmtId="5" fontId="10" fillId="3" borderId="4" xfId="5" applyNumberFormat="1" applyFont="1" applyFill="1" applyBorder="1">
      <alignment vertical="top"/>
    </xf>
    <xf numFmtId="3" fontId="9" fillId="3" borderId="0" xfId="0" quotePrefix="1" applyNumberFormat="1" applyFont="1" applyFill="1">
      <alignment vertical="top"/>
    </xf>
    <xf numFmtId="17" fontId="9" fillId="3" borderId="20" xfId="0" quotePrefix="1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170" fontId="10" fillId="3" borderId="0" xfId="2" applyNumberFormat="1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170" fontId="10" fillId="3" borderId="20" xfId="0" applyNumberFormat="1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Alignment="1">
      <alignment vertical="center"/>
    </xf>
    <xf numFmtId="10" fontId="10" fillId="3" borderId="0" xfId="19" applyFont="1" applyFill="1" applyAlignment="1">
      <alignment vertical="center"/>
    </xf>
    <xf numFmtId="3" fontId="10" fillId="3" borderId="6" xfId="0" applyNumberFormat="1" applyFont="1" applyFill="1" applyBorder="1" applyAlignment="1">
      <alignment vertical="center"/>
    </xf>
    <xf numFmtId="0" fontId="9" fillId="3" borderId="3" xfId="0" applyNumberFormat="1" applyFont="1" applyFill="1" applyBorder="1" applyAlignment="1">
      <alignment horizontal="center" vertical="center"/>
    </xf>
    <xf numFmtId="166" fontId="10" fillId="3" borderId="0" xfId="19" applyNumberFormat="1" applyFont="1" applyFill="1" applyAlignment="1">
      <alignment vertical="center"/>
    </xf>
    <xf numFmtId="4" fontId="9" fillId="3" borderId="0" xfId="0" applyNumberFormat="1" applyFont="1" applyFill="1" applyAlignment="1" applyProtection="1">
      <alignment horizontal="left" vertical="center"/>
      <protection locked="0"/>
    </xf>
    <xf numFmtId="17" fontId="9" fillId="3" borderId="0" xfId="0" quotePrefix="1" applyNumberFormat="1" applyFont="1" applyFill="1" applyAlignment="1">
      <alignment horizontal="center" vertical="center"/>
    </xf>
    <xf numFmtId="17" fontId="9" fillId="3" borderId="0" xfId="0" applyNumberFormat="1" applyFont="1" applyFill="1" applyAlignment="1">
      <alignment horizontal="center" vertical="center"/>
    </xf>
    <xf numFmtId="170" fontId="10" fillId="3" borderId="0" xfId="0" applyNumberFormat="1" applyFont="1" applyFill="1" applyAlignment="1">
      <alignment horizontal="center" vertical="center"/>
    </xf>
    <xf numFmtId="170" fontId="10" fillId="3" borderId="0" xfId="0" applyNumberFormat="1" applyFont="1" applyFill="1" applyAlignment="1">
      <alignment vertical="center"/>
    </xf>
    <xf numFmtId="170" fontId="10" fillId="3" borderId="21" xfId="0" applyNumberFormat="1" applyFont="1" applyFill="1" applyBorder="1" applyAlignment="1">
      <alignment vertical="center"/>
    </xf>
    <xf numFmtId="170" fontId="10" fillId="3" borderId="3" xfId="0" applyNumberFormat="1" applyFont="1" applyFill="1" applyBorder="1" applyAlignment="1">
      <alignment vertical="center"/>
    </xf>
    <xf numFmtId="4" fontId="9" fillId="3" borderId="10" xfId="0" applyNumberFormat="1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4" fontId="10" fillId="3" borderId="10" xfId="0" applyNumberFormat="1" applyFont="1" applyFill="1" applyBorder="1" applyAlignment="1">
      <alignment vertical="center"/>
    </xf>
    <xf numFmtId="4" fontId="10" fillId="3" borderId="0" xfId="0" applyNumberFormat="1" applyFont="1" applyFill="1" applyAlignment="1">
      <alignment vertical="center"/>
    </xf>
    <xf numFmtId="37" fontId="10" fillId="3" borderId="10" xfId="0" applyNumberFormat="1" applyFont="1" applyFill="1" applyBorder="1" applyAlignment="1">
      <alignment vertical="center"/>
    </xf>
    <xf numFmtId="37" fontId="10" fillId="3" borderId="11" xfId="0" applyNumberFormat="1" applyFont="1" applyFill="1" applyBorder="1" applyAlignment="1">
      <alignment vertical="center"/>
    </xf>
    <xf numFmtId="37" fontId="10" fillId="3" borderId="9" xfId="0" applyNumberFormat="1" applyFont="1" applyFill="1" applyBorder="1" applyAlignment="1">
      <alignment vertical="center"/>
    </xf>
    <xf numFmtId="3" fontId="9" fillId="3" borderId="0" xfId="3" applyFont="1" applyFill="1" applyAlignment="1">
      <alignment horizontal="center" vertical="top"/>
    </xf>
    <xf numFmtId="3" fontId="9" fillId="3" borderId="0" xfId="0" applyNumberFormat="1" applyFont="1" applyFill="1" applyProtection="1">
      <alignment vertical="top"/>
      <protection locked="0"/>
    </xf>
    <xf numFmtId="180" fontId="10" fillId="3" borderId="0" xfId="0" applyNumberFormat="1" applyFont="1" applyFill="1">
      <alignment vertical="top"/>
    </xf>
    <xf numFmtId="37" fontId="10" fillId="3" borderId="0" xfId="2" quotePrefix="1" applyNumberFormat="1" applyFont="1" applyFill="1">
      <alignment vertical="top"/>
    </xf>
    <xf numFmtId="3" fontId="9" fillId="3" borderId="3" xfId="3" quotePrefix="1" applyFont="1" applyFill="1" applyBorder="1" applyAlignment="1">
      <alignment horizontal="center" vertical="top"/>
    </xf>
    <xf numFmtId="3" fontId="9" fillId="3" borderId="3" xfId="3" applyFont="1" applyFill="1" applyBorder="1" applyAlignment="1">
      <alignment horizontal="center" vertical="top"/>
    </xf>
    <xf numFmtId="37" fontId="10" fillId="3" borderId="0" xfId="2" applyNumberFormat="1" applyFont="1" applyFill="1" applyProtection="1">
      <alignment vertical="top"/>
    </xf>
    <xf numFmtId="37" fontId="10" fillId="3" borderId="0" xfId="2" applyNumberFormat="1" applyFont="1" applyFill="1" applyBorder="1" applyProtection="1">
      <alignment vertical="top"/>
      <protection locked="0"/>
    </xf>
    <xf numFmtId="166" fontId="10" fillId="3" borderId="0" xfId="2" applyNumberFormat="1" applyFont="1" applyFill="1">
      <alignment vertical="top"/>
    </xf>
    <xf numFmtId="37" fontId="10" fillId="3" borderId="4" xfId="2" applyNumberFormat="1" applyFont="1" applyFill="1" applyBorder="1">
      <alignment vertical="top"/>
    </xf>
    <xf numFmtId="3" fontId="10" fillId="3" borderId="0" xfId="2" applyNumberFormat="1" applyFont="1" applyFill="1">
      <alignment vertical="top"/>
    </xf>
    <xf numFmtId="4" fontId="10" fillId="3" borderId="0" xfId="2" applyFont="1" applyFill="1">
      <alignment vertical="top"/>
    </xf>
    <xf numFmtId="10" fontId="10" fillId="3" borderId="0" xfId="2" applyNumberFormat="1" applyFont="1" applyFill="1">
      <alignment vertical="top"/>
    </xf>
    <xf numFmtId="5" fontId="10" fillId="3" borderId="0" xfId="3" applyNumberFormat="1" applyFont="1" applyFill="1">
      <alignment vertical="top"/>
    </xf>
    <xf numFmtId="1" fontId="9" fillId="3" borderId="0" xfId="0" quotePrefix="1" applyNumberFormat="1" applyFont="1" applyFill="1">
      <alignment vertical="top"/>
    </xf>
    <xf numFmtId="168" fontId="10" fillId="3" borderId="0" xfId="0" applyNumberFormat="1" applyFont="1" applyFill="1">
      <alignment vertical="top"/>
    </xf>
    <xf numFmtId="168" fontId="10" fillId="3" borderId="0" xfId="0" applyNumberFormat="1" applyFont="1" applyFill="1" applyBorder="1">
      <alignment vertical="top"/>
    </xf>
    <xf numFmtId="3" fontId="9" fillId="3" borderId="12" xfId="0" applyNumberFormat="1" applyFont="1" applyFill="1" applyBorder="1">
      <alignment vertical="top"/>
    </xf>
    <xf numFmtId="3" fontId="9" fillId="3" borderId="16" xfId="0" applyNumberFormat="1" applyFont="1" applyFill="1" applyBorder="1" applyAlignment="1">
      <alignment horizontal="center" vertical="top"/>
    </xf>
    <xf numFmtId="1" fontId="10" fillId="3" borderId="0" xfId="0" applyNumberFormat="1" applyFont="1" applyFill="1" applyBorder="1" applyAlignment="1">
      <alignment horizontal="center" vertical="top"/>
    </xf>
    <xf numFmtId="3" fontId="15" fillId="3" borderId="0" xfId="0" applyNumberFormat="1" applyFont="1" applyFill="1" applyBorder="1" applyAlignment="1">
      <alignment vertical="top"/>
    </xf>
    <xf numFmtId="3" fontId="10" fillId="3" borderId="16" xfId="0" applyNumberFormat="1" applyFont="1" applyFill="1" applyBorder="1" applyAlignment="1">
      <alignment vertical="top"/>
    </xf>
    <xf numFmtId="3" fontId="9" fillId="3" borderId="6" xfId="0" applyNumberFormat="1" applyFont="1" applyFill="1" applyBorder="1">
      <alignment vertical="top"/>
    </xf>
    <xf numFmtId="10" fontId="10" fillId="3" borderId="0" xfId="19" applyFont="1" applyFill="1" applyAlignment="1">
      <alignment horizontal="center" vertical="top"/>
    </xf>
    <xf numFmtId="0" fontId="10" fillId="3" borderId="6" xfId="0" applyFont="1" applyFill="1" applyBorder="1" applyAlignment="1">
      <alignment horizontal="center" vertical="top"/>
    </xf>
    <xf numFmtId="0" fontId="10" fillId="3" borderId="6" xfId="0" applyFont="1" applyFill="1" applyBorder="1">
      <alignment vertical="top"/>
    </xf>
    <xf numFmtId="3" fontId="10" fillId="3" borderId="19" xfId="0" applyNumberFormat="1" applyFont="1" applyFill="1" applyBorder="1" applyAlignment="1">
      <alignment vertical="top"/>
    </xf>
    <xf numFmtId="10" fontId="10" fillId="3" borderId="19" xfId="19" applyFont="1" applyFill="1" applyBorder="1">
      <alignment vertical="top"/>
    </xf>
    <xf numFmtId="3" fontId="9" fillId="3" borderId="25" xfId="0" applyNumberFormat="1" applyFont="1" applyFill="1" applyBorder="1">
      <alignment vertical="top"/>
    </xf>
    <xf numFmtId="172" fontId="9" fillId="3" borderId="3" xfId="0" applyNumberFormat="1" applyFont="1" applyFill="1" applyBorder="1" applyAlignment="1">
      <alignment horizontal="center" vertical="top"/>
    </xf>
    <xf numFmtId="37" fontId="10" fillId="3" borderId="3" xfId="8" applyNumberFormat="1" applyFont="1" applyFill="1" applyBorder="1">
      <alignment vertical="top"/>
    </xf>
    <xf numFmtId="3" fontId="10" fillId="3" borderId="0" xfId="2" applyNumberFormat="1" applyFont="1" applyFill="1" applyBorder="1">
      <alignment vertical="top"/>
    </xf>
    <xf numFmtId="3" fontId="10" fillId="3" borderId="6" xfId="0" applyNumberFormat="1" applyFont="1" applyFill="1" applyBorder="1" applyAlignment="1">
      <alignment horizontal="center" vertical="top"/>
    </xf>
    <xf numFmtId="0" fontId="9" fillId="3" borderId="12" xfId="0" applyFont="1" applyFill="1" applyBorder="1" applyAlignment="1"/>
    <xf numFmtId="0" fontId="9" fillId="3" borderId="23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left"/>
    </xf>
    <xf numFmtId="37" fontId="10" fillId="3" borderId="4" xfId="8" applyNumberFormat="1" applyFont="1" applyFill="1" applyBorder="1">
      <alignment vertical="top"/>
    </xf>
    <xf numFmtId="0" fontId="10" fillId="3" borderId="17" xfId="0" applyFont="1" applyFill="1" applyBorder="1" applyAlignment="1">
      <alignment horizontal="left"/>
    </xf>
    <xf numFmtId="3" fontId="10" fillId="3" borderId="3" xfId="2" applyNumberFormat="1" applyFont="1" applyFill="1" applyBorder="1">
      <alignment vertical="top"/>
    </xf>
    <xf numFmtId="3" fontId="12" fillId="3" borderId="0" xfId="0" applyNumberFormat="1" applyFont="1" applyFill="1">
      <alignment vertical="top"/>
    </xf>
    <xf numFmtId="3" fontId="13" fillId="3" borderId="0" xfId="0" applyNumberFormat="1" applyFont="1" applyFill="1">
      <alignment vertical="top"/>
    </xf>
    <xf numFmtId="0" fontId="12" fillId="3" borderId="0" xfId="0" applyFont="1" applyFill="1" applyAlignment="1"/>
    <xf numFmtId="3" fontId="9" fillId="3" borderId="3" xfId="2" applyNumberFormat="1" applyFont="1" applyFill="1" applyBorder="1" applyAlignment="1">
      <alignment horizontal="center" vertical="top"/>
    </xf>
    <xf numFmtId="3" fontId="9" fillId="3" borderId="0" xfId="2" applyNumberFormat="1" applyFont="1" applyFill="1" applyAlignment="1">
      <alignment horizontal="center" vertical="top"/>
    </xf>
    <xf numFmtId="3" fontId="9" fillId="3" borderId="0" xfId="2" applyNumberFormat="1" applyFont="1" applyFill="1">
      <alignment vertical="top"/>
    </xf>
    <xf numFmtId="3" fontId="10" fillId="3" borderId="0" xfId="2" applyNumberFormat="1" applyFont="1" applyFill="1" applyAlignment="1">
      <alignment horizontal="center" vertical="top"/>
    </xf>
    <xf numFmtId="3" fontId="9" fillId="3" borderId="0" xfId="2" applyNumberFormat="1" applyFont="1" applyFill="1" applyAlignment="1">
      <alignment horizontal="left" vertical="top" indent="1"/>
    </xf>
    <xf numFmtId="4" fontId="10" fillId="3" borderId="0" xfId="0" applyNumberFormat="1" applyFont="1" applyFill="1" applyAlignment="1">
      <alignment horizontal="center" vertical="top"/>
    </xf>
    <xf numFmtId="37" fontId="10" fillId="3" borderId="0" xfId="2" applyNumberFormat="1" applyFont="1" applyFill="1" applyAlignment="1">
      <alignment horizontal="right" vertical="top"/>
    </xf>
    <xf numFmtId="37" fontId="10" fillId="3" borderId="0" xfId="20" applyNumberFormat="1" applyFont="1" applyFill="1">
      <alignment vertical="top"/>
    </xf>
    <xf numFmtId="0" fontId="0" fillId="3" borderId="0" xfId="0" applyFont="1" applyFill="1" applyAlignment="1">
      <alignment horizontal="center"/>
    </xf>
    <xf numFmtId="3" fontId="4" fillId="3" borderId="0" xfId="25" applyNumberFormat="1" applyFont="1" applyFill="1" applyAlignment="1">
      <alignment horizontal="center" vertical="center"/>
    </xf>
    <xf numFmtId="0" fontId="0" fillId="3" borderId="0" xfId="0" applyFill="1" applyAlignment="1"/>
    <xf numFmtId="170" fontId="0" fillId="3" borderId="0" xfId="2" applyNumberFormat="1" applyFont="1" applyFill="1" applyAlignment="1"/>
    <xf numFmtId="5" fontId="10" fillId="3" borderId="0" xfId="19" applyNumberFormat="1" applyFont="1" applyFill="1">
      <alignment vertical="top"/>
    </xf>
    <xf numFmtId="3" fontId="10" fillId="3" borderId="0" xfId="0" applyNumberFormat="1" applyFont="1" applyFill="1" applyAlignment="1">
      <alignment horizontal="right" vertical="top"/>
    </xf>
    <xf numFmtId="5" fontId="10" fillId="3" borderId="7" xfId="0" applyNumberFormat="1" applyFont="1" applyFill="1" applyBorder="1">
      <alignment vertical="top"/>
    </xf>
    <xf numFmtId="0" fontId="10" fillId="3" borderId="0" xfId="0" applyFont="1" applyFill="1" applyBorder="1">
      <alignment vertical="top"/>
    </xf>
    <xf numFmtId="37" fontId="9" fillId="3" borderId="0" xfId="0" applyNumberFormat="1" applyFont="1" applyFill="1" applyAlignment="1">
      <alignment horizontal="center"/>
    </xf>
    <xf numFmtId="176" fontId="9" fillId="3" borderId="3" xfId="0" quotePrefix="1" applyNumberFormat="1" applyFont="1" applyFill="1" applyBorder="1" applyAlignment="1">
      <alignment horizontal="center"/>
    </xf>
    <xf numFmtId="37" fontId="9" fillId="3" borderId="3" xfId="0" applyNumberFormat="1" applyFont="1" applyFill="1" applyBorder="1" applyAlignment="1">
      <alignment horizontal="center"/>
    </xf>
    <xf numFmtId="3" fontId="9" fillId="3" borderId="0" xfId="3" applyFont="1" applyFill="1" applyBorder="1">
      <alignment vertical="top"/>
    </xf>
    <xf numFmtId="41" fontId="9" fillId="3" borderId="0" xfId="3" applyNumberFormat="1" applyFont="1" applyFill="1" applyBorder="1" applyAlignment="1">
      <alignment horizontal="center" vertical="top"/>
    </xf>
    <xf numFmtId="3" fontId="9" fillId="3" borderId="0" xfId="3" applyFont="1" applyFill="1" applyBorder="1" applyAlignment="1">
      <alignment horizontal="center" vertical="top"/>
    </xf>
    <xf numFmtId="0" fontId="9" fillId="3" borderId="0" xfId="0" applyFont="1" applyFill="1" applyAlignment="1">
      <alignment horizontal="left"/>
    </xf>
    <xf numFmtId="41" fontId="15" fillId="3" borderId="0" xfId="3" applyNumberFormat="1" applyFont="1" applyFill="1" applyBorder="1">
      <alignment vertical="top"/>
    </xf>
    <xf numFmtId="41" fontId="10" fillId="3" borderId="0" xfId="3" applyNumberFormat="1" applyFont="1" applyFill="1" applyBorder="1">
      <alignment vertical="top"/>
    </xf>
    <xf numFmtId="41" fontId="10" fillId="3" borderId="0" xfId="3" quotePrefix="1" applyNumberFormat="1" applyFont="1" applyFill="1" applyBorder="1">
      <alignment vertical="top"/>
    </xf>
    <xf numFmtId="41" fontId="10" fillId="3" borderId="3" xfId="3" applyNumberFormat="1" applyFont="1" applyFill="1" applyBorder="1">
      <alignment vertical="top"/>
    </xf>
    <xf numFmtId="41" fontId="10" fillId="3" borderId="4" xfId="3" applyNumberFormat="1" applyFont="1" applyFill="1" applyBorder="1">
      <alignment vertical="top"/>
    </xf>
    <xf numFmtId="43" fontId="15" fillId="3" borderId="0" xfId="3" applyNumberFormat="1" applyFont="1" applyFill="1" applyBorder="1">
      <alignment vertical="top"/>
    </xf>
    <xf numFmtId="43" fontId="10" fillId="3" borderId="0" xfId="3" applyNumberFormat="1" applyFont="1" applyFill="1" applyBorder="1">
      <alignment vertical="top"/>
    </xf>
    <xf numFmtId="3" fontId="17" fillId="3" borderId="0" xfId="3" applyFont="1" applyFill="1" applyBorder="1">
      <alignment vertical="top"/>
    </xf>
    <xf numFmtId="0" fontId="15" fillId="3" borderId="0" xfId="0" applyFont="1" applyFill="1" applyBorder="1">
      <alignment vertical="top"/>
    </xf>
    <xf numFmtId="0" fontId="15" fillId="3" borderId="0" xfId="0" applyFont="1" applyFill="1">
      <alignment vertical="top"/>
    </xf>
    <xf numFmtId="0" fontId="9" fillId="3" borderId="0" xfId="0" applyFont="1" applyFill="1" applyBorder="1">
      <alignment vertical="top"/>
    </xf>
    <xf numFmtId="3" fontId="9" fillId="3" borderId="0" xfId="3" quotePrefix="1" applyFont="1" applyFill="1" applyAlignment="1">
      <alignment horizontal="left" vertical="top"/>
    </xf>
    <xf numFmtId="41" fontId="10" fillId="3" borderId="0" xfId="0" applyNumberFormat="1" applyFont="1" applyFill="1" applyBorder="1">
      <alignment vertical="top"/>
    </xf>
    <xf numFmtId="0" fontId="9" fillId="3" borderId="0" xfId="0" quotePrefix="1" applyFont="1" applyFill="1" applyAlignment="1">
      <alignment horizontal="left" vertical="top"/>
    </xf>
    <xf numFmtId="181" fontId="10" fillId="3" borderId="0" xfId="5" applyNumberFormat="1" applyFont="1" applyFill="1">
      <alignment vertical="top"/>
    </xf>
    <xf numFmtId="3" fontId="21" fillId="3" borderId="0" xfId="0" applyNumberFormat="1" applyFont="1" applyFill="1" applyAlignment="1">
      <alignment vertical="center"/>
    </xf>
    <xf numFmtId="3" fontId="22" fillId="3" borderId="0" xfId="0" applyNumberFormat="1" applyFont="1" applyFill="1">
      <alignment vertical="top"/>
    </xf>
    <xf numFmtId="5" fontId="15" fillId="3" borderId="0" xfId="5" applyNumberFormat="1" applyFont="1" applyFill="1">
      <alignment vertical="top"/>
    </xf>
    <xf numFmtId="3" fontId="23" fillId="3" borderId="0" xfId="0" applyNumberFormat="1" applyFont="1" applyFill="1">
      <alignment vertical="top"/>
    </xf>
    <xf numFmtId="5" fontId="10" fillId="3" borderId="0" xfId="5" applyNumberFormat="1" applyFont="1" applyFill="1" applyProtection="1">
      <alignment vertical="top"/>
    </xf>
    <xf numFmtId="37" fontId="23" fillId="3" borderId="0" xfId="2" applyNumberFormat="1" applyFont="1" applyFill="1">
      <alignment vertical="top"/>
    </xf>
    <xf numFmtId="3" fontId="21" fillId="3" borderId="0" xfId="0" applyNumberFormat="1" applyFont="1" applyFill="1" applyBorder="1">
      <alignment vertical="top"/>
    </xf>
    <xf numFmtId="170" fontId="10" fillId="3" borderId="3" xfId="2" applyNumberFormat="1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vertical="top"/>
    </xf>
    <xf numFmtId="3" fontId="17" fillId="0" borderId="0" xfId="0" applyNumberFormat="1" applyFont="1" applyFill="1">
      <alignment vertical="top"/>
    </xf>
    <xf numFmtId="10" fontId="14" fillId="3" borderId="0" xfId="0" applyNumberFormat="1" applyFont="1" applyFill="1" applyBorder="1">
      <alignment vertical="top"/>
    </xf>
    <xf numFmtId="168" fontId="14" fillId="3" borderId="0" xfId="0" applyNumberFormat="1" applyFont="1" applyFill="1" applyBorder="1">
      <alignment vertical="top"/>
    </xf>
    <xf numFmtId="3" fontId="9" fillId="3" borderId="0" xfId="0" quotePrefix="1" applyNumberFormat="1" applyFont="1" applyFill="1" applyBorder="1" applyAlignment="1">
      <alignment horizontal="left" vertical="top"/>
    </xf>
    <xf numFmtId="3" fontId="24" fillId="3" borderId="0" xfId="0" applyNumberFormat="1" applyFont="1" applyFill="1">
      <alignment vertical="top"/>
    </xf>
    <xf numFmtId="10" fontId="10" fillId="3" borderId="19" xfId="0" applyNumberFormat="1" applyFont="1" applyFill="1" applyBorder="1" applyAlignment="1"/>
    <xf numFmtId="3" fontId="10" fillId="3" borderId="16" xfId="2" applyNumberFormat="1" applyFont="1" applyFill="1" applyBorder="1" applyAlignment="1"/>
    <xf numFmtId="3" fontId="10" fillId="3" borderId="24" xfId="2" applyNumberFormat="1" applyFont="1" applyFill="1" applyBorder="1" applyAlignment="1"/>
    <xf numFmtId="10" fontId="10" fillId="3" borderId="19" xfId="19" applyNumberFormat="1" applyFont="1" applyFill="1" applyBorder="1" applyAlignment="1"/>
    <xf numFmtId="3" fontId="10" fillId="3" borderId="18" xfId="2" applyNumberFormat="1" applyFont="1" applyFill="1" applyBorder="1" applyAlignment="1"/>
    <xf numFmtId="10" fontId="15" fillId="3" borderId="0" xfId="0" applyNumberFormat="1" applyFont="1" applyFill="1" applyBorder="1">
      <alignment vertical="top"/>
    </xf>
    <xf numFmtId="166" fontId="10" fillId="0" borderId="3" xfId="19" applyNumberFormat="1" applyFont="1" applyFill="1" applyBorder="1">
      <alignment vertical="top"/>
    </xf>
    <xf numFmtId="10" fontId="10" fillId="3" borderId="0" xfId="2" applyNumberFormat="1" applyFont="1" applyFill="1" applyBorder="1">
      <alignment vertical="top"/>
    </xf>
    <xf numFmtId="10" fontId="9" fillId="3" borderId="0" xfId="0" applyNumberFormat="1" applyFont="1" applyFill="1" applyBorder="1">
      <alignment vertical="top"/>
    </xf>
    <xf numFmtId="3" fontId="25" fillId="0" borderId="0" xfId="27" applyNumberFormat="1" applyFill="1">
      <alignment vertical="top"/>
    </xf>
    <xf numFmtId="3" fontId="9" fillId="3" borderId="8" xfId="0" applyNumberFormat="1" applyFont="1" applyFill="1" applyBorder="1" applyAlignment="1">
      <alignment horizontal="center" vertical="top"/>
    </xf>
    <xf numFmtId="37" fontId="15" fillId="3" borderId="3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vertical="center"/>
    </xf>
    <xf numFmtId="3" fontId="26" fillId="3" borderId="0" xfId="27" applyNumberFormat="1" applyFont="1" applyFill="1" applyAlignment="1">
      <alignment vertical="center"/>
    </xf>
    <xf numFmtId="3" fontId="26" fillId="3" borderId="0" xfId="27" applyNumberFormat="1" applyFont="1" applyFill="1">
      <alignment vertical="top"/>
    </xf>
    <xf numFmtId="0" fontId="8" fillId="3" borderId="0" xfId="0" applyFont="1" applyFill="1" applyAlignment="1"/>
    <xf numFmtId="17" fontId="0" fillId="3" borderId="3" xfId="0" applyNumberFormat="1" applyFill="1" applyBorder="1" applyAlignment="1">
      <alignment horizontal="center"/>
    </xf>
    <xf numFmtId="17" fontId="0" fillId="3" borderId="0" xfId="0" applyNumberFormat="1" applyFill="1" applyAlignment="1"/>
    <xf numFmtId="10" fontId="0" fillId="3" borderId="0" xfId="19" applyNumberFormat="1" applyFont="1" applyFill="1" applyAlignment="1"/>
    <xf numFmtId="170" fontId="0" fillId="3" borderId="8" xfId="2" applyNumberFormat="1" applyFont="1" applyFill="1" applyBorder="1" applyAlignment="1"/>
    <xf numFmtId="170" fontId="0" fillId="3" borderId="7" xfId="0" applyNumberFormat="1" applyFill="1" applyBorder="1" applyAlignment="1"/>
    <xf numFmtId="0" fontId="4" fillId="3" borderId="0" xfId="0" applyFont="1" applyFill="1" applyAlignment="1"/>
    <xf numFmtId="170" fontId="9" fillId="3" borderId="20" xfId="2" applyNumberFormat="1" applyFont="1" applyFill="1" applyBorder="1" applyAlignment="1">
      <alignment vertical="center"/>
    </xf>
    <xf numFmtId="170" fontId="9" fillId="3" borderId="0" xfId="2" applyNumberFormat="1" applyFont="1" applyFill="1" applyBorder="1" applyAlignment="1">
      <alignment vertical="center"/>
    </xf>
    <xf numFmtId="170" fontId="9" fillId="3" borderId="0" xfId="0" applyNumberFormat="1" applyFont="1" applyFill="1" applyAlignment="1">
      <alignment vertical="center"/>
    </xf>
    <xf numFmtId="0" fontId="0" fillId="3" borderId="34" xfId="0" applyFill="1" applyBorder="1" applyAlignment="1"/>
    <xf numFmtId="170" fontId="0" fillId="3" borderId="35" xfId="0" applyNumberFormat="1" applyFill="1" applyBorder="1" applyAlignment="1"/>
    <xf numFmtId="0" fontId="27" fillId="3" borderId="0" xfId="27" applyFont="1" applyFill="1" applyAlignment="1"/>
    <xf numFmtId="170" fontId="0" fillId="3" borderId="0" xfId="0" applyNumberFormat="1" applyFill="1" applyBorder="1" applyAlignment="1"/>
    <xf numFmtId="0" fontId="28" fillId="3" borderId="0" xfId="0" applyFont="1" applyFill="1" applyAlignment="1"/>
    <xf numFmtId="3" fontId="27" fillId="3" borderId="0" xfId="27" applyNumberFormat="1" applyFont="1" applyFill="1">
      <alignment vertical="top"/>
    </xf>
    <xf numFmtId="3" fontId="9" fillId="3" borderId="3" xfId="0" applyNumberFormat="1" applyFont="1" applyFill="1" applyBorder="1" applyAlignment="1">
      <alignment horizontal="center" vertical="top"/>
    </xf>
    <xf numFmtId="170" fontId="10" fillId="3" borderId="3" xfId="0" applyNumberFormat="1" applyFont="1" applyFill="1" applyBorder="1" applyAlignment="1"/>
    <xf numFmtId="10" fontId="10" fillId="3" borderId="0" xfId="0" applyNumberFormat="1" applyFont="1" applyFill="1" applyBorder="1">
      <alignment vertical="top"/>
    </xf>
    <xf numFmtId="7" fontId="10" fillId="3" borderId="0" xfId="0" applyNumberFormat="1" applyFont="1" applyFill="1" applyAlignment="1">
      <alignment vertical="center"/>
    </xf>
    <xf numFmtId="3" fontId="9" fillId="3" borderId="3" xfId="0" applyNumberFormat="1" applyFont="1" applyFill="1" applyBorder="1" applyAlignment="1">
      <alignment horizontal="center" vertical="top"/>
    </xf>
    <xf numFmtId="10" fontId="9" fillId="3" borderId="28" xfId="0" applyNumberFormat="1" applyFont="1" applyFill="1" applyBorder="1" applyAlignment="1">
      <alignment horizontal="center" vertical="top"/>
    </xf>
    <xf numFmtId="3" fontId="10" fillId="3" borderId="28" xfId="0" applyNumberFormat="1" applyFont="1" applyFill="1" applyBorder="1" applyProtection="1">
      <alignment vertical="top"/>
      <protection locked="0"/>
    </xf>
    <xf numFmtId="37" fontId="10" fillId="3" borderId="28" xfId="3" applyNumberFormat="1" applyFont="1" applyFill="1" applyBorder="1">
      <alignment vertical="top"/>
    </xf>
    <xf numFmtId="37" fontId="10" fillId="3" borderId="29" xfId="3" applyNumberFormat="1" applyFont="1" applyFill="1" applyBorder="1">
      <alignment vertical="top"/>
    </xf>
    <xf numFmtId="5" fontId="10" fillId="3" borderId="30" xfId="8" applyFont="1" applyFill="1" applyBorder="1">
      <alignment vertical="top"/>
    </xf>
    <xf numFmtId="5" fontId="10" fillId="3" borderId="28" xfId="8" applyFont="1" applyFill="1" applyBorder="1">
      <alignment vertical="top"/>
    </xf>
    <xf numFmtId="5" fontId="10" fillId="3" borderId="30" xfId="8" applyNumberFormat="1" applyFont="1" applyFill="1" applyBorder="1">
      <alignment vertical="top"/>
    </xf>
    <xf numFmtId="10" fontId="10" fillId="3" borderId="28" xfId="0" applyNumberFormat="1" applyFont="1" applyFill="1" applyBorder="1">
      <alignment vertical="top"/>
    </xf>
    <xf numFmtId="10" fontId="10" fillId="3" borderId="27" xfId="0" applyNumberFormat="1" applyFont="1" applyFill="1" applyBorder="1">
      <alignment vertical="top"/>
    </xf>
    <xf numFmtId="5" fontId="10" fillId="0" borderId="4" xfId="8" applyFont="1" applyFill="1" applyBorder="1">
      <alignment vertical="top"/>
    </xf>
    <xf numFmtId="10" fontId="10" fillId="0" borderId="3" xfId="19" applyNumberFormat="1" applyFont="1" applyFill="1" applyBorder="1" applyAlignment="1">
      <alignment vertical="top"/>
    </xf>
    <xf numFmtId="3" fontId="9" fillId="3" borderId="3" xfId="0" applyNumberFormat="1" applyFont="1" applyFill="1" applyBorder="1" applyAlignment="1">
      <alignment horizontal="centerContinuous" vertical="top"/>
    </xf>
    <xf numFmtId="3" fontId="17" fillId="3" borderId="0" xfId="0" applyNumberFormat="1" applyFont="1" applyFill="1">
      <alignment vertical="top"/>
    </xf>
    <xf numFmtId="3" fontId="9" fillId="3" borderId="3" xfId="0" applyNumberFormat="1" applyFont="1" applyFill="1" applyBorder="1" applyAlignment="1">
      <alignment horizontal="center" vertical="top"/>
    </xf>
    <xf numFmtId="3" fontId="10" fillId="3" borderId="0" xfId="0" applyNumberFormat="1" applyFont="1" applyFill="1" applyBorder="1" applyAlignment="1">
      <alignment horizontal="center" vertical="top"/>
    </xf>
    <xf numFmtId="3" fontId="10" fillId="3" borderId="0" xfId="0" applyNumberFormat="1" applyFont="1" applyFill="1" applyBorder="1" applyAlignment="1">
      <alignment horizontal="left" vertical="top" indent="1"/>
    </xf>
    <xf numFmtId="37" fontId="10" fillId="3" borderId="0" xfId="2" applyNumberFormat="1" applyFont="1" applyFill="1" applyBorder="1" applyAlignment="1">
      <alignment horizontal="left" vertical="top" indent="1"/>
    </xf>
    <xf numFmtId="173" fontId="10" fillId="3" borderId="0" xfId="0" applyNumberFormat="1" applyFont="1" applyFill="1" applyProtection="1">
      <alignment vertical="top"/>
      <protection locked="0"/>
    </xf>
    <xf numFmtId="173" fontId="10" fillId="3" borderId="0" xfId="3" applyNumberFormat="1" applyFont="1" applyFill="1">
      <alignment vertical="top"/>
    </xf>
    <xf numFmtId="5" fontId="10" fillId="3" borderId="3" xfId="0" applyNumberFormat="1" applyFont="1" applyFill="1" applyBorder="1">
      <alignment vertical="top"/>
    </xf>
    <xf numFmtId="37" fontId="15" fillId="3" borderId="0" xfId="0" applyNumberFormat="1" applyFont="1" applyFill="1" applyAlignment="1">
      <alignment vertical="center"/>
    </xf>
    <xf numFmtId="0" fontId="9" fillId="3" borderId="0" xfId="0" applyFont="1" applyFill="1" applyBorder="1" applyAlignment="1"/>
    <xf numFmtId="0" fontId="9" fillId="3" borderId="0" xfId="0" applyFont="1" applyFill="1" applyBorder="1" applyAlignment="1">
      <alignment horizontal="left"/>
    </xf>
    <xf numFmtId="10" fontId="10" fillId="3" borderId="0" xfId="0" applyNumberFormat="1" applyFont="1" applyFill="1" applyAlignment="1"/>
    <xf numFmtId="3" fontId="10" fillId="3" borderId="0" xfId="0" applyNumberFormat="1" applyFont="1" applyFill="1" applyAlignment="1"/>
    <xf numFmtId="3" fontId="10" fillId="3" borderId="0" xfId="0" applyNumberFormat="1" applyFont="1" applyFill="1" applyBorder="1" applyAlignment="1"/>
    <xf numFmtId="5" fontId="10" fillId="3" borderId="7" xfId="0" applyNumberFormat="1" applyFont="1" applyFill="1" applyBorder="1" applyAlignment="1"/>
    <xf numFmtId="170" fontId="15" fillId="0" borderId="0" xfId="2" applyNumberFormat="1" applyFont="1" applyFill="1" applyAlignment="1"/>
    <xf numFmtId="37" fontId="10" fillId="3" borderId="0" xfId="0" applyNumberFormat="1" applyFont="1" applyFill="1" applyBorder="1" applyAlignment="1"/>
    <xf numFmtId="37" fontId="10" fillId="3" borderId="3" xfId="0" applyNumberFormat="1" applyFont="1" applyFill="1" applyBorder="1" applyAlignment="1"/>
    <xf numFmtId="3" fontId="10" fillId="0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center" vertical="top"/>
    </xf>
    <xf numFmtId="3" fontId="9" fillId="3" borderId="3" xfId="0" applyNumberFormat="1" applyFont="1" applyFill="1" applyBorder="1" applyAlignment="1">
      <alignment horizontal="center" vertical="top"/>
    </xf>
    <xf numFmtId="37" fontId="10" fillId="0" borderId="0" xfId="2" applyNumberFormat="1" applyFont="1" applyFill="1">
      <alignment vertical="top"/>
    </xf>
    <xf numFmtId="182" fontId="10" fillId="3" borderId="0" xfId="0" applyNumberFormat="1" applyFont="1" applyFill="1">
      <alignment vertical="top"/>
    </xf>
    <xf numFmtId="182" fontId="10" fillId="3" borderId="7" xfId="2" applyNumberFormat="1" applyFont="1" applyFill="1" applyBorder="1" applyAlignment="1"/>
    <xf numFmtId="182" fontId="10" fillId="3" borderId="0" xfId="2" applyNumberFormat="1" applyFont="1" applyFill="1" applyAlignment="1"/>
    <xf numFmtId="3" fontId="29" fillId="3" borderId="0" xfId="0" applyNumberFormat="1" applyFont="1" applyFill="1">
      <alignment vertical="top"/>
    </xf>
    <xf numFmtId="5" fontId="14" fillId="3" borderId="0" xfId="0" applyNumberFormat="1" applyFont="1" applyFill="1">
      <alignment vertical="top"/>
    </xf>
    <xf numFmtId="37" fontId="14" fillId="3" borderId="0" xfId="0" applyNumberFormat="1" applyFont="1" applyFill="1">
      <alignment vertical="top"/>
    </xf>
    <xf numFmtId="37" fontId="14" fillId="3" borderId="3" xfId="0" applyNumberFormat="1" applyFont="1" applyFill="1" applyBorder="1">
      <alignment vertical="top"/>
    </xf>
    <xf numFmtId="5" fontId="9" fillId="3" borderId="0" xfId="0" applyNumberFormat="1" applyFont="1" applyFill="1" applyBorder="1">
      <alignment vertical="top"/>
    </xf>
    <xf numFmtId="41" fontId="10" fillId="3" borderId="4" xfId="8" applyNumberFormat="1" applyFont="1" applyFill="1" applyBorder="1">
      <alignment vertical="top"/>
    </xf>
    <xf numFmtId="0" fontId="9" fillId="3" borderId="0" xfId="0" quotePrefix="1" applyFont="1" applyFill="1" applyBorder="1" applyAlignment="1">
      <alignment horizontal="left" vertical="top"/>
    </xf>
    <xf numFmtId="3" fontId="27" fillId="3" borderId="0" xfId="27" applyNumberFormat="1" applyFont="1" applyFill="1" applyAlignment="1">
      <alignment horizontal="left" vertical="center"/>
    </xf>
    <xf numFmtId="0" fontId="27" fillId="0" borderId="0" xfId="27" applyFont="1" applyFill="1">
      <alignment vertical="top"/>
    </xf>
    <xf numFmtId="3" fontId="9" fillId="3" borderId="0" xfId="0" applyNumberFormat="1" applyFont="1" applyFill="1" applyBorder="1" applyAlignment="1">
      <alignment horizontal="center" vertical="top"/>
    </xf>
    <xf numFmtId="3" fontId="14" fillId="3" borderId="0" xfId="0" applyNumberFormat="1" applyFont="1" applyFill="1" applyBorder="1">
      <alignment vertical="top"/>
    </xf>
    <xf numFmtId="168" fontId="10" fillId="3" borderId="0" xfId="0" applyNumberFormat="1" applyFont="1" applyFill="1" applyAlignment="1">
      <alignment horizontal="center" vertical="top"/>
    </xf>
    <xf numFmtId="3" fontId="18" fillId="3" borderId="0" xfId="2" applyNumberFormat="1" applyFont="1" applyFill="1">
      <alignment vertical="top"/>
    </xf>
    <xf numFmtId="0" fontId="10" fillId="3" borderId="0" xfId="0" applyNumberFormat="1" applyFont="1" applyFill="1" applyBorder="1">
      <alignment vertical="top"/>
    </xf>
    <xf numFmtId="168" fontId="15" fillId="3" borderId="0" xfId="0" applyNumberFormat="1" applyFont="1" applyFill="1" applyBorder="1">
      <alignment vertical="top"/>
    </xf>
    <xf numFmtId="165" fontId="10" fillId="3" borderId="0" xfId="0" applyNumberFormat="1" applyFont="1" applyFill="1">
      <alignment vertical="top"/>
    </xf>
    <xf numFmtId="37" fontId="9" fillId="3" borderId="7" xfId="0" applyNumberFormat="1" applyFont="1" applyFill="1" applyBorder="1" applyAlignment="1">
      <alignment vertical="center"/>
    </xf>
    <xf numFmtId="3" fontId="9" fillId="0" borderId="0" xfId="0" applyNumberFormat="1" applyFont="1" applyFill="1">
      <alignment vertical="top"/>
    </xf>
    <xf numFmtId="1" fontId="9" fillId="3" borderId="3" xfId="0" applyNumberFormat="1" applyFont="1" applyFill="1" applyBorder="1" applyAlignment="1">
      <alignment horizontal="center" vertical="center"/>
    </xf>
    <xf numFmtId="171" fontId="10" fillId="0" borderId="0" xfId="0" applyNumberFormat="1" applyFont="1" applyFill="1" applyAlignment="1" applyProtection="1">
      <alignment vertical="center"/>
    </xf>
    <xf numFmtId="0" fontId="9" fillId="3" borderId="0" xfId="0" applyFont="1" applyFill="1" applyBorder="1" applyAlignment="1">
      <alignment horizontal="center" vertical="top"/>
    </xf>
    <xf numFmtId="0" fontId="9" fillId="3" borderId="0" xfId="0" quotePrefix="1" applyFont="1" applyFill="1" applyBorder="1" applyAlignment="1">
      <alignment horizontal="center" vertical="top"/>
    </xf>
    <xf numFmtId="37" fontId="10" fillId="3" borderId="8" xfId="2" applyNumberFormat="1" applyFont="1" applyFill="1" applyBorder="1">
      <alignment vertical="top"/>
    </xf>
    <xf numFmtId="1" fontId="9" fillId="3" borderId="3" xfId="0" applyNumberFormat="1" applyFont="1" applyFill="1" applyBorder="1" applyAlignment="1">
      <alignment horizontal="center" vertical="center"/>
    </xf>
    <xf numFmtId="37" fontId="10" fillId="3" borderId="0" xfId="17" applyNumberFormat="1" applyFont="1" applyFill="1" applyAlignment="1" applyProtection="1">
      <alignment vertical="center"/>
    </xf>
    <xf numFmtId="5" fontId="10" fillId="3" borderId="0" xfId="17" applyNumberFormat="1" applyFont="1" applyFill="1" applyAlignment="1" applyProtection="1">
      <alignment vertical="center"/>
    </xf>
    <xf numFmtId="3" fontId="10" fillId="3" borderId="0" xfId="0" applyNumberFormat="1" applyFont="1" applyFill="1" applyBorder="1" applyAlignment="1">
      <alignment horizontal="right" vertical="top"/>
    </xf>
    <xf numFmtId="166" fontId="0" fillId="3" borderId="0" xfId="19" applyNumberFormat="1" applyFont="1" applyFill="1" applyBorder="1" applyAlignment="1">
      <alignment horizontal="center" vertical="center"/>
    </xf>
    <xf numFmtId="170" fontId="0" fillId="3" borderId="0" xfId="2" applyNumberFormat="1" applyFont="1" applyFill="1" applyBorder="1" applyAlignment="1">
      <alignment horizontal="center" vertical="center"/>
    </xf>
    <xf numFmtId="170" fontId="0" fillId="3" borderId="0" xfId="2" applyNumberFormat="1" applyFont="1" applyFill="1" applyBorder="1" applyAlignment="1">
      <alignment vertical="center"/>
    </xf>
    <xf numFmtId="164" fontId="0" fillId="3" borderId="0" xfId="19" applyNumberFormat="1" applyFont="1" applyFill="1" applyBorder="1" applyAlignment="1">
      <alignment vertical="center"/>
    </xf>
    <xf numFmtId="5" fontId="10" fillId="3" borderId="3" xfId="5" applyNumberFormat="1" applyFont="1" applyFill="1" applyBorder="1" applyAlignment="1">
      <alignment vertical="center"/>
    </xf>
    <xf numFmtId="37" fontId="10" fillId="3" borderId="0" xfId="0" applyNumberFormat="1" applyFont="1" applyFill="1" applyAlignment="1">
      <alignment horizontal="center" vertical="center"/>
    </xf>
    <xf numFmtId="3" fontId="10" fillId="3" borderId="0" xfId="2" applyNumberFormat="1" applyFont="1" applyFill="1" applyBorder="1" applyAlignment="1" applyProtection="1">
      <alignment horizontal="right" vertical="center"/>
    </xf>
    <xf numFmtId="175" fontId="10" fillId="3" borderId="0" xfId="0" applyNumberFormat="1" applyFont="1" applyFill="1" applyBorder="1" applyAlignment="1" applyProtection="1">
      <alignment horizontal="center" vertical="center"/>
    </xf>
    <xf numFmtId="3" fontId="9" fillId="3" borderId="3" xfId="0" applyNumberFormat="1" applyFont="1" applyFill="1" applyBorder="1" applyAlignment="1">
      <alignment horizontal="center" vertical="top"/>
    </xf>
    <xf numFmtId="3" fontId="9" fillId="3" borderId="3" xfId="0" applyNumberFormat="1" applyFont="1" applyFill="1" applyBorder="1" applyAlignment="1">
      <alignment horizontal="center" vertical="top"/>
    </xf>
    <xf numFmtId="3" fontId="9" fillId="2" borderId="3" xfId="0" applyNumberFormat="1" applyFont="1" applyFill="1" applyBorder="1" applyAlignment="1">
      <alignment horizontal="center" vertical="top"/>
    </xf>
    <xf numFmtId="10" fontId="0" fillId="3" borderId="0" xfId="2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center" vertical="top"/>
    </xf>
    <xf numFmtId="0" fontId="9" fillId="3" borderId="0" xfId="0" applyNumberFormat="1" applyFont="1" applyFill="1" applyBorder="1">
      <alignment vertical="top"/>
    </xf>
    <xf numFmtId="165" fontId="10" fillId="3" borderId="0" xfId="0" applyNumberFormat="1" applyFont="1" applyFill="1" applyBorder="1">
      <alignment vertical="top"/>
    </xf>
    <xf numFmtId="170" fontId="0" fillId="3" borderId="0" xfId="0" applyNumberFormat="1" applyFill="1" applyAlignment="1"/>
    <xf numFmtId="0" fontId="29" fillId="3" borderId="0" xfId="0" applyFont="1" applyFill="1" applyAlignment="1">
      <alignment horizontal="center"/>
    </xf>
    <xf numFmtId="5" fontId="10" fillId="0" borderId="0" xfId="5" applyNumberFormat="1" applyFont="1" applyFill="1" applyBorder="1" applyAlignment="1">
      <alignment vertical="center"/>
    </xf>
    <xf numFmtId="5" fontId="10" fillId="3" borderId="0" xfId="0" applyNumberFormat="1" applyFont="1" applyFill="1" applyAlignment="1">
      <alignment horizontal="center" vertical="top"/>
    </xf>
    <xf numFmtId="5" fontId="15" fillId="3" borderId="0" xfId="16" applyNumberFormat="1" applyFont="1" applyFill="1" applyBorder="1"/>
    <xf numFmtId="0" fontId="9" fillId="3" borderId="36" xfId="0" applyNumberFormat="1" applyFont="1" applyFill="1" applyBorder="1" applyAlignment="1">
      <alignment horizontal="center" vertical="top"/>
    </xf>
    <xf numFmtId="37" fontId="9" fillId="0" borderId="8" xfId="2" applyNumberFormat="1" applyFont="1" applyFill="1" applyBorder="1">
      <alignment vertical="top"/>
    </xf>
    <xf numFmtId="5" fontId="10" fillId="3" borderId="0" xfId="16" applyNumberFormat="1" applyFont="1" applyFill="1"/>
    <xf numFmtId="5" fontId="10" fillId="3" borderId="8" xfId="8" applyNumberFormat="1" applyFont="1" applyFill="1" applyBorder="1" applyAlignment="1">
      <alignment horizontal="right" vertical="top"/>
    </xf>
    <xf numFmtId="5" fontId="10" fillId="0" borderId="0" xfId="8" applyNumberFormat="1" applyFont="1" applyFill="1" applyAlignment="1">
      <alignment horizontal="right" vertical="top"/>
    </xf>
    <xf numFmtId="5" fontId="10" fillId="3" borderId="0" xfId="0" applyNumberFormat="1" applyFont="1" applyFill="1" applyAlignment="1"/>
    <xf numFmtId="5" fontId="10" fillId="3" borderId="0" xfId="0" applyNumberFormat="1" applyFont="1" applyFill="1" applyAlignment="1">
      <alignment horizontal="right" vertical="top"/>
    </xf>
    <xf numFmtId="5" fontId="10" fillId="3" borderId="0" xfId="0" applyNumberFormat="1" applyFont="1" applyFill="1" applyBorder="1" applyAlignment="1">
      <alignment horizontal="right" vertical="top"/>
    </xf>
    <xf numFmtId="37" fontId="0" fillId="0" borderId="0" xfId="0" applyNumberFormat="1" applyAlignment="1">
      <alignment horizontal="left" vertical="top" indent="1"/>
    </xf>
    <xf numFmtId="37" fontId="9" fillId="0" borderId="0" xfId="2" applyNumberFormat="1" applyFont="1" applyFill="1" applyBorder="1">
      <alignment vertical="top"/>
    </xf>
    <xf numFmtId="5" fontId="10" fillId="0" borderId="0" xfId="0" applyNumberFormat="1" applyFont="1" applyFill="1">
      <alignment vertical="top"/>
    </xf>
    <xf numFmtId="182" fontId="10" fillId="0" borderId="7" xfId="2" applyNumberFormat="1" applyFont="1" applyFill="1" applyBorder="1" applyAlignment="1"/>
    <xf numFmtId="3" fontId="9" fillId="3" borderId="0" xfId="0" applyNumberFormat="1" applyFont="1" applyFill="1" applyBorder="1" applyAlignment="1">
      <alignment horizontal="center" vertical="top"/>
    </xf>
    <xf numFmtId="9" fontId="10" fillId="3" borderId="0" xfId="20" quotePrefix="1" applyNumberFormat="1" applyFont="1" applyFill="1" applyBorder="1" applyAlignment="1">
      <alignment horizontal="center" vertical="top"/>
    </xf>
    <xf numFmtId="10" fontId="10" fillId="3" borderId="0" xfId="20" quotePrefix="1" applyFont="1" applyFill="1" applyBorder="1" applyAlignment="1">
      <alignment horizontal="center" vertical="top"/>
    </xf>
    <xf numFmtId="5" fontId="10" fillId="3" borderId="3" xfId="8" applyFont="1" applyFill="1" applyBorder="1" applyAlignment="1">
      <alignment horizontal="right" vertical="top"/>
    </xf>
    <xf numFmtId="5" fontId="9" fillId="3" borderId="8" xfId="0" applyNumberFormat="1" applyFont="1" applyFill="1" applyBorder="1" applyAlignment="1">
      <alignment horizontal="center" vertical="top"/>
    </xf>
    <xf numFmtId="3" fontId="9" fillId="3" borderId="8" xfId="0" applyNumberFormat="1" applyFont="1" applyFill="1" applyBorder="1">
      <alignment vertical="top"/>
    </xf>
    <xf numFmtId="7" fontId="10" fillId="3" borderId="0" xfId="0" applyNumberFormat="1" applyFont="1" applyFill="1">
      <alignment vertical="top"/>
    </xf>
    <xf numFmtId="3" fontId="10" fillId="3" borderId="27" xfId="0" applyNumberFormat="1" applyFont="1" applyFill="1" applyBorder="1">
      <alignment vertical="top"/>
    </xf>
    <xf numFmtId="3" fontId="10" fillId="3" borderId="26" xfId="0" applyNumberFormat="1" applyFont="1" applyFill="1" applyBorder="1">
      <alignment vertical="top"/>
    </xf>
    <xf numFmtId="37" fontId="10" fillId="3" borderId="27" xfId="3" applyNumberFormat="1" applyFont="1" applyFill="1" applyBorder="1">
      <alignment vertical="top"/>
    </xf>
    <xf numFmtId="1" fontId="9" fillId="3" borderId="0" xfId="0" applyNumberFormat="1" applyFont="1" applyFill="1" applyBorder="1" applyAlignment="1">
      <alignment horizontal="center" vertical="top"/>
    </xf>
    <xf numFmtId="17" fontId="9" fillId="3" borderId="0" xfId="0" quotePrefix="1" applyNumberFormat="1" applyFont="1" applyFill="1" applyBorder="1" applyAlignment="1">
      <alignment horizontal="center" vertical="center"/>
    </xf>
    <xf numFmtId="17" fontId="9" fillId="0" borderId="0" xfId="0" quotePrefix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70" fontId="10" fillId="3" borderId="0" xfId="0" applyNumberFormat="1" applyFont="1" applyFill="1" applyBorder="1" applyAlignment="1">
      <alignment horizontal="center" vertical="center"/>
    </xf>
    <xf numFmtId="170" fontId="9" fillId="3" borderId="6" xfId="2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70" fontId="10" fillId="3" borderId="8" xfId="2" applyNumberFormat="1" applyFont="1" applyFill="1" applyBorder="1" applyAlignment="1">
      <alignment horizontal="center" vertical="center"/>
    </xf>
    <xf numFmtId="164" fontId="10" fillId="3" borderId="0" xfId="19" applyNumberFormat="1" applyFont="1" applyFill="1" applyAlignment="1">
      <alignment horizontal="center" vertical="top"/>
    </xf>
    <xf numFmtId="164" fontId="10" fillId="3" borderId="30" xfId="0" applyNumberFormat="1" applyFont="1" applyFill="1" applyBorder="1">
      <alignment vertical="top"/>
    </xf>
    <xf numFmtId="0" fontId="10" fillId="3" borderId="0" xfId="0" applyNumberFormat="1" applyFont="1" applyFill="1" applyBorder="1" applyAlignment="1" applyProtection="1">
      <alignment horizontal="center" vertical="top"/>
    </xf>
    <xf numFmtId="164" fontId="10" fillId="3" borderId="0" xfId="19" applyNumberFormat="1" applyFont="1" applyFill="1" applyBorder="1" applyAlignment="1">
      <alignment horizontal="center" vertical="top"/>
    </xf>
    <xf numFmtId="37" fontId="9" fillId="3" borderId="0" xfId="0" applyNumberFormat="1" applyFont="1" applyFill="1" applyAlignment="1">
      <alignment horizontal="center" vertical="top"/>
    </xf>
    <xf numFmtId="37" fontId="10" fillId="3" borderId="28" xfId="2" applyNumberFormat="1" applyFont="1" applyFill="1" applyBorder="1">
      <alignment vertical="top"/>
    </xf>
    <xf numFmtId="37" fontId="10" fillId="3" borderId="29" xfId="2" applyNumberFormat="1" applyFont="1" applyFill="1" applyBorder="1">
      <alignment vertical="top"/>
    </xf>
    <xf numFmtId="3" fontId="9" fillId="3" borderId="3" xfId="0" applyNumberFormat="1" applyFont="1" applyFill="1" applyBorder="1" applyAlignment="1">
      <alignment horizontal="center" vertical="top"/>
    </xf>
    <xf numFmtId="3" fontId="9" fillId="3" borderId="0" xfId="0" applyNumberFormat="1" applyFont="1" applyFill="1" applyBorder="1" applyAlignment="1">
      <alignment horizontal="center" vertical="top"/>
    </xf>
    <xf numFmtId="5" fontId="10" fillId="3" borderId="0" xfId="5" applyNumberFormat="1" applyFont="1" applyFill="1" applyBorder="1">
      <alignment vertical="top"/>
    </xf>
    <xf numFmtId="5" fontId="10" fillId="0" borderId="4" xfId="5" applyNumberFormat="1" applyFont="1" applyFill="1" applyBorder="1">
      <alignment vertical="top"/>
    </xf>
    <xf numFmtId="3" fontId="0" fillId="3" borderId="0" xfId="0" applyNumberFormat="1" applyFill="1" applyAlignment="1">
      <alignment horizontal="center" vertical="top"/>
    </xf>
    <xf numFmtId="5" fontId="10" fillId="3" borderId="0" xfId="5" applyNumberFormat="1" applyFont="1" applyFill="1" applyAlignment="1">
      <alignment horizontal="center" vertical="top"/>
    </xf>
    <xf numFmtId="182" fontId="10" fillId="3" borderId="0" xfId="0" applyNumberFormat="1" applyFont="1" applyFill="1" applyAlignment="1">
      <alignment horizontal="center" vertical="top"/>
    </xf>
    <xf numFmtId="5" fontId="10" fillId="3" borderId="7" xfId="5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/>
    </xf>
    <xf numFmtId="3" fontId="9" fillId="3" borderId="3" xfId="0" applyNumberFormat="1" applyFont="1" applyFill="1" applyBorder="1" applyAlignment="1">
      <alignment horizontal="center" vertical="center" wrapText="1"/>
    </xf>
    <xf numFmtId="10" fontId="9" fillId="3" borderId="0" xfId="0" applyNumberFormat="1" applyFont="1" applyFill="1" applyBorder="1" applyAlignment="1">
      <alignment horizontal="center" vertical="top"/>
    </xf>
    <xf numFmtId="3" fontId="10" fillId="3" borderId="0" xfId="0" applyNumberFormat="1" applyFont="1" applyFill="1" applyBorder="1" applyProtection="1">
      <alignment vertical="top"/>
      <protection locked="0"/>
    </xf>
    <xf numFmtId="3" fontId="9" fillId="3" borderId="24" xfId="0" applyNumberFormat="1" applyFont="1" applyFill="1" applyBorder="1" applyAlignment="1">
      <alignment horizontal="center" vertical="top"/>
    </xf>
    <xf numFmtId="10" fontId="10" fillId="3" borderId="0" xfId="19" applyNumberFormat="1" applyFont="1" applyFill="1" applyAlignment="1">
      <alignment horizontal="center" vertical="top"/>
    </xf>
    <xf numFmtId="5" fontId="10" fillId="0" borderId="0" xfId="5" applyNumberFormat="1" applyFont="1" applyFill="1" applyAlignment="1">
      <alignment vertical="center"/>
    </xf>
    <xf numFmtId="183" fontId="10" fillId="0" borderId="0" xfId="5" applyNumberFormat="1" applyFont="1" applyFill="1" applyAlignment="1">
      <alignment vertical="center"/>
    </xf>
    <xf numFmtId="3" fontId="9" fillId="2" borderId="0" xfId="0" applyNumberFormat="1" applyFont="1" applyFill="1">
      <alignment vertical="top"/>
    </xf>
    <xf numFmtId="37" fontId="10" fillId="0" borderId="4" xfId="2" applyNumberFormat="1" applyFont="1" applyFill="1" applyBorder="1">
      <alignment vertical="top"/>
    </xf>
    <xf numFmtId="4" fontId="10" fillId="3" borderId="0" xfId="0" applyNumberFormat="1" applyFont="1" applyFill="1" applyBorder="1">
      <alignment vertical="top"/>
    </xf>
    <xf numFmtId="3" fontId="9" fillId="3" borderId="3" xfId="0" applyNumberFormat="1" applyFont="1" applyFill="1" applyBorder="1" applyAlignment="1">
      <alignment horizontal="center" vertical="top"/>
    </xf>
    <xf numFmtId="3" fontId="9" fillId="3" borderId="0" xfId="0" applyNumberFormat="1" applyFont="1" applyFill="1" applyBorder="1" applyAlignment="1">
      <alignment horizontal="center" vertical="top"/>
    </xf>
    <xf numFmtId="3" fontId="30" fillId="3" borderId="0" xfId="0" applyNumberFormat="1" applyFont="1" applyFill="1" applyAlignment="1">
      <alignment vertical="center"/>
    </xf>
    <xf numFmtId="41" fontId="10" fillId="3" borderId="0" xfId="5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 vertical="top"/>
    </xf>
    <xf numFmtId="3" fontId="9" fillId="0" borderId="3" xfId="0" applyNumberFormat="1" applyFont="1" applyFill="1" applyBorder="1" applyAlignment="1">
      <alignment horizontal="center" vertical="top"/>
    </xf>
    <xf numFmtId="168" fontId="10" fillId="3" borderId="0" xfId="2" applyNumberFormat="1" applyFont="1" applyFill="1" applyBorder="1">
      <alignment vertical="top"/>
    </xf>
    <xf numFmtId="10" fontId="9" fillId="3" borderId="0" xfId="19" applyFont="1" applyFill="1" applyBorder="1" applyAlignment="1">
      <alignment vertical="top"/>
    </xf>
    <xf numFmtId="3" fontId="9" fillId="3" borderId="0" xfId="0" applyNumberFormat="1" applyFont="1" applyFill="1" applyBorder="1" applyAlignment="1">
      <alignment horizontal="center" vertical="top"/>
    </xf>
    <xf numFmtId="168" fontId="10" fillId="3" borderId="0" xfId="0" applyNumberFormat="1" applyFont="1" applyFill="1" applyBorder="1" applyAlignment="1">
      <alignment horizontal="center" vertical="top"/>
    </xf>
    <xf numFmtId="5" fontId="6" fillId="3" borderId="33" xfId="0" applyNumberFormat="1" applyFont="1" applyFill="1" applyBorder="1">
      <alignment vertical="top"/>
    </xf>
    <xf numFmtId="5" fontId="6" fillId="3" borderId="10" xfId="0" applyNumberFormat="1" applyFont="1" applyFill="1" applyBorder="1">
      <alignment vertical="top"/>
    </xf>
    <xf numFmtId="5" fontId="6" fillId="3" borderId="11" xfId="0" applyNumberFormat="1" applyFont="1" applyFill="1" applyBorder="1">
      <alignment vertical="top"/>
    </xf>
    <xf numFmtId="3" fontId="9" fillId="3" borderId="0" xfId="0" applyNumberFormat="1" applyFont="1" applyFill="1" applyBorder="1" applyAlignment="1">
      <alignment horizontal="center" vertical="top"/>
    </xf>
    <xf numFmtId="37" fontId="1" fillId="3" borderId="0" xfId="2" applyNumberFormat="1" applyFont="1" applyFill="1" applyAlignment="1">
      <alignment horizontal="right" vertical="top"/>
    </xf>
    <xf numFmtId="37" fontId="1" fillId="3" borderId="3" xfId="2" applyNumberFormat="1" applyFont="1" applyFill="1" applyBorder="1" applyAlignment="1">
      <alignment horizontal="right" vertical="top"/>
    </xf>
    <xf numFmtId="37" fontId="1" fillId="3" borderId="0" xfId="0" applyNumberFormat="1" applyFont="1" applyFill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5" fontId="1" fillId="3" borderId="0" xfId="5" applyNumberFormat="1" applyFont="1" applyFill="1" applyAlignment="1"/>
    <xf numFmtId="5" fontId="1" fillId="3" borderId="0" xfId="5" applyNumberFormat="1" applyFont="1" applyFill="1" applyBorder="1">
      <alignment vertical="top"/>
    </xf>
    <xf numFmtId="170" fontId="1" fillId="3" borderId="0" xfId="2" applyNumberFormat="1" applyFont="1" applyFill="1" applyAlignment="1"/>
    <xf numFmtId="41" fontId="10" fillId="3" borderId="0" xfId="5" applyNumberFormat="1" applyFont="1" applyFill="1" applyAlignment="1">
      <alignment horizontal="center" vertical="top"/>
    </xf>
    <xf numFmtId="3" fontId="4" fillId="3" borderId="0" xfId="27" applyNumberFormat="1" applyFont="1" applyFill="1">
      <alignment vertical="top"/>
    </xf>
    <xf numFmtId="168" fontId="10" fillId="3" borderId="3" xfId="0" applyNumberFormat="1" applyFont="1" applyFill="1" applyBorder="1">
      <alignment vertical="top"/>
    </xf>
    <xf numFmtId="5" fontId="10" fillId="3" borderId="0" xfId="0" applyNumberFormat="1" applyFont="1" applyFill="1" applyProtection="1">
      <alignment vertical="top"/>
      <protection locked="0"/>
    </xf>
    <xf numFmtId="166" fontId="10" fillId="3" borderId="3" xfId="19" applyNumberFormat="1" applyFont="1" applyFill="1" applyBorder="1">
      <alignment vertical="top"/>
    </xf>
    <xf numFmtId="3" fontId="10" fillId="3" borderId="8" xfId="0" applyNumberFormat="1" applyFont="1" applyFill="1" applyBorder="1">
      <alignment vertical="top"/>
    </xf>
    <xf numFmtId="168" fontId="10" fillId="3" borderId="3" xfId="2" applyNumberFormat="1" applyFont="1" applyFill="1" applyBorder="1">
      <alignment vertical="top"/>
    </xf>
    <xf numFmtId="3" fontId="10" fillId="3" borderId="0" xfId="0" applyNumberFormat="1" applyFont="1" applyFill="1" applyBorder="1" applyAlignment="1">
      <alignment vertical="top"/>
    </xf>
    <xf numFmtId="3" fontId="10" fillId="3" borderId="3" xfId="0" applyNumberFormat="1" applyFont="1" applyFill="1" applyBorder="1" applyAlignment="1">
      <alignment vertical="top"/>
    </xf>
    <xf numFmtId="4" fontId="10" fillId="3" borderId="0" xfId="2" applyNumberFormat="1" applyFont="1" applyFill="1" applyBorder="1">
      <alignment vertical="top"/>
    </xf>
    <xf numFmtId="4" fontId="10" fillId="3" borderId="3" xfId="2" applyNumberFormat="1" applyFont="1" applyFill="1" applyBorder="1">
      <alignment vertical="top"/>
    </xf>
    <xf numFmtId="4" fontId="10" fillId="3" borderId="0" xfId="2" applyFont="1" applyFill="1" applyAlignment="1">
      <alignment vertical="center"/>
    </xf>
    <xf numFmtId="7" fontId="10" fillId="3" borderId="0" xfId="19" applyNumberFormat="1" applyFont="1" applyFill="1" applyAlignment="1">
      <alignment vertical="center"/>
    </xf>
    <xf numFmtId="165" fontId="10" fillId="3" borderId="0" xfId="19" applyNumberFormat="1" applyFont="1" applyFill="1" applyAlignment="1">
      <alignment vertical="center"/>
    </xf>
    <xf numFmtId="165" fontId="10" fillId="3" borderId="3" xfId="19" applyNumberFormat="1" applyFont="1" applyFill="1" applyBorder="1" applyAlignment="1">
      <alignment vertical="center"/>
    </xf>
    <xf numFmtId="39" fontId="10" fillId="3" borderId="4" xfId="2" applyNumberFormat="1" applyFont="1" applyFill="1" applyBorder="1">
      <alignment vertical="top"/>
    </xf>
    <xf numFmtId="3" fontId="10" fillId="3" borderId="7" xfId="0" applyNumberFormat="1" applyFont="1" applyFill="1" applyBorder="1">
      <alignment vertical="top"/>
    </xf>
    <xf numFmtId="3" fontId="10" fillId="3" borderId="7" xfId="8" applyNumberFormat="1" applyFont="1" applyFill="1" applyBorder="1">
      <alignment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>
      <alignment vertical="top"/>
    </xf>
    <xf numFmtId="164" fontId="10" fillId="0" borderId="0" xfId="19" applyNumberFormat="1" applyFont="1" applyFill="1" applyBorder="1" applyAlignment="1">
      <alignment horizontal="center" vertical="top"/>
    </xf>
    <xf numFmtId="10" fontId="10" fillId="3" borderId="0" xfId="19" applyFont="1" applyFill="1" applyAlignment="1">
      <alignment vertical="top"/>
    </xf>
    <xf numFmtId="184" fontId="10" fillId="3" borderId="0" xfId="2" applyNumberFormat="1" applyFont="1" applyFill="1">
      <alignment vertical="top"/>
    </xf>
    <xf numFmtId="3" fontId="10" fillId="3" borderId="8" xfId="2" applyNumberFormat="1" applyFont="1" applyFill="1" applyBorder="1">
      <alignment vertical="top"/>
    </xf>
    <xf numFmtId="185" fontId="10" fillId="3" borderId="0" xfId="0" applyNumberFormat="1" applyFont="1" applyFill="1">
      <alignment vertical="top"/>
    </xf>
    <xf numFmtId="37" fontId="10" fillId="0" borderId="3" xfId="2" applyNumberFormat="1" applyFont="1" applyFill="1" applyBorder="1">
      <alignment vertical="top"/>
    </xf>
    <xf numFmtId="7" fontId="31" fillId="3" borderId="0" xfId="5" applyNumberFormat="1" applyFont="1" applyFill="1">
      <alignment vertical="top"/>
    </xf>
    <xf numFmtId="3" fontId="31" fillId="3" borderId="0" xfId="0" applyNumberFormat="1" applyFont="1" applyFill="1">
      <alignment vertical="top"/>
    </xf>
    <xf numFmtId="7" fontId="31" fillId="3" borderId="0" xfId="5" applyFont="1" applyFill="1">
      <alignment vertical="top"/>
    </xf>
    <xf numFmtId="172" fontId="31" fillId="3" borderId="0" xfId="2" applyNumberFormat="1" applyFont="1" applyFill="1">
      <alignment vertical="top"/>
    </xf>
    <xf numFmtId="3" fontId="9" fillId="3" borderId="3" xfId="0" applyNumberFormat="1" applyFont="1" applyFill="1" applyBorder="1" applyAlignment="1">
      <alignment horizontal="center" vertical="top"/>
    </xf>
    <xf numFmtId="3" fontId="9" fillId="3" borderId="0" xfId="0" applyNumberFormat="1" applyFont="1" applyFill="1" applyBorder="1" applyAlignment="1">
      <alignment horizontal="center" vertical="top"/>
    </xf>
    <xf numFmtId="10" fontId="21" fillId="3" borderId="0" xfId="19" applyFont="1" applyFill="1" applyBorder="1" applyAlignment="1">
      <alignment horizontal="left" vertical="top"/>
    </xf>
    <xf numFmtId="10" fontId="21" fillId="3" borderId="0" xfId="19" applyFont="1" applyFill="1" applyBorder="1" applyAlignment="1">
      <alignment horizontal="center" vertical="top"/>
    </xf>
    <xf numFmtId="3" fontId="10" fillId="3" borderId="0" xfId="0" applyNumberFormat="1" applyFont="1" applyFill="1" applyBorder="1" applyAlignment="1">
      <alignment horizontal="left" vertical="top"/>
    </xf>
    <xf numFmtId="10" fontId="10" fillId="3" borderId="0" xfId="19" applyNumberFormat="1" applyFont="1" applyFill="1" applyBorder="1" applyAlignment="1">
      <alignment horizontal="center" vertical="top"/>
    </xf>
    <xf numFmtId="5" fontId="10" fillId="3" borderId="0" xfId="5" applyNumberFormat="1" applyFont="1" applyFill="1" applyBorder="1" applyAlignment="1">
      <alignment horizontal="center" vertical="top"/>
    </xf>
    <xf numFmtId="3" fontId="22" fillId="3" borderId="0" xfId="0" applyNumberFormat="1" applyFont="1" applyFill="1" applyBorder="1">
      <alignment vertical="top"/>
    </xf>
    <xf numFmtId="5" fontId="22" fillId="3" borderId="0" xfId="5" applyNumberFormat="1" applyFont="1" applyFill="1" applyBorder="1" applyAlignment="1">
      <alignment horizontal="center" vertical="top"/>
    </xf>
    <xf numFmtId="10" fontId="10" fillId="0" borderId="0" xfId="19" applyNumberFormat="1" applyFont="1" applyFill="1" applyBorder="1" applyAlignment="1">
      <alignment horizontal="center" vertical="top"/>
    </xf>
    <xf numFmtId="5" fontId="10" fillId="0" borderId="0" xfId="5" applyNumberFormat="1" applyFont="1" applyFill="1" applyBorder="1" applyAlignment="1">
      <alignment horizontal="center" vertical="top"/>
    </xf>
    <xf numFmtId="3" fontId="9" fillId="3" borderId="0" xfId="0" applyNumberFormat="1" applyFont="1" applyFill="1" applyBorder="1" applyAlignment="1">
      <alignment horizontal="left" vertical="top"/>
    </xf>
    <xf numFmtId="10" fontId="10" fillId="3" borderId="0" xfId="19" applyNumberFormat="1" applyFont="1" applyFill="1" applyBorder="1">
      <alignment vertical="top"/>
    </xf>
    <xf numFmtId="10" fontId="10" fillId="3" borderId="0" xfId="19" applyFont="1" applyFill="1" applyBorder="1" applyAlignment="1">
      <alignment horizontal="center" vertical="top"/>
    </xf>
    <xf numFmtId="164" fontId="10" fillId="0" borderId="0" xfId="19" applyNumberFormat="1" applyFont="1" applyFill="1">
      <alignment vertical="top"/>
    </xf>
    <xf numFmtId="10" fontId="10" fillId="3" borderId="0" xfId="19" applyFont="1" applyFill="1" applyBorder="1" applyAlignment="1">
      <alignment vertical="top"/>
    </xf>
    <xf numFmtId="37" fontId="10" fillId="3" borderId="0" xfId="3" applyNumberFormat="1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center"/>
    </xf>
    <xf numFmtId="3" fontId="32" fillId="0" borderId="0" xfId="0" applyNumberFormat="1" applyFont="1">
      <alignment vertical="top"/>
    </xf>
    <xf numFmtId="5" fontId="10" fillId="3" borderId="3" xfId="5" applyNumberFormat="1" applyFont="1" applyFill="1" applyBorder="1">
      <alignment vertical="top"/>
    </xf>
    <xf numFmtId="10" fontId="10" fillId="0" borderId="0" xfId="19" applyFont="1" applyFill="1" applyAlignment="1">
      <alignment vertical="center"/>
    </xf>
    <xf numFmtId="4" fontId="10" fillId="3" borderId="0" xfId="0" applyNumberFormat="1" applyFont="1" applyFill="1">
      <alignment vertical="top"/>
    </xf>
    <xf numFmtId="3" fontId="33" fillId="3" borderId="0" xfId="0" applyNumberFormat="1" applyFont="1" applyFill="1">
      <alignment vertical="top"/>
    </xf>
    <xf numFmtId="10" fontId="9" fillId="3" borderId="27" xfId="19" applyNumberFormat="1" applyFont="1" applyFill="1" applyBorder="1" applyAlignment="1">
      <alignment horizontal="center" vertical="top"/>
    </xf>
    <xf numFmtId="10" fontId="9" fillId="3" borderId="27" xfId="19" applyFont="1" applyFill="1" applyBorder="1" applyAlignment="1">
      <alignment horizontal="center" vertical="top"/>
    </xf>
    <xf numFmtId="10" fontId="10" fillId="0" borderId="3" xfId="19" applyNumberFormat="1" applyFont="1" applyFill="1" applyBorder="1">
      <alignment vertical="top"/>
    </xf>
    <xf numFmtId="37" fontId="1" fillId="0" borderId="0" xfId="2" applyNumberFormat="1" applyFont="1" applyFill="1" applyAlignment="1">
      <alignment horizontal="right" vertical="top"/>
    </xf>
    <xf numFmtId="37" fontId="1" fillId="3" borderId="0" xfId="2" applyNumberFormat="1" applyFont="1" applyFill="1">
      <alignment vertical="top"/>
    </xf>
    <xf numFmtId="37" fontId="1" fillId="3" borderId="3" xfId="2" applyNumberFormat="1" applyFont="1" applyFill="1" applyBorder="1">
      <alignment vertical="top"/>
    </xf>
    <xf numFmtId="0" fontId="22" fillId="3" borderId="0" xfId="0" applyFont="1" applyFill="1" applyAlignment="1">
      <alignment vertical="center"/>
    </xf>
    <xf numFmtId="170" fontId="28" fillId="3" borderId="0" xfId="2" applyNumberFormat="1" applyFont="1" applyFill="1" applyAlignment="1"/>
    <xf numFmtId="3" fontId="9" fillId="3" borderId="3" xfId="0" applyNumberFormat="1" applyFont="1" applyFill="1" applyBorder="1" applyAlignment="1">
      <alignment horizontal="center" vertical="top"/>
    </xf>
    <xf numFmtId="3" fontId="9" fillId="3" borderId="0" xfId="0" applyNumberFormat="1" applyFont="1" applyFill="1" applyBorder="1" applyAlignment="1">
      <alignment horizontal="center" vertical="top"/>
    </xf>
    <xf numFmtId="10" fontId="9" fillId="3" borderId="0" xfId="19" applyFont="1" applyFill="1" applyBorder="1" applyAlignment="1">
      <alignment horizontal="center" vertical="top"/>
    </xf>
    <xf numFmtId="3" fontId="9" fillId="3" borderId="6" xfId="0" applyNumberFormat="1" applyFont="1" applyFill="1" applyBorder="1" applyAlignment="1">
      <alignment horizontal="center" vertical="top"/>
    </xf>
    <xf numFmtId="1" fontId="9" fillId="3" borderId="3" xfId="0" applyNumberFormat="1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3" fontId="9" fillId="3" borderId="22" xfId="0" applyNumberFormat="1" applyFont="1" applyFill="1" applyBorder="1" applyAlignment="1">
      <alignment horizontal="center" vertical="top"/>
    </xf>
    <xf numFmtId="3" fontId="9" fillId="3" borderId="23" xfId="0" applyNumberFormat="1" applyFont="1" applyFill="1" applyBorder="1" applyAlignment="1">
      <alignment horizontal="center" vertical="top"/>
    </xf>
  </cellXfs>
  <cellStyles count="28">
    <cellStyle name="coma 5" xfId="1" xr:uid="{00000000-0005-0000-0000-000000000000}"/>
    <cellStyle name="Comma" xfId="2" builtinId="3"/>
    <cellStyle name="Comma 2" xfId="26" xr:uid="{C5C0321D-E753-49BC-97C9-174BCF8313E3}"/>
    <cellStyle name="Comma0" xfId="3" xr:uid="{00000000-0005-0000-0000-000002000000}"/>
    <cellStyle name="Comma4" xfId="4" xr:uid="{00000000-0005-0000-0000-000003000000}"/>
    <cellStyle name="Currency" xfId="5" builtinId="4"/>
    <cellStyle name="currency 0" xfId="6" xr:uid="{00000000-0005-0000-0000-000005000000}"/>
    <cellStyle name="currency 0_2007 Oregon Earnings Test Report model" xfId="7" xr:uid="{00000000-0005-0000-0000-000006000000}"/>
    <cellStyle name="Currency0" xfId="8" xr:uid="{00000000-0005-0000-0000-000007000000}"/>
    <cellStyle name="Currency4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idden" xfId="14" xr:uid="{00000000-0005-0000-0000-00000D000000}"/>
    <cellStyle name="hide" xfId="15" xr:uid="{00000000-0005-0000-0000-00000E000000}"/>
    <cellStyle name="Hyperlink" xfId="27" builtinId="8"/>
    <cellStyle name="Normal" xfId="0" builtinId="0"/>
    <cellStyle name="Normal 2" xfId="23" xr:uid="{00000000-0005-0000-0000-000010000000}"/>
    <cellStyle name="Normal 2 13" xfId="24" xr:uid="{00000000-0005-0000-0000-000011000000}"/>
    <cellStyle name="Normal_2006 master state IS allocation" xfId="16" xr:uid="{00000000-0005-0000-0000-000012000000}"/>
    <cellStyle name="Normal_2007 Oregon Earnings Test Report model" xfId="25" xr:uid="{00000000-0005-0000-0000-000013000000}"/>
    <cellStyle name="Normal_Rev &amp; Cost Model b" xfId="17" xr:uid="{00000000-0005-0000-0000-000014000000}"/>
    <cellStyle name="Outline" xfId="18" xr:uid="{00000000-0005-0000-0000-000015000000}"/>
    <cellStyle name="Percent" xfId="19" builtinId="5"/>
    <cellStyle name="Percent2" xfId="20" xr:uid="{00000000-0005-0000-0000-000017000000}"/>
    <cellStyle name="percent3" xfId="21" xr:uid="{00000000-0005-0000-0000-000018000000}"/>
    <cellStyle name="Total" xfId="22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externalLink" Target="externalLinks/externalLink10.xml"/><Relationship Id="rId47" Type="http://schemas.openxmlformats.org/officeDocument/2006/relationships/externalLink" Target="externalLinks/externalLink15.xml"/><Relationship Id="rId50" Type="http://schemas.openxmlformats.org/officeDocument/2006/relationships/externalLink" Target="externalLinks/externalLink18.xml"/><Relationship Id="rId55" Type="http://schemas.openxmlformats.org/officeDocument/2006/relationships/externalLink" Target="externalLinks/externalLink23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externalLink" Target="externalLinks/externalLink8.xml"/><Relationship Id="rId45" Type="http://schemas.openxmlformats.org/officeDocument/2006/relationships/externalLink" Target="externalLinks/externalLink13.xml"/><Relationship Id="rId53" Type="http://schemas.openxmlformats.org/officeDocument/2006/relationships/externalLink" Target="externalLinks/externalLink21.xml"/><Relationship Id="rId58" Type="http://schemas.openxmlformats.org/officeDocument/2006/relationships/externalLink" Target="externalLinks/externalLink26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43" Type="http://schemas.openxmlformats.org/officeDocument/2006/relationships/externalLink" Target="externalLinks/externalLink11.xml"/><Relationship Id="rId48" Type="http://schemas.openxmlformats.org/officeDocument/2006/relationships/externalLink" Target="externalLinks/externalLink16.xml"/><Relationship Id="rId56" Type="http://schemas.openxmlformats.org/officeDocument/2006/relationships/externalLink" Target="externalLinks/externalLink24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46" Type="http://schemas.openxmlformats.org/officeDocument/2006/relationships/externalLink" Target="externalLinks/externalLink14.xml"/><Relationship Id="rId59" Type="http://schemas.openxmlformats.org/officeDocument/2006/relationships/externalLink" Target="externalLinks/externalLink27.xml"/><Relationship Id="rId67" Type="http://schemas.openxmlformats.org/officeDocument/2006/relationships/customXml" Target="../customXml/item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9.xml"/><Relationship Id="rId54" Type="http://schemas.openxmlformats.org/officeDocument/2006/relationships/externalLink" Target="externalLinks/externalLink22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49" Type="http://schemas.openxmlformats.org/officeDocument/2006/relationships/externalLink" Target="externalLinks/externalLink17.xml"/><Relationship Id="rId57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2.xml"/><Relationship Id="rId52" Type="http://schemas.openxmlformats.org/officeDocument/2006/relationships/externalLink" Target="externalLinks/externalLink20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4-12-18-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8-12-18-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9-12-18-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10-12-18-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11-12-18-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12-12-18-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13-12-18-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14-12-18-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16-12-18-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5-Walker-WP1-12-18-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5-Walker-WP3-12-18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1-12-18-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5-Walker-WP2-12-18-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5-Walker-WP4-12-18-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5-Walker-WP5-12-18-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5-Walker-WP6-12-18-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5-Walker-WP7-12-18-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8-12-18-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2-Walker-WP3-12-18-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5-12-18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2-12-18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6-12-18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7-12-18-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11-12-18-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1-12-18-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6-12-18-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4-Walker-WP7-12-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 + WA = IncStmt"/>
      <sheetName val="WA ROO Volumes"/>
      <sheetName val="WA ROO Revenues"/>
      <sheetName val="WA ROO SYSTEM"/>
      <sheetName val="IS_TTM_Sep20"/>
      <sheetName val="Rev by Dist"/>
      <sheetName val="ESET"/>
      <sheetName val="Unbilled Rev(JE60)"/>
      <sheetName val="Rev By Dist_Volumes"/>
      <sheetName val="Rev By Dist_Revenues"/>
    </sheetNames>
    <sheetDataSet>
      <sheetData sheetId="0"/>
      <sheetData sheetId="1">
        <row r="9">
          <cell r="R9">
            <v>53611257</v>
          </cell>
        </row>
        <row r="10">
          <cell r="R10">
            <v>22613504</v>
          </cell>
        </row>
        <row r="11">
          <cell r="R11">
            <v>3040033</v>
          </cell>
        </row>
        <row r="12">
          <cell r="R12">
            <v>1228480</v>
          </cell>
        </row>
        <row r="15">
          <cell r="R15">
            <v>12317619</v>
          </cell>
        </row>
        <row r="16">
          <cell r="R16">
            <v>7636298</v>
          </cell>
        </row>
      </sheetData>
      <sheetData sheetId="2">
        <row r="9">
          <cell r="S9">
            <v>50621694.629999988</v>
          </cell>
        </row>
        <row r="10">
          <cell r="S10">
            <v>18908828.899999999</v>
          </cell>
        </row>
        <row r="11">
          <cell r="S11">
            <v>1883715.4600000002</v>
          </cell>
        </row>
        <row r="12">
          <cell r="S12">
            <v>552226.29</v>
          </cell>
        </row>
        <row r="14">
          <cell r="S14">
            <v>-287724.9204745997</v>
          </cell>
        </row>
        <row r="18">
          <cell r="S18">
            <v>1540895.4600000004</v>
          </cell>
        </row>
        <row r="19">
          <cell r="S19">
            <v>751953.68</v>
          </cell>
        </row>
      </sheetData>
      <sheetData sheetId="3"/>
      <sheetData sheetId="4">
        <row r="12">
          <cell r="Q12">
            <v>-677097561.49000013</v>
          </cell>
        </row>
        <row r="22">
          <cell r="Q22">
            <v>3505840.2300000014</v>
          </cell>
        </row>
        <row r="32">
          <cell r="Q32">
            <v>-20321481.68</v>
          </cell>
        </row>
      </sheetData>
      <sheetData sheetId="5"/>
      <sheetData sheetId="6"/>
      <sheetData sheetId="7">
        <row r="61">
          <cell r="F61">
            <v>-514487.52720094961</v>
          </cell>
        </row>
      </sheetData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lookup table"/>
      <sheetName val="pivot"/>
      <sheetName val="data"/>
    </sheetNames>
    <sheetDataSet>
      <sheetData sheetId="0"/>
      <sheetData sheetId="1"/>
      <sheetData sheetId="2">
        <row r="30">
          <cell r="AZ30">
            <v>-98097.62000000001</v>
          </cell>
          <cell r="BA30">
            <v>-86577.59</v>
          </cell>
          <cell r="BB30">
            <v>-94697.730000000025</v>
          </cell>
          <cell r="BC30">
            <v>-93124.313333333354</v>
          </cell>
          <cell r="BD30" t="str">
            <v>no trend - 3 year average</v>
          </cell>
        </row>
        <row r="31">
          <cell r="AZ31">
            <v>-6247.5</v>
          </cell>
          <cell r="BA31">
            <v>-5350</v>
          </cell>
          <cell r="BB31">
            <v>-5130</v>
          </cell>
          <cell r="BC31">
            <v>-5130</v>
          </cell>
          <cell r="BD31" t="str">
            <v>trend down - take last year</v>
          </cell>
        </row>
        <row r="32">
          <cell r="AZ32">
            <v>-36810</v>
          </cell>
          <cell r="BA32">
            <v>-31695</v>
          </cell>
          <cell r="BB32">
            <v>-29010</v>
          </cell>
          <cell r="BC32">
            <v>-29010</v>
          </cell>
          <cell r="BD32" t="str">
            <v>trend down - take last year</v>
          </cell>
        </row>
        <row r="33">
          <cell r="AZ33">
            <v>-1383</v>
          </cell>
          <cell r="BA33">
            <v>-224.65</v>
          </cell>
          <cell r="BB33">
            <v>-2046.79</v>
          </cell>
          <cell r="BC33">
            <v>-1218.1466666666668</v>
          </cell>
          <cell r="BD33" t="str">
            <v>no trend - 3 year average</v>
          </cell>
        </row>
        <row r="34">
          <cell r="AZ34">
            <v>-37650</v>
          </cell>
          <cell r="BA34">
            <v>-36000</v>
          </cell>
          <cell r="BB34">
            <v>-37400</v>
          </cell>
          <cell r="BC34">
            <v>-37016.666666666664</v>
          </cell>
          <cell r="BD34" t="str">
            <v>no trend - 3 year average</v>
          </cell>
        </row>
        <row r="35">
          <cell r="AZ35">
            <v>-15830</v>
          </cell>
          <cell r="BA35">
            <v>-15100</v>
          </cell>
          <cell r="BB35">
            <v>-13695</v>
          </cell>
          <cell r="BC35">
            <v>-13695</v>
          </cell>
          <cell r="BD35" t="str">
            <v>trend down - take last year</v>
          </cell>
        </row>
        <row r="36">
          <cell r="AZ36">
            <v>-1500</v>
          </cell>
          <cell r="BA36">
            <v>-1400</v>
          </cell>
          <cell r="BB36">
            <v>-1650</v>
          </cell>
          <cell r="BC36">
            <v>-1516.6666666666667</v>
          </cell>
          <cell r="BD36" t="str">
            <v>no trend - 3 year average</v>
          </cell>
        </row>
        <row r="37">
          <cell r="AZ37">
            <v>-610</v>
          </cell>
          <cell r="BA37">
            <v>-805</v>
          </cell>
          <cell r="BB37">
            <v>-710</v>
          </cell>
          <cell r="BC37">
            <v>-708.33333333333337</v>
          </cell>
          <cell r="BD37" t="str">
            <v>no trend - 3 year average</v>
          </cell>
        </row>
        <row r="38">
          <cell r="AZ38">
            <v>-2250</v>
          </cell>
          <cell r="BA38">
            <v>-850</v>
          </cell>
          <cell r="BB38">
            <v>-1200</v>
          </cell>
          <cell r="BC38">
            <v>-1433.3333333333333</v>
          </cell>
          <cell r="BD38" t="str">
            <v>no trend - 3 year average</v>
          </cell>
        </row>
        <row r="39">
          <cell r="AZ39">
            <v>-11520</v>
          </cell>
          <cell r="BA39">
            <v>-12032.5</v>
          </cell>
          <cell r="BB39">
            <v>-14128.080000000002</v>
          </cell>
          <cell r="BC39">
            <v>-14128.080000000002</v>
          </cell>
          <cell r="BD39" t="str">
            <v>trend up - take last year</v>
          </cell>
        </row>
        <row r="40">
          <cell r="AZ40">
            <v>-19828.88</v>
          </cell>
          <cell r="BA40">
            <v>-18001.27</v>
          </cell>
          <cell r="BB40">
            <v>-18011.889999999996</v>
          </cell>
          <cell r="BC40">
            <v>-18614.013333333332</v>
          </cell>
          <cell r="BD40" t="str">
            <v>no trend - 3 year average</v>
          </cell>
        </row>
        <row r="41">
          <cell r="AZ41">
            <v>-2113.7200000000003</v>
          </cell>
          <cell r="BA41">
            <v>-600</v>
          </cell>
          <cell r="BB41">
            <v>-3310.01</v>
          </cell>
          <cell r="BC41">
            <v>-2007.91</v>
          </cell>
          <cell r="BD41" t="str">
            <v>no trend - 3 year average</v>
          </cell>
        </row>
        <row r="42">
          <cell r="AZ42">
            <v>0</v>
          </cell>
          <cell r="BA42">
            <v>0</v>
          </cell>
          <cell r="BB42">
            <v>-318.60000000000008</v>
          </cell>
          <cell r="BC42">
            <v>-318.60000000000008</v>
          </cell>
          <cell r="BD42" t="str">
            <v>trend up - take last year</v>
          </cell>
        </row>
        <row r="43">
          <cell r="AZ43">
            <v>-5758</v>
          </cell>
          <cell r="BA43">
            <v>-5030</v>
          </cell>
          <cell r="BB43">
            <v>-9429</v>
          </cell>
          <cell r="BC43">
            <v>-6739</v>
          </cell>
          <cell r="BD43" t="str">
            <v>no trend - 3 year average</v>
          </cell>
        </row>
        <row r="44">
          <cell r="AZ44">
            <v>-350</v>
          </cell>
          <cell r="BA44">
            <v>-250</v>
          </cell>
          <cell r="BB44">
            <v>-150</v>
          </cell>
          <cell r="BC44">
            <v>-150</v>
          </cell>
          <cell r="BD44" t="str">
            <v>trend down - take last year</v>
          </cell>
        </row>
        <row r="45">
          <cell r="AZ45">
            <v>-7</v>
          </cell>
          <cell r="BA45">
            <v>0</v>
          </cell>
          <cell r="BB45">
            <v>0</v>
          </cell>
          <cell r="BC45">
            <v>0</v>
          </cell>
          <cell r="BD45" t="str">
            <v>trend down - take last year</v>
          </cell>
        </row>
        <row r="46">
          <cell r="AZ46">
            <v>0</v>
          </cell>
          <cell r="BA46">
            <v>0</v>
          </cell>
          <cell r="BB46">
            <v>-172</v>
          </cell>
          <cell r="BC46">
            <v>-172</v>
          </cell>
          <cell r="BD46" t="str">
            <v>trend up - take last year</v>
          </cell>
        </row>
        <row r="47">
          <cell r="AZ47">
            <v>0</v>
          </cell>
          <cell r="BA47">
            <v>-38726.67</v>
          </cell>
          <cell r="BB47">
            <v>-12710</v>
          </cell>
          <cell r="BC47">
            <v>0</v>
          </cell>
          <cell r="BD47" t="str">
            <v xml:space="preserve">nonrecurring </v>
          </cell>
        </row>
      </sheetData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Year Bonus Accrual "/>
      <sheetName val="Q2 2020 COH  "/>
      <sheetName val="Q1 2020 COH "/>
      <sheetName val="Q2 2020 COH"/>
      <sheetName val="Q2 2019 COH  "/>
      <sheetName val="Q1 2019 COH  "/>
      <sheetName val="Q4 2018 COH"/>
      <sheetName val="COH highlighted in Orange"/>
    </sheetNames>
    <sheetDataSet>
      <sheetData sheetId="0">
        <row r="23">
          <cell r="C23">
            <v>5850926.6907064337</v>
          </cell>
          <cell r="D23">
            <v>3418797.3744934336</v>
          </cell>
        </row>
        <row r="24">
          <cell r="C24">
            <v>147938.04453749507</v>
          </cell>
          <cell r="D24">
            <v>97966.010577274428</v>
          </cell>
        </row>
        <row r="32">
          <cell r="C32">
            <v>0.6751111193421685</v>
          </cell>
          <cell r="D32">
            <v>0.32488888065783156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y Taxes"/>
      <sheetName val="GL Detail"/>
      <sheetName val="Capitalized"/>
    </sheetNames>
    <sheetDataSet>
      <sheetData sheetId="0">
        <row r="10">
          <cell r="B10">
            <v>-36466.9</v>
          </cell>
        </row>
        <row r="12">
          <cell r="B12">
            <v>1584665.0200000009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2020"/>
      <sheetName val="Normal Adj"/>
    </sheetNames>
    <sheetDataSet>
      <sheetData sheetId="0"/>
      <sheetData sheetId="1"/>
      <sheetData sheetId="2"/>
      <sheetData sheetId="3">
        <row r="11">
          <cell r="D11">
            <v>439710433.13999993</v>
          </cell>
          <cell r="E11">
            <v>422767445.25999999</v>
          </cell>
          <cell r="F11">
            <v>428038138.50999999</v>
          </cell>
        </row>
        <row r="12">
          <cell r="D12">
            <v>214967992.53000003</v>
          </cell>
          <cell r="E12">
            <v>210023076.59</v>
          </cell>
          <cell r="F12">
            <v>211591212.64999998</v>
          </cell>
        </row>
        <row r="13">
          <cell r="D13">
            <v>20955144.969999999</v>
          </cell>
          <cell r="E13">
            <v>20816424.960000001</v>
          </cell>
          <cell r="F13">
            <v>22104512.18</v>
          </cell>
        </row>
        <row r="14">
          <cell r="D14">
            <v>17053781.699999999</v>
          </cell>
          <cell r="E14">
            <v>18993256.869999997</v>
          </cell>
          <cell r="F14">
            <v>21582202.599999998</v>
          </cell>
        </row>
        <row r="18">
          <cell r="D18">
            <v>535511.22</v>
          </cell>
          <cell r="E18">
            <v>478158.56999999989</v>
          </cell>
          <cell r="F18">
            <v>732063.91</v>
          </cell>
        </row>
        <row r="19">
          <cell r="D19">
            <v>109012.04</v>
          </cell>
          <cell r="E19">
            <v>130972.45000000006</v>
          </cell>
          <cell r="F19">
            <v>98803.91</v>
          </cell>
        </row>
        <row r="20">
          <cell r="D20">
            <v>15963.660000000002</v>
          </cell>
          <cell r="E20">
            <v>1301.9499999999978</v>
          </cell>
          <cell r="F20">
            <v>26591.780000000002</v>
          </cell>
        </row>
        <row r="21">
          <cell r="D21">
            <v>20000</v>
          </cell>
          <cell r="E21">
            <v>0</v>
          </cell>
          <cell r="F21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 Model"/>
      <sheetName val="SAP Data"/>
      <sheetName val="RCL ADJ"/>
      <sheetName val="500159"/>
      <sheetName val="500164"/>
      <sheetName val="500170"/>
      <sheetName val="500171"/>
      <sheetName val="500172"/>
      <sheetName val="500179"/>
      <sheetName val="500181"/>
      <sheetName val="500193"/>
      <sheetName val="line assign basis"/>
      <sheetName val="Factors"/>
      <sheetName val="2018 GRC WC"/>
      <sheetName val="N.Mist"/>
      <sheetName val="N Mist Accts"/>
      <sheetName val="Acct Comp"/>
    </sheetNames>
    <sheetDataSet>
      <sheetData sheetId="0">
        <row r="610">
          <cell r="W610">
            <v>175419634.73458335</v>
          </cell>
        </row>
        <row r="611">
          <cell r="W611">
            <v>-140739150.3520833</v>
          </cell>
        </row>
        <row r="614">
          <cell r="W614">
            <v>0.10168462954022484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Ord. Claims - 2019-20"/>
      <sheetName val="TTM Sep2020"/>
      <sheetName val="Actual Ord. Claims - 2018-19"/>
      <sheetName val="TTM Sep 2019"/>
      <sheetName val="Actual Ord. Claims - 2017-18"/>
      <sheetName val="TTM Sep 2018"/>
      <sheetName val="Actual Ord. Claims - 2016-17"/>
      <sheetName val="TTM Sept. 2017"/>
      <sheetName val="Actual Ord. Claims - 2015-16"/>
      <sheetName val="TTM Sept. 2016"/>
    </sheetNames>
    <sheetDataSet>
      <sheetData sheetId="0">
        <row r="13">
          <cell r="H13">
            <v>148746.41</v>
          </cell>
        </row>
        <row r="15">
          <cell r="H15">
            <v>50000</v>
          </cell>
        </row>
        <row r="17">
          <cell r="G17">
            <v>123746.41</v>
          </cell>
        </row>
        <row r="20">
          <cell r="G20">
            <v>79360.45</v>
          </cell>
          <cell r="H20">
            <v>66360.450000000012</v>
          </cell>
        </row>
      </sheetData>
      <sheetData sheetId="1"/>
      <sheetData sheetId="2">
        <row r="15">
          <cell r="H15">
            <v>-35000</v>
          </cell>
        </row>
      </sheetData>
      <sheetData sheetId="3"/>
      <sheetData sheetId="4">
        <row r="15">
          <cell r="H15">
            <v>21304.25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 Upload"/>
      <sheetName val="Journal Page"/>
      <sheetName val="Support"/>
      <sheetName val="Summary"/>
      <sheetName val="SAP detail"/>
      <sheetName val="2020 vs 2019 Clearing Adj"/>
    </sheetNames>
    <sheetDataSet>
      <sheetData sheetId="0"/>
      <sheetData sheetId="1"/>
      <sheetData sheetId="2"/>
      <sheetData sheetId="3"/>
      <sheetData sheetId="4"/>
      <sheetData sheetId="5">
        <row r="9">
          <cell r="B9">
            <v>-264490.42999999988</v>
          </cell>
          <cell r="D9">
            <v>142442.62</v>
          </cell>
        </row>
        <row r="10">
          <cell r="B10">
            <v>412416.52999999933</v>
          </cell>
          <cell r="D10">
            <v>-62145.67</v>
          </cell>
        </row>
        <row r="11">
          <cell r="B11">
            <v>87233.299999999901</v>
          </cell>
          <cell r="D11">
            <v>0</v>
          </cell>
        </row>
        <row r="12">
          <cell r="B12">
            <v>13432.219999999739</v>
          </cell>
          <cell r="D12">
            <v>7.0000000000000007E-2</v>
          </cell>
        </row>
        <row r="13">
          <cell r="B13">
            <v>-14762.099999999977</v>
          </cell>
          <cell r="D13">
            <v>-0.42</v>
          </cell>
        </row>
        <row r="14">
          <cell r="B14">
            <v>0.01</v>
          </cell>
          <cell r="D14">
            <v>1.0000000002328306</v>
          </cell>
        </row>
        <row r="15">
          <cell r="B15">
            <v>257958.05999999997</v>
          </cell>
          <cell r="D15">
            <v>-99579.69</v>
          </cell>
        </row>
        <row r="16">
          <cell r="B16">
            <v>5.8207660913467407E-11</v>
          </cell>
          <cell r="D16">
            <v>-3.637978807091713E-12</v>
          </cell>
        </row>
        <row r="17">
          <cell r="B17">
            <v>1796959.23</v>
          </cell>
          <cell r="D17">
            <v>1374690.6199999999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rect allocation"/>
      <sheetName val="detail "/>
    </sheetNames>
    <sheetDataSet>
      <sheetData sheetId="0">
        <row r="7">
          <cell r="F7">
            <v>-456714.79000000004</v>
          </cell>
          <cell r="H7">
            <v>-260979.88</v>
          </cell>
        </row>
        <row r="8">
          <cell r="F8">
            <v>158070.59</v>
          </cell>
          <cell r="H8">
            <v>90326.051428571431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rs"/>
      <sheetName val="Non Bargaining"/>
      <sheetName val="Bargaining"/>
      <sheetName val="Total"/>
      <sheetName val="FTE Statistics"/>
      <sheetName val="PVT"/>
    </sheetNames>
    <sheetDataSet>
      <sheetData sheetId="0">
        <row r="51">
          <cell r="D51">
            <v>0.69033432542951489</v>
          </cell>
          <cell r="K51">
            <v>3852994.3999999948</v>
          </cell>
        </row>
      </sheetData>
      <sheetData sheetId="1">
        <row r="51">
          <cell r="D51">
            <v>0.62270907775283602</v>
          </cell>
          <cell r="K51">
            <v>57593249.610000059</v>
          </cell>
        </row>
      </sheetData>
      <sheetData sheetId="2">
        <row r="51">
          <cell r="D51">
            <v>0.57215704077708995</v>
          </cell>
          <cell r="K51">
            <v>52810437.190000042</v>
          </cell>
        </row>
      </sheetData>
      <sheetData sheetId="3"/>
      <sheetData sheetId="4">
        <row r="87">
          <cell r="C87">
            <v>633.4</v>
          </cell>
          <cell r="F87">
            <v>11</v>
          </cell>
          <cell r="G87">
            <v>518.6</v>
          </cell>
        </row>
        <row r="88">
          <cell r="C88">
            <v>624.4</v>
          </cell>
          <cell r="F88">
            <v>11</v>
          </cell>
          <cell r="G88">
            <v>521.6</v>
          </cell>
        </row>
        <row r="89">
          <cell r="C89">
            <v>623.4</v>
          </cell>
          <cell r="F89">
            <v>11</v>
          </cell>
          <cell r="G89">
            <v>528.6</v>
          </cell>
        </row>
        <row r="90">
          <cell r="C90">
            <v>631.4</v>
          </cell>
          <cell r="F90">
            <v>13</v>
          </cell>
          <cell r="G90">
            <v>524.6</v>
          </cell>
        </row>
        <row r="91">
          <cell r="C91">
            <v>631.4</v>
          </cell>
          <cell r="F91">
            <v>13</v>
          </cell>
          <cell r="G91">
            <v>525.6</v>
          </cell>
        </row>
        <row r="92">
          <cell r="C92">
            <v>631.4</v>
          </cell>
          <cell r="F92">
            <v>13</v>
          </cell>
          <cell r="G92">
            <v>531.79999999999995</v>
          </cell>
        </row>
        <row r="93">
          <cell r="C93">
            <v>625.4</v>
          </cell>
          <cell r="F93">
            <v>13</v>
          </cell>
          <cell r="G93">
            <v>533.79999999999995</v>
          </cell>
        </row>
        <row r="94">
          <cell r="C94">
            <v>617.375</v>
          </cell>
          <cell r="F94">
            <v>13</v>
          </cell>
          <cell r="G94">
            <v>531.80000000000007</v>
          </cell>
        </row>
        <row r="95">
          <cell r="C95">
            <v>612.4</v>
          </cell>
          <cell r="F95">
            <v>13</v>
          </cell>
          <cell r="G95">
            <v>533.79999999999995</v>
          </cell>
        </row>
        <row r="96">
          <cell r="C96">
            <v>607.4</v>
          </cell>
          <cell r="F96">
            <v>13</v>
          </cell>
          <cell r="G96">
            <v>541.79999999999995</v>
          </cell>
        </row>
        <row r="97">
          <cell r="C97">
            <v>613.4</v>
          </cell>
          <cell r="F97">
            <v>13</v>
          </cell>
          <cell r="G97">
            <v>535.79999999999995</v>
          </cell>
        </row>
        <row r="98">
          <cell r="C98">
            <v>606.4</v>
          </cell>
          <cell r="F98">
            <v>13</v>
          </cell>
          <cell r="G98">
            <v>538</v>
          </cell>
        </row>
      </sheetData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Projected H&amp;L Costs"/>
      <sheetName val="Teat Year H&amp;L Costs"/>
    </sheetNames>
    <sheetDataSet>
      <sheetData sheetId="0">
        <row r="12">
          <cell r="C12">
            <v>12.5</v>
          </cell>
          <cell r="K12">
            <v>399100</v>
          </cell>
        </row>
        <row r="13">
          <cell r="C13">
            <v>515.5</v>
          </cell>
          <cell r="K13">
            <v>10810200</v>
          </cell>
        </row>
        <row r="14">
          <cell r="C14">
            <v>15</v>
          </cell>
          <cell r="K14">
            <v>224100</v>
          </cell>
        </row>
        <row r="15">
          <cell r="C15">
            <v>621.5</v>
          </cell>
          <cell r="K15">
            <v>10314600</v>
          </cell>
        </row>
      </sheetData>
      <sheetData sheetId="1">
        <row r="5">
          <cell r="C5">
            <v>1634643</v>
          </cell>
          <cell r="D5">
            <v>-720</v>
          </cell>
        </row>
        <row r="6">
          <cell r="C6">
            <v>1641369</v>
          </cell>
          <cell r="D6">
            <v>-80597</v>
          </cell>
        </row>
        <row r="7">
          <cell r="C7">
            <v>2593400</v>
          </cell>
          <cell r="D7">
            <v>-720</v>
          </cell>
        </row>
        <row r="8">
          <cell r="C8">
            <v>1297168</v>
          </cell>
          <cell r="D8">
            <v>-11980</v>
          </cell>
        </row>
        <row r="9">
          <cell r="C9">
            <v>1689524</v>
          </cell>
          <cell r="D9">
            <v>-6429</v>
          </cell>
        </row>
        <row r="10">
          <cell r="C10">
            <v>1704963</v>
          </cell>
          <cell r="D10">
            <v>-6429</v>
          </cell>
        </row>
        <row r="11">
          <cell r="C11">
            <v>1704482</v>
          </cell>
          <cell r="D11">
            <v>-6429</v>
          </cell>
        </row>
        <row r="12">
          <cell r="C12">
            <v>2090894</v>
          </cell>
          <cell r="D12">
            <v>-6429</v>
          </cell>
        </row>
        <row r="13">
          <cell r="C13">
            <v>1685598</v>
          </cell>
          <cell r="D13">
            <v>-6429</v>
          </cell>
        </row>
        <row r="14">
          <cell r="C14">
            <v>1295998</v>
          </cell>
          <cell r="D14">
            <v>-6429</v>
          </cell>
        </row>
        <row r="15">
          <cell r="C15">
            <v>1678851</v>
          </cell>
          <cell r="D15">
            <v>-6429</v>
          </cell>
        </row>
        <row r="16">
          <cell r="C16">
            <v>1687911</v>
          </cell>
          <cell r="D16">
            <v>-6429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By GL"/>
      <sheetName val="Exclusion"/>
      <sheetName val="Factors"/>
      <sheetName val="TTM_Sep20"/>
      <sheetName val="OCT Detail"/>
      <sheetName val="Oct Short Report"/>
      <sheetName val="NOV Detail"/>
      <sheetName val="Nov Short Report"/>
      <sheetName val="DEC Detail"/>
      <sheetName val="Dec Short Report"/>
      <sheetName val="2020 Short Report"/>
      <sheetName val="FERC Descri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E10">
            <v>487247.19000000018</v>
          </cell>
          <cell r="G10">
            <v>52671.421239000018</v>
          </cell>
          <cell r="I10">
            <v>434575.76876100001</v>
          </cell>
        </row>
        <row r="11">
          <cell r="E11">
            <v>135730.73000000001</v>
          </cell>
          <cell r="G11">
            <v>14672.491912999998</v>
          </cell>
          <cell r="I11">
            <v>121058.23808700002</v>
          </cell>
        </row>
        <row r="12">
          <cell r="E12">
            <v>0.11999999999999998</v>
          </cell>
          <cell r="G12">
            <v>1.2971999999999996E-2</v>
          </cell>
          <cell r="I12">
            <v>0.10702799999999998</v>
          </cell>
        </row>
        <row r="13">
          <cell r="E13">
            <v>2445855.4599999986</v>
          </cell>
          <cell r="G13">
            <v>263110.15201599995</v>
          </cell>
          <cell r="I13">
            <v>2182745.3079840001</v>
          </cell>
        </row>
        <row r="14">
          <cell r="E14">
            <v>70362.8</v>
          </cell>
          <cell r="G14">
            <v>7606.218679999999</v>
          </cell>
          <cell r="I14">
            <v>62756.58131999999</v>
          </cell>
        </row>
        <row r="17">
          <cell r="E17">
            <v>205582.29000000004</v>
          </cell>
          <cell r="G17">
            <v>22223.445549</v>
          </cell>
          <cell r="I17">
            <v>183358.84445100007</v>
          </cell>
        </row>
        <row r="18">
          <cell r="E18">
            <v>628917.24000000011</v>
          </cell>
          <cell r="G18">
            <v>67985.953643999994</v>
          </cell>
          <cell r="I18">
            <v>560931.28635600011</v>
          </cell>
        </row>
        <row r="23">
          <cell r="E23">
            <v>106089.51000000001</v>
          </cell>
          <cell r="G23">
            <v>11468.276030999998</v>
          </cell>
          <cell r="I23">
            <v>94621.233969000008</v>
          </cell>
        </row>
        <row r="28">
          <cell r="E28">
            <v>1849734.1099999996</v>
          </cell>
          <cell r="G28">
            <v>199956.25729099987</v>
          </cell>
          <cell r="I28">
            <v>1649777.8527089993</v>
          </cell>
        </row>
        <row r="29">
          <cell r="E29">
            <v>-85795.860000000015</v>
          </cell>
          <cell r="G29">
            <v>-9274.5324659999969</v>
          </cell>
          <cell r="I29">
            <v>-76521.327534000011</v>
          </cell>
        </row>
        <row r="32">
          <cell r="E32">
            <v>1194490.9000000004</v>
          </cell>
          <cell r="G32">
            <v>129125.53107499999</v>
          </cell>
          <cell r="I32">
            <v>1065365.3689249996</v>
          </cell>
        </row>
        <row r="39">
          <cell r="E39">
            <v>2373605.3799999994</v>
          </cell>
          <cell r="G39">
            <v>159628.15496096172</v>
          </cell>
          <cell r="I39">
            <v>2213977.2250390383</v>
          </cell>
        </row>
        <row r="42">
          <cell r="E42">
            <v>-22364.28000000001</v>
          </cell>
          <cell r="G42">
            <v>-4115.4751678684943</v>
          </cell>
          <cell r="I42">
            <v>-18248.804832131504</v>
          </cell>
        </row>
        <row r="47">
          <cell r="E47">
            <v>3291043.87</v>
          </cell>
          <cell r="G47">
            <v>281710.28069136565</v>
          </cell>
          <cell r="I47">
            <v>3009333.5893086353</v>
          </cell>
        </row>
        <row r="48">
          <cell r="E48">
            <v>13497564.050000003</v>
          </cell>
          <cell r="G48">
            <v>1477393.7727072593</v>
          </cell>
          <cell r="I48">
            <v>12020170.277292732</v>
          </cell>
        </row>
        <row r="49">
          <cell r="E49">
            <v>269671.60000000114</v>
          </cell>
          <cell r="G49">
            <v>25078.891335960961</v>
          </cell>
          <cell r="I49">
            <v>244592.70866403967</v>
          </cell>
        </row>
        <row r="50">
          <cell r="E50">
            <v>589961.4800000001</v>
          </cell>
          <cell r="G50">
            <v>53337.193907000015</v>
          </cell>
          <cell r="I50">
            <v>536624.28609299986</v>
          </cell>
        </row>
        <row r="51">
          <cell r="E51">
            <v>6677276.8000000045</v>
          </cell>
          <cell r="G51">
            <v>768063.46928663226</v>
          </cell>
          <cell r="I51">
            <v>5909213.330713369</v>
          </cell>
        </row>
        <row r="52">
          <cell r="E52">
            <v>11359149.109999994</v>
          </cell>
          <cell r="G52">
            <v>1300270.1219499586</v>
          </cell>
          <cell r="I52">
            <v>10058878.988050042</v>
          </cell>
        </row>
        <row r="53">
          <cell r="E53">
            <v>1328944.46</v>
          </cell>
          <cell r="G53">
            <v>138491.2250704875</v>
          </cell>
          <cell r="I53">
            <v>1190453.2349295134</v>
          </cell>
        </row>
        <row r="54">
          <cell r="E54">
            <v>192111.07999999996</v>
          </cell>
          <cell r="G54">
            <v>25533.747224000002</v>
          </cell>
          <cell r="I54">
            <v>166577.33277599997</v>
          </cell>
        </row>
        <row r="58">
          <cell r="E58">
            <v>6200138.830000001</v>
          </cell>
          <cell r="G58">
            <v>326198.95252509316</v>
          </cell>
          <cell r="I58">
            <v>5873939.8774749022</v>
          </cell>
        </row>
        <row r="59">
          <cell r="E59">
            <v>2779795.8099999991</v>
          </cell>
          <cell r="G59">
            <v>150839.52333687566</v>
          </cell>
          <cell r="I59">
            <v>2628956.2866631248</v>
          </cell>
        </row>
        <row r="60">
          <cell r="E60">
            <v>1690338.8500000006</v>
          </cell>
          <cell r="G60">
            <v>151327.89715273291</v>
          </cell>
          <cell r="I60">
            <v>1539010.9528472673</v>
          </cell>
        </row>
        <row r="61">
          <cell r="E61">
            <v>304394.90000000008</v>
          </cell>
          <cell r="G61">
            <v>23158.447275855786</v>
          </cell>
          <cell r="I61">
            <v>281236.45272414421</v>
          </cell>
        </row>
        <row r="62">
          <cell r="E62">
            <v>1127525.56</v>
          </cell>
          <cell r="G62">
            <v>125489.31261859444</v>
          </cell>
          <cell r="I62">
            <v>1002036.2473814056</v>
          </cell>
        </row>
        <row r="63">
          <cell r="E63">
            <v>3956270.25</v>
          </cell>
          <cell r="G63">
            <v>420308.99619167921</v>
          </cell>
          <cell r="I63">
            <v>3535961.2538083224</v>
          </cell>
        </row>
        <row r="64">
          <cell r="E64">
            <v>39722.55000000001</v>
          </cell>
          <cell r="G64">
            <v>2255.380251567638</v>
          </cell>
          <cell r="I64">
            <v>37467.169748432359</v>
          </cell>
        </row>
        <row r="69">
          <cell r="E69">
            <v>1975468.9600000002</v>
          </cell>
          <cell r="G69">
            <v>227771.57108799991</v>
          </cell>
          <cell r="I69">
            <v>1747697.3889120002</v>
          </cell>
        </row>
        <row r="70">
          <cell r="E70">
            <v>1027731.1599999999</v>
          </cell>
          <cell r="G70">
            <v>117250.87841799996</v>
          </cell>
          <cell r="I70">
            <v>910480.28158200032</v>
          </cell>
        </row>
        <row r="71">
          <cell r="E71">
            <v>16368149.850000003</v>
          </cell>
          <cell r="G71">
            <v>1874089.5688979984</v>
          </cell>
          <cell r="I71">
            <v>14494060.281101998</v>
          </cell>
        </row>
        <row r="72">
          <cell r="E72">
            <v>976008.45000000007</v>
          </cell>
          <cell r="G72">
            <v>110387.16508799998</v>
          </cell>
          <cell r="I72">
            <v>865621.28491200018</v>
          </cell>
        </row>
        <row r="77">
          <cell r="E77">
            <v>3079.3500000000004</v>
          </cell>
          <cell r="G77">
            <v>358.43633999999986</v>
          </cell>
          <cell r="I77">
            <v>2720.9136600000002</v>
          </cell>
        </row>
        <row r="78">
          <cell r="E78">
            <v>3396696.8499999996</v>
          </cell>
          <cell r="G78">
            <v>410623.27496699983</v>
          </cell>
          <cell r="I78">
            <v>2986073.5750330011</v>
          </cell>
        </row>
        <row r="79">
          <cell r="E79">
            <v>2541769.9599999995</v>
          </cell>
          <cell r="G79">
            <v>293066.07638799987</v>
          </cell>
          <cell r="I79">
            <v>2248703.8836119999</v>
          </cell>
        </row>
        <row r="80">
          <cell r="E80">
            <v>447995.44999999995</v>
          </cell>
          <cell r="G80">
            <v>52145.47697099996</v>
          </cell>
          <cell r="I80">
            <v>395849.9730290001</v>
          </cell>
        </row>
        <row r="85">
          <cell r="E85">
            <v>105760.99</v>
          </cell>
          <cell r="G85">
            <v>12194.242146999997</v>
          </cell>
          <cell r="I85">
            <v>93566.747853000023</v>
          </cell>
        </row>
        <row r="86">
          <cell r="E86">
            <v>1967770.9000000001</v>
          </cell>
          <cell r="G86">
            <v>227068.88832259961</v>
          </cell>
          <cell r="I86">
            <v>1740702.0116774</v>
          </cell>
        </row>
        <row r="87">
          <cell r="E87">
            <v>490926.62</v>
          </cell>
          <cell r="G87">
            <v>56602.718690999973</v>
          </cell>
          <cell r="I87">
            <v>434323.90130899992</v>
          </cell>
        </row>
        <row r="88">
          <cell r="E88">
            <v>0</v>
          </cell>
          <cell r="G88">
            <v>0</v>
          </cell>
          <cell r="I88">
            <v>0</v>
          </cell>
        </row>
        <row r="93">
          <cell r="E93">
            <v>69094832.74999994</v>
          </cell>
          <cell r="G93">
            <v>7938075.5154280318</v>
          </cell>
          <cell r="I93">
            <v>61156757.234571956</v>
          </cell>
        </row>
        <row r="94">
          <cell r="E94">
            <v>-22544531</v>
          </cell>
          <cell r="G94">
            <v>-2522525.4626542605</v>
          </cell>
          <cell r="I94">
            <v>-20022005.537345741</v>
          </cell>
        </row>
        <row r="95">
          <cell r="E95">
            <v>3629753.9799999991</v>
          </cell>
          <cell r="G95">
            <v>397821.03620800003</v>
          </cell>
          <cell r="I95">
            <v>3231932.9437919995</v>
          </cell>
        </row>
        <row r="96">
          <cell r="E96">
            <v>159831.29999999996</v>
          </cell>
          <cell r="G96">
            <v>17517.510480000004</v>
          </cell>
          <cell r="I96">
            <v>142313.78951999996</v>
          </cell>
        </row>
        <row r="97">
          <cell r="E97">
            <v>25566573.509999998</v>
          </cell>
          <cell r="G97">
            <v>2024921.9384282553</v>
          </cell>
          <cell r="I97">
            <v>23541651.571571749</v>
          </cell>
        </row>
        <row r="98">
          <cell r="E98">
            <v>0</v>
          </cell>
          <cell r="G98">
            <v>0</v>
          </cell>
          <cell r="I98">
            <v>0</v>
          </cell>
        </row>
        <row r="99">
          <cell r="E99">
            <v>3228456.48</v>
          </cell>
          <cell r="G99">
            <v>354132.59425378992</v>
          </cell>
          <cell r="I99">
            <v>2874323.885746209</v>
          </cell>
        </row>
        <row r="100">
          <cell r="E100">
            <v>4873764.79</v>
          </cell>
          <cell r="G100">
            <v>532521.36474400014</v>
          </cell>
          <cell r="I100">
            <v>4341243.4252559999</v>
          </cell>
        </row>
        <row r="103">
          <cell r="E103">
            <v>5260424.870000002</v>
          </cell>
          <cell r="G103">
            <v>551383.44626998785</v>
          </cell>
          <cell r="I103">
            <v>4709041.4237300185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ension-Calc &amp; hist"/>
      <sheetName val="Pension-2020 YTD"/>
      <sheetName val="PAR"/>
      <sheetName val="WA Allocation Rates"/>
      <sheetName val="A - DBP Forecast"/>
      <sheetName val="B - DBP True-Up"/>
    </sheetNames>
    <sheetDataSet>
      <sheetData sheetId="0">
        <row r="6">
          <cell r="C6">
            <v>1506573.2038891364</v>
          </cell>
        </row>
        <row r="7">
          <cell r="C7">
            <v>1574433.4776180282</v>
          </cell>
        </row>
      </sheetData>
      <sheetData sheetId="1">
        <row r="15">
          <cell r="H15">
            <v>7000000</v>
          </cell>
        </row>
        <row r="18">
          <cell r="H18">
            <v>11900000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ERC Summary"/>
      <sheetName val="BI Strategy_Power BI"/>
      <sheetName val="Horizon 1 breakout"/>
      <sheetName val="Accounting Alignment"/>
      <sheetName val="Projects"/>
      <sheetName val="Dep Rates"/>
      <sheetName val="Factors"/>
      <sheetName val="Actuals (BI Report)"/>
      <sheetName val="INP (A) Plant Construction"/>
    </sheetNames>
    <sheetDataSet>
      <sheetData sheetId="0">
        <row r="49">
          <cell r="FG49">
            <v>906066.07278298936</v>
          </cell>
          <cell r="FK49">
            <v>21735765.834850535</v>
          </cell>
        </row>
        <row r="50">
          <cell r="FG50">
            <v>975245.19848545315</v>
          </cell>
          <cell r="FK50">
            <v>21420708.367492773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XXXX-NWN-Exh-KTW-5-Walker-WP5"/>
    </sheetNames>
    <sheetDataSet>
      <sheetData sheetId="0">
        <row r="18">
          <cell r="I18">
            <v>159099.67973999993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T Rate Base Adj"/>
      <sheetName val="20XXXX-NWN-Exh-KTW-5-Walker-WP6"/>
    </sheetNames>
    <sheetDataSet>
      <sheetData sheetId="0">
        <row r="9">
          <cell r="H9">
            <v>375000</v>
          </cell>
        </row>
        <row r="14">
          <cell r="H14">
            <v>562500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"/>
      <sheetName val="Dep Exp_Sep20"/>
      <sheetName val="Dep Exp_AMA"/>
      <sheetName val="SYSTEM"/>
      <sheetName val="OR"/>
      <sheetName val="WA"/>
      <sheetName val="Combined Utility 10-19-09-20"/>
      <sheetName val="Alloc"/>
      <sheetName val="IS_TTM_Sep20"/>
    </sheetNames>
    <sheetDataSet>
      <sheetData sheetId="0">
        <row r="146">
          <cell r="G146">
            <v>5877726.474312</v>
          </cell>
          <cell r="H146">
            <v>766024.48568799975</v>
          </cell>
        </row>
        <row r="147">
          <cell r="G147">
            <v>0</v>
          </cell>
          <cell r="H147">
            <v>0</v>
          </cell>
        </row>
        <row r="148">
          <cell r="G148">
            <v>-0.01</v>
          </cell>
          <cell r="H148">
            <v>0</v>
          </cell>
        </row>
        <row r="149">
          <cell r="G149">
            <v>3558755.2</v>
          </cell>
          <cell r="H149">
            <v>20967.41</v>
          </cell>
        </row>
        <row r="150">
          <cell r="G150">
            <v>56602807.569999993</v>
          </cell>
          <cell r="H150">
            <v>8247853.3399999989</v>
          </cell>
        </row>
        <row r="151">
          <cell r="G151">
            <v>8895489.485568</v>
          </cell>
          <cell r="H151">
            <v>1094952.4344320004</v>
          </cell>
        </row>
        <row r="152">
          <cell r="G152">
            <v>0</v>
          </cell>
          <cell r="H152">
            <v>0</v>
          </cell>
        </row>
        <row r="153">
          <cell r="G153">
            <v>1567760.1468833424</v>
          </cell>
          <cell r="H153">
            <v>139150.73311665747</v>
          </cell>
        </row>
        <row r="154">
          <cell r="G154">
            <v>6072592.0157439997</v>
          </cell>
          <cell r="H154">
            <v>658149.7442559998</v>
          </cell>
        </row>
        <row r="155">
          <cell r="G155">
            <v>71182.253352</v>
          </cell>
          <cell r="H155">
            <v>8761.8766480000031</v>
          </cell>
        </row>
      </sheetData>
      <sheetData sheetId="1">
        <row r="158">
          <cell r="I158">
            <v>11565494.892581793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T"/>
      <sheetName val="Summary"/>
      <sheetName val="93020 Summary"/>
      <sheetName val="93019 Summary"/>
      <sheetName val="Internal Workproduct&gt;&gt;&gt;&gt;&gt;"/>
      <sheetName val="123119"/>
      <sheetName val="2020FYEAR"/>
      <sheetName val="2020Activity"/>
      <sheetName val="2019FYEAR"/>
      <sheetName val="2019Activity"/>
      <sheetName val="123118"/>
    </sheetNames>
    <sheetDataSet>
      <sheetData sheetId="0">
        <row r="7">
          <cell r="C7">
            <v>-220220039.12</v>
          </cell>
          <cell r="D7">
            <v>-220246153.12</v>
          </cell>
          <cell r="E7">
            <v>-221147601.12</v>
          </cell>
          <cell r="F7">
            <v>-221280704.12</v>
          </cell>
          <cell r="G7">
            <v>-222838587.12</v>
          </cell>
          <cell r="H7">
            <v>-224019995.12</v>
          </cell>
          <cell r="I7">
            <v>-225645978.12</v>
          </cell>
          <cell r="J7">
            <v>-226014483.12</v>
          </cell>
          <cell r="K7">
            <v>-225742112.12</v>
          </cell>
          <cell r="L7">
            <v>-224996314.12</v>
          </cell>
          <cell r="M7">
            <v>-224060299.12</v>
          </cell>
          <cell r="N7">
            <v>-223212658.12</v>
          </cell>
          <cell r="O7">
            <v>-222572247.12</v>
          </cell>
        </row>
        <row r="8">
          <cell r="C8">
            <v>-76281312.579999998</v>
          </cell>
          <cell r="D8">
            <v>-76292163.579999998</v>
          </cell>
          <cell r="E8">
            <v>-76666729.579999998</v>
          </cell>
          <cell r="F8">
            <v>-76805468.579999998</v>
          </cell>
          <cell r="G8">
            <v>-77443451.579999998</v>
          </cell>
          <cell r="H8">
            <v>-77927261.579999998</v>
          </cell>
          <cell r="I8">
            <v>-78538499.579999998</v>
          </cell>
          <cell r="J8">
            <v>-78684797.579999998</v>
          </cell>
          <cell r="K8">
            <v>-78576665.579999998</v>
          </cell>
          <cell r="L8">
            <v>-78282580.579999998</v>
          </cell>
          <cell r="M8">
            <v>-77910474.579999998</v>
          </cell>
          <cell r="N8">
            <v>-77573501.579999998</v>
          </cell>
          <cell r="O8">
            <v>-77318606.579999998</v>
          </cell>
        </row>
        <row r="10">
          <cell r="C10">
            <v>-236239114.76179999</v>
          </cell>
        </row>
        <row r="11">
          <cell r="C11">
            <v>0.1067206669772393</v>
          </cell>
        </row>
        <row r="13">
          <cell r="C13">
            <v>-14592172.229642</v>
          </cell>
          <cell r="D13">
            <v>-14592172.229642</v>
          </cell>
          <cell r="E13">
            <v>-14526064</v>
          </cell>
          <cell r="F13">
            <v>-14480171</v>
          </cell>
          <cell r="G13">
            <v>-14327229</v>
          </cell>
          <cell r="H13">
            <v>-14211246</v>
          </cell>
          <cell r="I13">
            <v>-14149112</v>
          </cell>
          <cell r="J13">
            <v>-14121165</v>
          </cell>
          <cell r="K13">
            <v>-14141821</v>
          </cell>
          <cell r="L13">
            <v>-14194813</v>
          </cell>
          <cell r="M13">
            <v>-14266699</v>
          </cell>
          <cell r="N13">
            <v>-14331798</v>
          </cell>
          <cell r="O13">
            <v>-14381526</v>
          </cell>
        </row>
        <row r="16">
          <cell r="C16">
            <v>-262098.16913421755</v>
          </cell>
          <cell r="D16">
            <v>-311365.0953255762</v>
          </cell>
          <cell r="E16">
            <v>-360632.02151693485</v>
          </cell>
          <cell r="F16">
            <v>-409898.9477082935</v>
          </cell>
          <cell r="G16">
            <v>-459165.87389965216</v>
          </cell>
          <cell r="H16">
            <v>-508432.80009101081</v>
          </cell>
          <cell r="I16">
            <v>-557699.72628236946</v>
          </cell>
          <cell r="J16">
            <v>-606966.65247372817</v>
          </cell>
          <cell r="K16">
            <v>-656233.57866508677</v>
          </cell>
          <cell r="L16">
            <v>-705500.50485644536</v>
          </cell>
          <cell r="M16">
            <v>-754767.43104780396</v>
          </cell>
          <cell r="N16">
            <v>-804034.35723916255</v>
          </cell>
          <cell r="O16">
            <v>-853301.28343052138</v>
          </cell>
        </row>
        <row r="20">
          <cell r="C20">
            <v>-128406809</v>
          </cell>
          <cell r="D20">
            <v>-127870274</v>
          </cell>
          <cell r="E20">
            <v>-126502333</v>
          </cell>
          <cell r="F20">
            <v>-126847547</v>
          </cell>
          <cell r="G20">
            <v>-125930327</v>
          </cell>
          <cell r="H20">
            <v>-125234760</v>
          </cell>
          <cell r="I20">
            <v>-124862134</v>
          </cell>
          <cell r="J20">
            <v>-124694531</v>
          </cell>
          <cell r="K20">
            <v>-124818411</v>
          </cell>
          <cell r="L20">
            <v>-125136210</v>
          </cell>
          <cell r="M20">
            <v>-125567321</v>
          </cell>
          <cell r="N20">
            <v>-125957728</v>
          </cell>
          <cell r="O20">
            <v>-126255954</v>
          </cell>
        </row>
        <row r="21">
          <cell r="C21">
            <v>-10766846</v>
          </cell>
          <cell r="D21">
            <v>-10285244</v>
          </cell>
          <cell r="E21">
            <v>-9940728</v>
          </cell>
          <cell r="F21">
            <v>-9367227</v>
          </cell>
          <cell r="G21">
            <v>-8543915</v>
          </cell>
          <cell r="H21">
            <v>-7919563</v>
          </cell>
          <cell r="I21">
            <v>-7585088</v>
          </cell>
          <cell r="J21">
            <v>-7434644</v>
          </cell>
          <cell r="K21">
            <v>-7545840</v>
          </cell>
          <cell r="L21">
            <v>-7831101</v>
          </cell>
          <cell r="M21">
            <v>-8218073</v>
          </cell>
          <cell r="N21">
            <v>-8568509</v>
          </cell>
          <cell r="O21">
            <v>-8836201</v>
          </cell>
        </row>
        <row r="24">
          <cell r="C24">
            <v>-36225617.899818346</v>
          </cell>
          <cell r="D24">
            <v>-36402554.178076625</v>
          </cell>
          <cell r="E24">
            <v>-36579490.456334904</v>
          </cell>
          <cell r="F24">
            <v>-36756426.734593183</v>
          </cell>
          <cell r="G24">
            <v>-36933363.012851462</v>
          </cell>
          <cell r="H24">
            <v>-37110299.291109741</v>
          </cell>
          <cell r="I24">
            <v>-37287235.56936802</v>
          </cell>
          <cell r="J24">
            <v>-37464171.847626299</v>
          </cell>
          <cell r="K24">
            <v>-37641108.125884578</v>
          </cell>
          <cell r="L24">
            <v>-37818044.404142857</v>
          </cell>
          <cell r="M24">
            <v>-37994980.682401136</v>
          </cell>
          <cell r="N24">
            <v>-38171916.960659415</v>
          </cell>
          <cell r="O24">
            <v>-38348853.238917738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Details"/>
      <sheetName val="TTM_Sep20"/>
    </sheetNames>
    <sheetDataSet>
      <sheetData sheetId="0">
        <row r="24">
          <cell r="J24">
            <v>-26163</v>
          </cell>
        </row>
        <row r="167">
          <cell r="J167">
            <v>17847012.609999999</v>
          </cell>
        </row>
        <row r="230">
          <cell r="J230">
            <v>273867.3</v>
          </cell>
        </row>
        <row r="249">
          <cell r="J249">
            <v>6533542.5800000001</v>
          </cell>
        </row>
        <row r="290">
          <cell r="J290">
            <v>23693571.219999999</v>
          </cell>
        </row>
        <row r="45531">
          <cell r="J45531">
            <v>-1790338.91</v>
          </cell>
        </row>
        <row r="45549">
          <cell r="J45549">
            <v>2056103.12</v>
          </cell>
        </row>
        <row r="45554">
          <cell r="J45554">
            <v>1671587.02</v>
          </cell>
        </row>
        <row r="45557">
          <cell r="J45557">
            <v>2958382.6619520001</v>
          </cell>
        </row>
        <row r="45560">
          <cell r="J45560">
            <v>655144.44866692007</v>
          </cell>
        </row>
        <row r="45563">
          <cell r="J45563">
            <v>135480.5</v>
          </cell>
        </row>
        <row r="45565">
          <cell r="J45565">
            <v>727187.74</v>
          </cell>
        </row>
        <row r="45567">
          <cell r="J45567">
            <v>1832471</v>
          </cell>
        </row>
        <row r="45570">
          <cell r="J45570">
            <v>65791.513619999998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OO_COG"/>
      <sheetName val="20XXXX-NWN-Exh-KTW-4-Walker-WP5"/>
    </sheetNames>
    <sheetDataSet>
      <sheetData sheetId="0">
        <row r="5">
          <cell r="P5">
            <v>156903420.57024896</v>
          </cell>
        </row>
        <row r="6">
          <cell r="P6">
            <v>-773132.77</v>
          </cell>
        </row>
        <row r="7">
          <cell r="P7">
            <v>69097752.852313995</v>
          </cell>
        </row>
        <row r="8">
          <cell r="P8">
            <v>113099.05999999866</v>
          </cell>
        </row>
        <row r="9">
          <cell r="P9">
            <v>15503468.779999999</v>
          </cell>
        </row>
        <row r="15">
          <cell r="P15">
            <v>16414445.90975103</v>
          </cell>
        </row>
        <row r="16">
          <cell r="P16">
            <v>-500720.74999999977</v>
          </cell>
        </row>
        <row r="17">
          <cell r="P17">
            <v>8518634.7976859994</v>
          </cell>
        </row>
        <row r="18">
          <cell r="P18">
            <v>-99689.040000000386</v>
          </cell>
        </row>
        <row r="19">
          <cell r="P19">
            <v>-7524.2900000000154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05">
          <cell r="D105">
            <v>0.11529999999999996</v>
          </cell>
        </row>
        <row r="106">
          <cell r="D106">
            <v>0.11639999999999995</v>
          </cell>
        </row>
        <row r="107">
          <cell r="D107">
            <v>0.1048</v>
          </cell>
        </row>
        <row r="108">
          <cell r="D108">
            <v>8.5400000000000031E-2</v>
          </cell>
        </row>
        <row r="109">
          <cell r="D109">
            <v>0.25180000000000002</v>
          </cell>
        </row>
        <row r="110">
          <cell r="D110">
            <v>0.10960000000000003</v>
          </cell>
        </row>
        <row r="111">
          <cell r="D111">
            <v>0.10809999999999997</v>
          </cell>
        </row>
        <row r="112">
          <cell r="D112">
            <v>0.10299999999999998</v>
          </cell>
        </row>
        <row r="113">
          <cell r="D113">
            <v>8.5600000000000009E-2</v>
          </cell>
        </row>
        <row r="114">
          <cell r="D114">
            <v>9.430000000000005E-2</v>
          </cell>
        </row>
        <row r="115">
          <cell r="D115">
            <v>0.100274</v>
          </cell>
        </row>
        <row r="116">
          <cell r="D116">
            <v>0.11278100000000001</v>
          </cell>
        </row>
        <row r="117">
          <cell r="D117">
            <v>0.109888</v>
          </cell>
        </row>
        <row r="118">
          <cell r="D118">
            <v>0.30000000000000004</v>
          </cell>
        </row>
        <row r="119">
          <cell r="D119">
            <v>0.11111111111111116</v>
          </cell>
        </row>
        <row r="120">
          <cell r="D120">
            <v>1</v>
          </cell>
        </row>
        <row r="121">
          <cell r="D121">
            <v>0</v>
          </cell>
        </row>
        <row r="122">
          <cell r="D122">
            <v>0.11970000000000003</v>
          </cell>
        </row>
        <row r="123">
          <cell r="D123">
            <v>1.2220987243040216E-2</v>
          </cell>
        </row>
        <row r="124">
          <cell r="D124">
            <v>0.11556083283663321</v>
          </cell>
        </row>
        <row r="125">
          <cell r="D125">
            <v>0.14265125464404022</v>
          </cell>
        </row>
        <row r="126">
          <cell r="D126">
            <v>6.25E-2</v>
          </cell>
        </row>
        <row r="127">
          <cell r="D127">
            <v>3.3200000000000007E-2</v>
          </cell>
        </row>
        <row r="128">
          <cell r="D128">
            <v>0.13519317243190643</v>
          </cell>
        </row>
        <row r="129">
          <cell r="D129">
            <v>0.1067206669772393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s"/>
      <sheetName val="20XXXX-NWN-Exh-KTW-3-Walker-WP6"/>
    </sheetNames>
    <sheetDataSet>
      <sheetData sheetId="0">
        <row r="8">
          <cell r="K8">
            <v>675867</v>
          </cell>
        </row>
        <row r="9">
          <cell r="K9">
            <v>448517</v>
          </cell>
        </row>
        <row r="10">
          <cell r="K10">
            <v>7350000</v>
          </cell>
        </row>
        <row r="11">
          <cell r="K11">
            <v>-1175000</v>
          </cell>
        </row>
        <row r="12">
          <cell r="K12">
            <v>112728</v>
          </cell>
        </row>
        <row r="13">
          <cell r="K13">
            <v>89873</v>
          </cell>
        </row>
        <row r="18">
          <cell r="K18">
            <v>-93260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By FA"/>
      <sheetName val="Gross"/>
      <sheetName val="Reserve"/>
      <sheetName val="Factors"/>
      <sheetName val="Washington FORM 2"/>
      <sheetName val="Oregon FORM 2"/>
      <sheetName val="Lookup Table"/>
    </sheetNames>
    <sheetDataSet>
      <sheetData sheetId="0">
        <row r="6">
          <cell r="E6">
            <v>14213571.193182994</v>
          </cell>
          <cell r="F6">
            <v>14387280.428693993</v>
          </cell>
          <cell r="G6">
            <v>14393563.407025993</v>
          </cell>
          <cell r="H6">
            <v>14537433.392250992</v>
          </cell>
          <cell r="I6">
            <v>14569530.336448992</v>
          </cell>
          <cell r="J6">
            <v>14631834.28950699</v>
          </cell>
          <cell r="K6">
            <v>14674141.57447299</v>
          </cell>
          <cell r="L6">
            <v>14766480.63907999</v>
          </cell>
          <cell r="M6">
            <v>16428398.974952992</v>
          </cell>
          <cell r="N6">
            <v>16437388.47204799</v>
          </cell>
          <cell r="O6">
            <v>16470685.063166996</v>
          </cell>
          <cell r="P6">
            <v>16545838.684680995</v>
          </cell>
          <cell r="Q6">
            <v>17073445.408370994</v>
          </cell>
        </row>
        <row r="7">
          <cell r="E7">
            <v>447</v>
          </cell>
          <cell r="F7">
            <v>447</v>
          </cell>
          <cell r="G7">
            <v>447</v>
          </cell>
          <cell r="H7">
            <v>447</v>
          </cell>
          <cell r="I7">
            <v>447</v>
          </cell>
          <cell r="J7">
            <v>447</v>
          </cell>
          <cell r="K7">
            <v>447</v>
          </cell>
          <cell r="L7">
            <v>447</v>
          </cell>
          <cell r="M7">
            <v>447</v>
          </cell>
          <cell r="N7">
            <v>447</v>
          </cell>
          <cell r="O7">
            <v>447</v>
          </cell>
          <cell r="P7">
            <v>447</v>
          </cell>
          <cell r="Q7">
            <v>447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E9">
            <v>1115001.07</v>
          </cell>
          <cell r="F9">
            <v>1115001.0699999996</v>
          </cell>
          <cell r="G9">
            <v>1115001.0699999996</v>
          </cell>
          <cell r="H9">
            <v>1115001.07</v>
          </cell>
          <cell r="I9">
            <v>1115001.0699999996</v>
          </cell>
          <cell r="J9">
            <v>1115202.1499999997</v>
          </cell>
          <cell r="K9">
            <v>1115202.1499999997</v>
          </cell>
          <cell r="L9">
            <v>1115202.1499999997</v>
          </cell>
          <cell r="M9">
            <v>1115634.2599999998</v>
          </cell>
          <cell r="N9">
            <v>1115634.2599999998</v>
          </cell>
          <cell r="O9">
            <v>1115634.2599999998</v>
          </cell>
          <cell r="P9">
            <v>1115634.2599999998</v>
          </cell>
          <cell r="Q9">
            <v>1115634.2599999998</v>
          </cell>
        </row>
        <row r="10">
          <cell r="E10">
            <v>300721252.83999997</v>
          </cell>
          <cell r="F10">
            <v>302557318.36000007</v>
          </cell>
          <cell r="G10">
            <v>303717984.20000011</v>
          </cell>
          <cell r="H10">
            <v>305117836.14000005</v>
          </cell>
          <cell r="I10">
            <v>306141865.35000008</v>
          </cell>
          <cell r="J10">
            <v>306987778.66000003</v>
          </cell>
          <cell r="K10">
            <v>308279157.26000005</v>
          </cell>
          <cell r="L10">
            <v>308706366.22000003</v>
          </cell>
          <cell r="M10">
            <v>309364404.78000009</v>
          </cell>
          <cell r="N10">
            <v>310383260.22000003</v>
          </cell>
          <cell r="O10">
            <v>311310824.96999997</v>
          </cell>
          <cell r="P10">
            <v>312479514.77000004</v>
          </cell>
          <cell r="Q10">
            <v>313208955.81</v>
          </cell>
        </row>
        <row r="11">
          <cell r="E11">
            <v>16197409.886976002</v>
          </cell>
          <cell r="F11">
            <v>16434912.673784005</v>
          </cell>
          <cell r="G11">
            <v>16420114.964024004</v>
          </cell>
          <cell r="H11">
            <v>17233090.689632002</v>
          </cell>
          <cell r="I11">
            <v>17520287.479864005</v>
          </cell>
          <cell r="J11">
            <v>17694175.053184006</v>
          </cell>
          <cell r="K11">
            <v>18679935.273048006</v>
          </cell>
          <cell r="L11">
            <v>19189296.289536007</v>
          </cell>
          <cell r="M11">
            <v>19827201.015000008</v>
          </cell>
          <cell r="N11">
            <v>20269267.345432006</v>
          </cell>
          <cell r="O11">
            <v>20322228.391144004</v>
          </cell>
          <cell r="P11">
            <v>20390470.876080006</v>
          </cell>
          <cell r="Q11">
            <v>20775548.989904005</v>
          </cell>
        </row>
        <row r="12">
          <cell r="E12">
            <v>1818367.7528599121</v>
          </cell>
          <cell r="F12">
            <v>1819039.320033212</v>
          </cell>
          <cell r="G12">
            <v>1819039.320033212</v>
          </cell>
          <cell r="H12">
            <v>1819039.320033212</v>
          </cell>
          <cell r="I12">
            <v>1819881.6065253839</v>
          </cell>
          <cell r="J12">
            <v>1819881.6065253839</v>
          </cell>
          <cell r="K12">
            <v>1819881.6065253839</v>
          </cell>
          <cell r="L12">
            <v>1819039.320033212</v>
          </cell>
          <cell r="M12">
            <v>1819516.6157121093</v>
          </cell>
          <cell r="N12">
            <v>1971508.3208183809</v>
          </cell>
          <cell r="O12">
            <v>1972189.5901704389</v>
          </cell>
          <cell r="P12">
            <v>1971546.8204374525</v>
          </cell>
          <cell r="Q12">
            <v>1973199.1896815554</v>
          </cell>
        </row>
        <row r="13">
          <cell r="E13">
            <v>6108811.9129995592</v>
          </cell>
          <cell r="F13">
            <v>6111216.158046945</v>
          </cell>
          <cell r="G13">
            <v>6111414.832788039</v>
          </cell>
          <cell r="H13">
            <v>6112606.0872106487</v>
          </cell>
          <cell r="I13">
            <v>6112977.1996628502</v>
          </cell>
          <cell r="J13">
            <v>6113513.6354040643</v>
          </cell>
          <cell r="K13">
            <v>6138914.0372346947</v>
          </cell>
          <cell r="L13">
            <v>6141884.467019638</v>
          </cell>
          <cell r="M13">
            <v>6142212.5546231046</v>
          </cell>
          <cell r="N13">
            <v>6146052.1553200902</v>
          </cell>
          <cell r="O13">
            <v>6146246.3088528728</v>
          </cell>
          <cell r="P13">
            <v>6152054.168593823</v>
          </cell>
          <cell r="Q13">
            <v>6152793.4570769612</v>
          </cell>
        </row>
        <row r="14">
          <cell r="E14">
            <v>32557522.962627992</v>
          </cell>
          <cell r="F14">
            <v>32805056.55945899</v>
          </cell>
          <cell r="G14">
            <v>32806817.947344985</v>
          </cell>
          <cell r="H14">
            <v>33047073.773292981</v>
          </cell>
          <cell r="I14">
            <v>33048498.400491986</v>
          </cell>
          <cell r="J14">
            <v>33047688.042894978</v>
          </cell>
          <cell r="K14">
            <v>33110374.891298983</v>
          </cell>
          <cell r="L14">
            <v>33111179.903350983</v>
          </cell>
          <cell r="M14">
            <v>33345280.634208977</v>
          </cell>
          <cell r="N14">
            <v>33347060.032635979</v>
          </cell>
          <cell r="O14">
            <v>33357195.82698898</v>
          </cell>
          <cell r="P14">
            <v>33357295.171969976</v>
          </cell>
          <cell r="Q14">
            <v>33357296.392418981</v>
          </cell>
        </row>
        <row r="15">
          <cell r="E15">
            <v>415468.22650400014</v>
          </cell>
          <cell r="F15">
            <v>415468.22650400014</v>
          </cell>
          <cell r="G15">
            <v>415468.22650400014</v>
          </cell>
          <cell r="H15">
            <v>415468.22650400014</v>
          </cell>
          <cell r="I15">
            <v>415468.22650400014</v>
          </cell>
          <cell r="J15">
            <v>415468.22650400014</v>
          </cell>
          <cell r="K15">
            <v>415468.22650400014</v>
          </cell>
          <cell r="L15">
            <v>415468.22650400014</v>
          </cell>
          <cell r="M15">
            <v>415468.22650400014</v>
          </cell>
          <cell r="N15">
            <v>415468.22650400014</v>
          </cell>
          <cell r="O15">
            <v>415468.22650400014</v>
          </cell>
          <cell r="P15">
            <v>415468.22650400014</v>
          </cell>
          <cell r="Q15">
            <v>415468.22650400014</v>
          </cell>
        </row>
        <row r="21">
          <cell r="E21">
            <v>8165254.770647997</v>
          </cell>
          <cell r="F21">
            <v>8221832.751602998</v>
          </cell>
          <cell r="G21">
            <v>8278918.0271919975</v>
          </cell>
          <cell r="H21">
            <v>8336433.2045959979</v>
          </cell>
          <cell r="I21">
            <v>8398704.9405279979</v>
          </cell>
          <cell r="J21">
            <v>8458104.9823759962</v>
          </cell>
          <cell r="K21">
            <v>8517799.8797609955</v>
          </cell>
          <cell r="L21">
            <v>8577876.5043149963</v>
          </cell>
          <cell r="M21">
            <v>8642908.2224669959</v>
          </cell>
          <cell r="N21">
            <v>8635040.790381996</v>
          </cell>
          <cell r="O21">
            <v>8706760.0180689972</v>
          </cell>
          <cell r="P21">
            <v>8778515.0244989991</v>
          </cell>
          <cell r="Q21">
            <v>8852541.7453209963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E24">
            <v>186318.77</v>
          </cell>
          <cell r="F24">
            <v>188065.57</v>
          </cell>
          <cell r="G24">
            <v>189812.39</v>
          </cell>
          <cell r="H24">
            <v>191559.23</v>
          </cell>
          <cell r="I24">
            <v>193306.07</v>
          </cell>
          <cell r="J24">
            <v>195053.04</v>
          </cell>
          <cell r="K24">
            <v>196800.24000000002</v>
          </cell>
          <cell r="L24">
            <v>198547.34</v>
          </cell>
          <cell r="M24">
            <v>200294.86</v>
          </cell>
          <cell r="N24">
            <v>202042.65</v>
          </cell>
          <cell r="O24">
            <v>203790.47</v>
          </cell>
          <cell r="P24">
            <v>205538.34</v>
          </cell>
          <cell r="Q24">
            <v>207286.18</v>
          </cell>
        </row>
        <row r="25">
          <cell r="E25">
            <v>118805564.54000001</v>
          </cell>
          <cell r="F25">
            <v>119412666.38000001</v>
          </cell>
          <cell r="G25">
            <v>120011075.34000002</v>
          </cell>
          <cell r="H25">
            <v>120607643.42999999</v>
          </cell>
          <cell r="I25">
            <v>121208638.11</v>
          </cell>
          <cell r="J25">
            <v>121764580.92000002</v>
          </cell>
          <cell r="K25">
            <v>122251227.55</v>
          </cell>
          <cell r="L25">
            <v>122713206.16</v>
          </cell>
          <cell r="M25">
            <v>123198643.67</v>
          </cell>
          <cell r="N25">
            <v>123697435.06</v>
          </cell>
          <cell r="O25">
            <v>124120784.64000002</v>
          </cell>
          <cell r="P25">
            <v>124695494.04000001</v>
          </cell>
          <cell r="Q25">
            <v>125081794.73999996</v>
          </cell>
        </row>
        <row r="26">
          <cell r="E26">
            <v>5558903.4522960009</v>
          </cell>
          <cell r="F26">
            <v>5686642.3980640024</v>
          </cell>
          <cell r="G26">
            <v>5450231.3149360018</v>
          </cell>
          <cell r="H26">
            <v>5550344.2611200027</v>
          </cell>
          <cell r="I26">
            <v>5604055.2985360008</v>
          </cell>
          <cell r="J26">
            <v>5742931.5518960031</v>
          </cell>
          <cell r="K26">
            <v>5856615.9734480008</v>
          </cell>
          <cell r="L26">
            <v>5972991.720544003</v>
          </cell>
          <cell r="M26">
            <v>6108620.7823680006</v>
          </cell>
          <cell r="N26">
            <v>6253463.4197040005</v>
          </cell>
          <cell r="O26">
            <v>6400424.8606800027</v>
          </cell>
          <cell r="P26">
            <v>6528343.1339680012</v>
          </cell>
          <cell r="Q26">
            <v>6656419.6137600001</v>
          </cell>
        </row>
        <row r="27">
          <cell r="E27">
            <v>68274.458277797865</v>
          </cell>
          <cell r="F27">
            <v>68274.458277797865</v>
          </cell>
          <cell r="G27">
            <v>68274.458277797865</v>
          </cell>
          <cell r="H27">
            <v>68274.458277797865</v>
          </cell>
          <cell r="I27">
            <v>68274.458277797865</v>
          </cell>
          <cell r="J27">
            <v>68274.458277797865</v>
          </cell>
          <cell r="K27">
            <v>68274.458277797865</v>
          </cell>
          <cell r="L27">
            <v>68274.458277797865</v>
          </cell>
          <cell r="M27">
            <v>68274.458277797865</v>
          </cell>
          <cell r="N27">
            <v>68274.458277797865</v>
          </cell>
          <cell r="O27">
            <v>68274.458277797865</v>
          </cell>
          <cell r="P27">
            <v>68274.458277797865</v>
          </cell>
          <cell r="Q27">
            <v>68274.458277797865</v>
          </cell>
        </row>
        <row r="28">
          <cell r="E28">
            <v>1070137.0334659077</v>
          </cell>
          <cell r="F28">
            <v>1081695.1715365737</v>
          </cell>
          <cell r="G28">
            <v>1093255.7658641173</v>
          </cell>
          <cell r="H28">
            <v>1104817.5463362869</v>
          </cell>
          <cell r="I28">
            <v>1116380.8781714959</v>
          </cell>
          <cell r="J28">
            <v>1127945.1491397694</v>
          </cell>
          <cell r="K28">
            <v>1139533.8946330959</v>
          </cell>
          <cell r="L28">
            <v>1151149.5024299014</v>
          </cell>
          <cell r="M28">
            <v>1162768.1893114154</v>
          </cell>
          <cell r="N28">
            <v>1160100.252493053</v>
          </cell>
          <cell r="O28">
            <v>1171726.6643961978</v>
          </cell>
          <cell r="P28">
            <v>1183358.7029455327</v>
          </cell>
          <cell r="Q28">
            <v>1194997.1491215057</v>
          </cell>
        </row>
        <row r="29">
          <cell r="E29">
            <v>14740458.096090397</v>
          </cell>
          <cell r="F29">
            <v>14844796.904327067</v>
          </cell>
          <cell r="G29">
            <v>14899213.877522733</v>
          </cell>
          <cell r="H29">
            <v>14953778.862319397</v>
          </cell>
          <cell r="I29">
            <v>15008495.541684063</v>
          </cell>
          <cell r="J29">
            <v>15063220.665820731</v>
          </cell>
          <cell r="K29">
            <v>15117976.537921399</v>
          </cell>
          <cell r="L29">
            <v>15172776.18295506</v>
          </cell>
          <cell r="M29">
            <v>15227782.96272273</v>
          </cell>
          <cell r="N29">
            <v>15283008.927131398</v>
          </cell>
          <cell r="O29">
            <v>15338265.469787063</v>
          </cell>
          <cell r="P29">
            <v>15393481.708438734</v>
          </cell>
          <cell r="Q29">
            <v>15448724.117019402</v>
          </cell>
        </row>
        <row r="30">
          <cell r="E30">
            <v>244568.43357600007</v>
          </cell>
          <cell r="F30">
            <v>245298.5854880001</v>
          </cell>
          <cell r="G30">
            <v>246028.73192000008</v>
          </cell>
          <cell r="H30">
            <v>246758.91013600008</v>
          </cell>
          <cell r="I30">
            <v>247489.07081600008</v>
          </cell>
          <cell r="J30">
            <v>248219.2205360001</v>
          </cell>
          <cell r="K30">
            <v>248949.38669600006</v>
          </cell>
          <cell r="L30">
            <v>249679.54408800011</v>
          </cell>
          <cell r="M30">
            <v>250409.69380800007</v>
          </cell>
          <cell r="N30">
            <v>251139.84243200006</v>
          </cell>
          <cell r="O30">
            <v>251869.99872800004</v>
          </cell>
          <cell r="P30">
            <v>252600.14296800009</v>
          </cell>
          <cell r="Q30">
            <v>253330.31022400007</v>
          </cell>
        </row>
        <row r="49">
          <cell r="E49">
            <v>123274685.10999998</v>
          </cell>
          <cell r="F49">
            <v>124781269.97999999</v>
          </cell>
          <cell r="G49">
            <v>124835762.41999999</v>
          </cell>
          <cell r="H49">
            <v>126083550.66999997</v>
          </cell>
          <cell r="I49">
            <v>126361928.32999997</v>
          </cell>
          <cell r="J49">
            <v>126902292.18999997</v>
          </cell>
          <cell r="K49">
            <v>127269224.40999997</v>
          </cell>
          <cell r="L49">
            <v>128070083.59999996</v>
          </cell>
          <cell r="M49">
            <v>142483946.00999999</v>
          </cell>
          <cell r="N49">
            <v>142561912.15999997</v>
          </cell>
          <cell r="O49">
            <v>142850694.39000002</v>
          </cell>
          <cell r="P49">
            <v>143502503.77000001</v>
          </cell>
          <cell r="Q49">
            <v>148078451.06999999</v>
          </cell>
        </row>
        <row r="50">
          <cell r="E50">
            <v>84795.27</v>
          </cell>
          <cell r="F50">
            <v>84795.27</v>
          </cell>
          <cell r="G50">
            <v>84795.27</v>
          </cell>
          <cell r="H50">
            <v>84795.27</v>
          </cell>
          <cell r="I50">
            <v>84795.27</v>
          </cell>
          <cell r="J50">
            <v>84795.27</v>
          </cell>
          <cell r="K50">
            <v>84795.27</v>
          </cell>
          <cell r="L50">
            <v>84795.27</v>
          </cell>
          <cell r="M50">
            <v>84795.27</v>
          </cell>
          <cell r="N50">
            <v>84795.27</v>
          </cell>
          <cell r="O50">
            <v>84795.27</v>
          </cell>
          <cell r="P50">
            <v>84795.27</v>
          </cell>
          <cell r="Q50">
            <v>84795.27</v>
          </cell>
        </row>
        <row r="51">
          <cell r="E51">
            <v>675198</v>
          </cell>
          <cell r="F51">
            <v>675198</v>
          </cell>
          <cell r="G51">
            <v>675198</v>
          </cell>
          <cell r="H51">
            <v>675198</v>
          </cell>
          <cell r="I51">
            <v>675198</v>
          </cell>
          <cell r="J51">
            <v>675198</v>
          </cell>
          <cell r="K51">
            <v>675198</v>
          </cell>
          <cell r="L51">
            <v>675198</v>
          </cell>
          <cell r="M51">
            <v>675198</v>
          </cell>
          <cell r="N51">
            <v>675198</v>
          </cell>
          <cell r="O51">
            <v>675198</v>
          </cell>
          <cell r="P51">
            <v>675198</v>
          </cell>
          <cell r="Q51">
            <v>675198</v>
          </cell>
        </row>
        <row r="52">
          <cell r="E52">
            <v>189500741.28</v>
          </cell>
          <cell r="F52">
            <v>191385638.89000002</v>
          </cell>
          <cell r="G52">
            <v>191639508.67000002</v>
          </cell>
          <cell r="H52">
            <v>192013583.40000001</v>
          </cell>
          <cell r="I52">
            <v>192106203.5</v>
          </cell>
          <cell r="J52">
            <v>192161416.25</v>
          </cell>
          <cell r="K52">
            <v>192375286.74000001</v>
          </cell>
          <cell r="L52">
            <v>192371065.69</v>
          </cell>
          <cell r="M52">
            <v>192536004.01999998</v>
          </cell>
          <cell r="N52">
            <v>192560956.14999998</v>
          </cell>
          <cell r="O52">
            <v>192784607.14999998</v>
          </cell>
          <cell r="P52">
            <v>192809906.41999999</v>
          </cell>
          <cell r="Q52">
            <v>194512128.98999998</v>
          </cell>
        </row>
        <row r="53">
          <cell r="E53">
            <v>2327611703.3399997</v>
          </cell>
          <cell r="F53">
            <v>2338705080.4499998</v>
          </cell>
          <cell r="G53">
            <v>2345896964.3500004</v>
          </cell>
          <cell r="H53">
            <v>2373283799.6799998</v>
          </cell>
          <cell r="I53">
            <v>2382356018.9400001</v>
          </cell>
          <cell r="J53">
            <v>2388897735.7599998</v>
          </cell>
          <cell r="K53">
            <v>2401160966.6500001</v>
          </cell>
          <cell r="L53">
            <v>2406620571.0899992</v>
          </cell>
          <cell r="M53">
            <v>2417848886.4399996</v>
          </cell>
          <cell r="N53">
            <v>2427637708.9799995</v>
          </cell>
          <cell r="O53">
            <v>2433654068.1799994</v>
          </cell>
          <cell r="P53">
            <v>2444067223.0299993</v>
          </cell>
          <cell r="Q53">
            <v>2453023843.7699995</v>
          </cell>
        </row>
        <row r="54">
          <cell r="E54">
            <v>11648059.540000001</v>
          </cell>
          <cell r="F54">
            <v>11652361.450000001</v>
          </cell>
          <cell r="G54">
            <v>11652361.450000001</v>
          </cell>
          <cell r="H54">
            <v>11652361.450000001</v>
          </cell>
          <cell r="I54">
            <v>11657756.950000001</v>
          </cell>
          <cell r="J54">
            <v>11657756.950000001</v>
          </cell>
          <cell r="K54">
            <v>11657756.950000001</v>
          </cell>
          <cell r="L54">
            <v>11652361.450000001</v>
          </cell>
          <cell r="M54">
            <v>11655418.9</v>
          </cell>
          <cell r="N54">
            <v>12629043.970000001</v>
          </cell>
          <cell r="O54">
            <v>12633408.030000001</v>
          </cell>
          <cell r="P54">
            <v>12629290.590000002</v>
          </cell>
          <cell r="Q54">
            <v>12639875.300000003</v>
          </cell>
        </row>
        <row r="55">
          <cell r="E55">
            <v>74934549.640000001</v>
          </cell>
          <cell r="F55">
            <v>74964041.629999995</v>
          </cell>
          <cell r="G55">
            <v>74966478.699999988</v>
          </cell>
          <cell r="H55">
            <v>74981091.379999995</v>
          </cell>
          <cell r="I55">
            <v>74985643.679999992</v>
          </cell>
          <cell r="J55">
            <v>74992223.939999998</v>
          </cell>
          <cell r="K55">
            <v>75303801.329999998</v>
          </cell>
          <cell r="L55">
            <v>75340238.5</v>
          </cell>
          <cell r="M55">
            <v>75344263.030000001</v>
          </cell>
          <cell r="N55">
            <v>75391362</v>
          </cell>
          <cell r="O55">
            <v>75393743.609999999</v>
          </cell>
          <cell r="P55">
            <v>75464986.489999995</v>
          </cell>
          <cell r="Q55">
            <v>75474055.069999993</v>
          </cell>
        </row>
        <row r="56">
          <cell r="E56">
            <v>147786586.55999997</v>
          </cell>
          <cell r="F56">
            <v>149953582.78999999</v>
          </cell>
          <cell r="G56">
            <v>149818567.19</v>
          </cell>
          <cell r="H56">
            <v>157236228.91999999</v>
          </cell>
          <cell r="I56">
            <v>159856637.59</v>
          </cell>
          <cell r="J56">
            <v>161443203.04000002</v>
          </cell>
          <cell r="K56">
            <v>170437365.63</v>
          </cell>
          <cell r="L56">
            <v>175084820.16</v>
          </cell>
          <cell r="M56">
            <v>180905118.75000003</v>
          </cell>
          <cell r="N56">
            <v>184938570.67000002</v>
          </cell>
          <cell r="O56">
            <v>185421791.88999999</v>
          </cell>
          <cell r="P56">
            <v>186044442.30000001</v>
          </cell>
          <cell r="Q56">
            <v>189557928.74000001</v>
          </cell>
        </row>
        <row r="57">
          <cell r="E57">
            <v>334179675.88</v>
          </cell>
          <cell r="F57">
            <v>336469533.38999999</v>
          </cell>
          <cell r="G57">
            <v>336485827.44999993</v>
          </cell>
          <cell r="H57">
            <v>338708360.52999991</v>
          </cell>
          <cell r="I57">
            <v>338721539.31999993</v>
          </cell>
          <cell r="J57">
            <v>338714042.94999987</v>
          </cell>
          <cell r="K57">
            <v>339293939.7899999</v>
          </cell>
          <cell r="L57">
            <v>339301386.70999992</v>
          </cell>
          <cell r="M57">
            <v>341466980.88999987</v>
          </cell>
          <cell r="N57">
            <v>341483441.55999988</v>
          </cell>
          <cell r="O57">
            <v>341577204.68999988</v>
          </cell>
          <cell r="P57">
            <v>341578123.69999987</v>
          </cell>
          <cell r="Q57">
            <v>341578134.98999989</v>
          </cell>
        </row>
        <row r="58">
          <cell r="E58">
            <v>3790768.49</v>
          </cell>
          <cell r="F58">
            <v>3790768.49</v>
          </cell>
          <cell r="G58">
            <v>3790768.49</v>
          </cell>
          <cell r="H58">
            <v>3790768.49</v>
          </cell>
          <cell r="I58">
            <v>3790768.49</v>
          </cell>
          <cell r="J58">
            <v>3790768.49</v>
          </cell>
          <cell r="K58">
            <v>3790768.49</v>
          </cell>
          <cell r="L58">
            <v>3790768.49</v>
          </cell>
          <cell r="M58">
            <v>3790768.49</v>
          </cell>
          <cell r="N58">
            <v>3790768.49</v>
          </cell>
          <cell r="O58">
            <v>3790768.49</v>
          </cell>
          <cell r="P58">
            <v>3790768.49</v>
          </cell>
          <cell r="Q58">
            <v>3790768.49</v>
          </cell>
        </row>
        <row r="64">
          <cell r="E64">
            <v>70817474.159999996</v>
          </cell>
          <cell r="F64">
            <v>71308176.510000005</v>
          </cell>
          <cell r="G64">
            <v>71803278.640000001</v>
          </cell>
          <cell r="H64">
            <v>72302109.320000008</v>
          </cell>
          <cell r="I64">
            <v>72842193.760000005</v>
          </cell>
          <cell r="J64">
            <v>73357371.919999987</v>
          </cell>
          <cell r="K64">
            <v>73875107.36999999</v>
          </cell>
          <cell r="L64">
            <v>74396153.549999997</v>
          </cell>
          <cell r="M64">
            <v>74960175.389999986</v>
          </cell>
          <cell r="N64">
            <v>74891940.939999998</v>
          </cell>
          <cell r="O64">
            <v>75513963.730000004</v>
          </cell>
          <cell r="P64">
            <v>76136296.830000013</v>
          </cell>
          <cell r="Q64">
            <v>76778332.569999993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E66">
            <v>691035.67999999993</v>
          </cell>
          <cell r="F66">
            <v>691035.66999999993</v>
          </cell>
          <cell r="G66">
            <v>691035.67999999993</v>
          </cell>
          <cell r="H66">
            <v>691035.67999999993</v>
          </cell>
          <cell r="I66">
            <v>691035.66999999993</v>
          </cell>
          <cell r="J66">
            <v>691035.67999999993</v>
          </cell>
          <cell r="K66">
            <v>691035.67999999993</v>
          </cell>
          <cell r="L66">
            <v>691035.67999999993</v>
          </cell>
          <cell r="M66">
            <v>691035.69</v>
          </cell>
          <cell r="N66">
            <v>691035.67999999993</v>
          </cell>
          <cell r="O66">
            <v>691035.67999999993</v>
          </cell>
          <cell r="P66">
            <v>691035.66999999993</v>
          </cell>
          <cell r="Q66">
            <v>691035.66999999993</v>
          </cell>
        </row>
        <row r="67">
          <cell r="E67">
            <v>43275682.759999998</v>
          </cell>
          <cell r="F67">
            <v>43571193.059999995</v>
          </cell>
          <cell r="G67">
            <v>43868332.060000002</v>
          </cell>
          <cell r="H67">
            <v>44166051.469999999</v>
          </cell>
          <cell r="I67">
            <v>44464096.359999999</v>
          </cell>
          <cell r="J67">
            <v>44762261.399999999</v>
          </cell>
          <cell r="K67">
            <v>45060632.950000003</v>
          </cell>
          <cell r="L67">
            <v>45359170.68</v>
          </cell>
          <cell r="M67">
            <v>45657832.25</v>
          </cell>
          <cell r="N67">
            <v>45956644.829999998</v>
          </cell>
          <cell r="O67">
            <v>46255649.919999994</v>
          </cell>
          <cell r="P67">
            <v>46554849.910000004</v>
          </cell>
          <cell r="Q67">
            <v>46855405.36999999</v>
          </cell>
        </row>
        <row r="68">
          <cell r="E68">
            <v>1074144075.1670001</v>
          </cell>
          <cell r="F68">
            <v>1077556317.8989999</v>
          </cell>
          <cell r="G68">
            <v>1081383352.8000002</v>
          </cell>
          <cell r="H68">
            <v>1084945810.4424999</v>
          </cell>
          <cell r="I68">
            <v>1089103715.4345002</v>
          </cell>
          <cell r="J68">
            <v>1092819125.8755</v>
          </cell>
          <cell r="K68">
            <v>1096280838.7780001</v>
          </cell>
          <cell r="L68">
            <v>1099277956.9475002</v>
          </cell>
          <cell r="M68">
            <v>1102803754.1920002</v>
          </cell>
          <cell r="N68">
            <v>1105745923.6234999</v>
          </cell>
          <cell r="O68">
            <v>1107580268.4235003</v>
          </cell>
          <cell r="P68">
            <v>1111538084.099</v>
          </cell>
          <cell r="Q68">
            <v>1114283724.8189998</v>
          </cell>
        </row>
        <row r="69">
          <cell r="E69">
            <v>437351</v>
          </cell>
          <cell r="F69">
            <v>437351</v>
          </cell>
          <cell r="G69">
            <v>437351</v>
          </cell>
          <cell r="H69">
            <v>437351</v>
          </cell>
          <cell r="I69">
            <v>437351</v>
          </cell>
          <cell r="J69">
            <v>437351</v>
          </cell>
          <cell r="K69">
            <v>437351</v>
          </cell>
          <cell r="L69">
            <v>437351</v>
          </cell>
          <cell r="M69">
            <v>437351</v>
          </cell>
          <cell r="N69">
            <v>437351</v>
          </cell>
          <cell r="O69">
            <v>437351</v>
          </cell>
          <cell r="P69">
            <v>437351</v>
          </cell>
          <cell r="Q69">
            <v>437351</v>
          </cell>
        </row>
        <row r="70">
          <cell r="E70">
            <v>13126977.52</v>
          </cell>
          <cell r="F70">
            <v>13268756.950000001</v>
          </cell>
          <cell r="G70">
            <v>13410566.51</v>
          </cell>
          <cell r="H70">
            <v>13552390.620000001</v>
          </cell>
          <cell r="I70">
            <v>13694233.760000002</v>
          </cell>
          <cell r="J70">
            <v>13836088.42</v>
          </cell>
          <cell r="K70">
            <v>13978243.299999999</v>
          </cell>
          <cell r="L70">
            <v>14120727.689999999</v>
          </cell>
          <cell r="M70">
            <v>14263249.85</v>
          </cell>
          <cell r="N70">
            <v>14230523.25</v>
          </cell>
          <cell r="O70">
            <v>14373140.169999998</v>
          </cell>
          <cell r="P70">
            <v>14515826.109999999</v>
          </cell>
          <cell r="Q70">
            <v>14658590.65</v>
          </cell>
        </row>
        <row r="71">
          <cell r="E71">
            <v>50719922.009999998</v>
          </cell>
          <cell r="F71">
            <v>51885423.340000004</v>
          </cell>
          <cell r="G71">
            <v>49728387.910000004</v>
          </cell>
          <cell r="H71">
            <v>50641827.20000001</v>
          </cell>
          <cell r="I71">
            <v>51131891.409999989</v>
          </cell>
          <cell r="J71">
            <v>52399010.510000013</v>
          </cell>
          <cell r="K71">
            <v>53436277.129999995</v>
          </cell>
          <cell r="L71">
            <v>54498099.640000015</v>
          </cell>
          <cell r="M71">
            <v>55735591.079999991</v>
          </cell>
          <cell r="N71">
            <v>57057147.989999987</v>
          </cell>
          <cell r="O71">
            <v>58398037.050000004</v>
          </cell>
          <cell r="P71">
            <v>59565174.579999998</v>
          </cell>
          <cell r="Q71">
            <v>60733755.599999987</v>
          </cell>
        </row>
        <row r="72">
          <cell r="E72">
            <v>147473205.33999997</v>
          </cell>
          <cell r="F72">
            <v>148491945.03999999</v>
          </cell>
          <cell r="G72">
            <v>149048873.13</v>
          </cell>
          <cell r="H72">
            <v>149607170.42999998</v>
          </cell>
          <cell r="I72">
            <v>150166871.00999999</v>
          </cell>
          <cell r="J72">
            <v>150726649.70999998</v>
          </cell>
          <cell r="K72">
            <v>151286712.84999999</v>
          </cell>
          <cell r="L72">
            <v>151847180.91999996</v>
          </cell>
          <cell r="M72">
            <v>152409565.12999997</v>
          </cell>
          <cell r="N72">
            <v>152973976.94999999</v>
          </cell>
          <cell r="O72">
            <v>153538671.63999999</v>
          </cell>
          <cell r="P72">
            <v>154102993.49000001</v>
          </cell>
          <cell r="Q72">
            <v>154667557.43000004</v>
          </cell>
        </row>
        <row r="73">
          <cell r="E73">
            <v>2231463.81</v>
          </cell>
          <cell r="F73">
            <v>2238125.7800000003</v>
          </cell>
          <cell r="G73">
            <v>2244787.7000000002</v>
          </cell>
          <cell r="H73">
            <v>2251449.91</v>
          </cell>
          <cell r="I73">
            <v>2258111.96</v>
          </cell>
          <cell r="J73">
            <v>2264773.91</v>
          </cell>
          <cell r="K73">
            <v>2271436.0099999998</v>
          </cell>
          <cell r="L73">
            <v>2278098.0300000003</v>
          </cell>
          <cell r="M73">
            <v>2284759.98</v>
          </cell>
          <cell r="N73">
            <v>2291421.92</v>
          </cell>
          <cell r="O73">
            <v>2298083.9299999997</v>
          </cell>
          <cell r="P73">
            <v>2304745.83</v>
          </cell>
          <cell r="Q73">
            <v>2311407.94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Rate Base"/>
      <sheetName val="NWN BS_10-16-20"/>
    </sheetNames>
    <sheetDataSet>
      <sheetData sheetId="0">
        <row r="22">
          <cell r="C22">
            <v>14282972.769999998</v>
          </cell>
          <cell r="D22">
            <v>16494833.389999999</v>
          </cell>
          <cell r="E22">
            <v>20058020.810000002</v>
          </cell>
          <cell r="F22">
            <v>23370721.02</v>
          </cell>
          <cell r="G22">
            <v>27497732.75</v>
          </cell>
          <cell r="H22">
            <v>28885297.140000001</v>
          </cell>
          <cell r="I22">
            <v>29561221.450000003</v>
          </cell>
          <cell r="J22">
            <v>29835734.850000001</v>
          </cell>
          <cell r="K22">
            <v>30062468.379999999</v>
          </cell>
          <cell r="L22">
            <v>30152104.280000001</v>
          </cell>
          <cell r="M22">
            <v>30318544.299999997</v>
          </cell>
          <cell r="N22">
            <v>30253648.660000004</v>
          </cell>
          <cell r="O22">
            <v>30052941.719999999</v>
          </cell>
        </row>
        <row r="25">
          <cell r="C25">
            <v>1565413.8155920003</v>
          </cell>
          <cell r="D25">
            <v>1807833.7395440005</v>
          </cell>
          <cell r="E25">
            <v>2198359.0807760009</v>
          </cell>
          <cell r="F25">
            <v>2561431.0237920005</v>
          </cell>
          <cell r="G25">
            <v>3013751.5094000008</v>
          </cell>
          <cell r="H25">
            <v>3165828.566544001</v>
          </cell>
          <cell r="I25">
            <v>3239909.8709200011</v>
          </cell>
          <cell r="J25">
            <v>3269996.5395600009</v>
          </cell>
          <cell r="K25">
            <v>3294846.5344480006</v>
          </cell>
          <cell r="L25">
            <v>3304670.6290880009</v>
          </cell>
          <cell r="M25">
            <v>3322912.4552800008</v>
          </cell>
          <cell r="N25">
            <v>3315799.8931360012</v>
          </cell>
          <cell r="O25">
            <v>3293802.4125120007</v>
          </cell>
        </row>
        <row r="36">
          <cell r="C36">
            <v>-926663.27999999991</v>
          </cell>
          <cell r="D36">
            <v>-958065.27999999991</v>
          </cell>
          <cell r="E36">
            <v>-972158.27999999991</v>
          </cell>
          <cell r="F36">
            <v>-982286.27999999991</v>
          </cell>
          <cell r="G36">
            <v>-994615.27999999991</v>
          </cell>
          <cell r="H36">
            <v>-1010081.2799999999</v>
          </cell>
          <cell r="I36">
            <v>-1022323.2799999999</v>
          </cell>
          <cell r="J36">
            <v>-1026535.2799999999</v>
          </cell>
          <cell r="K36">
            <v>-1045749.2799999999</v>
          </cell>
          <cell r="L36">
            <v>-1087855.2799999998</v>
          </cell>
          <cell r="M36">
            <v>-1108371.2799999998</v>
          </cell>
          <cell r="N36">
            <v>-1132864.2799999998</v>
          </cell>
          <cell r="O36">
            <v>-1157048.2799999998</v>
          </cell>
        </row>
        <row r="37">
          <cell r="C37">
            <v>-5197343.25</v>
          </cell>
          <cell r="D37">
            <v>-5293473.25</v>
          </cell>
          <cell r="E37">
            <v>-5408334.25</v>
          </cell>
          <cell r="F37">
            <v>-7367883.71</v>
          </cell>
          <cell r="G37">
            <v>-7532633.4800000004</v>
          </cell>
          <cell r="H37">
            <v>-7655812.25</v>
          </cell>
          <cell r="I37">
            <v>-5635850.8300000001</v>
          </cell>
          <cell r="J37">
            <v>-5756413.0300000003</v>
          </cell>
          <cell r="K37">
            <v>-5848988.7000000002</v>
          </cell>
          <cell r="L37">
            <v>-6008002.3700000001</v>
          </cell>
          <cell r="M37">
            <v>-6138374.8700000001</v>
          </cell>
          <cell r="N37">
            <v>-6309949.2000000002</v>
          </cell>
          <cell r="O37">
            <v>-6434528.2000000002</v>
          </cell>
        </row>
        <row r="52">
          <cell r="C52">
            <v>22721949.550000001</v>
          </cell>
          <cell r="D52">
            <v>22720795.5</v>
          </cell>
          <cell r="E52">
            <v>22719544.039999999</v>
          </cell>
          <cell r="F52">
            <v>22718207.759999998</v>
          </cell>
          <cell r="G52">
            <v>22716519.969999999</v>
          </cell>
          <cell r="H52">
            <v>22714910.030000001</v>
          </cell>
          <cell r="I52">
            <v>22713526.649999999</v>
          </cell>
          <cell r="J52">
            <v>22711937.300000001</v>
          </cell>
          <cell r="K52">
            <v>22710187.419999998</v>
          </cell>
          <cell r="L52">
            <v>22708215.890000001</v>
          </cell>
          <cell r="M52">
            <v>22706315.18</v>
          </cell>
          <cell r="N52">
            <v>22704389.620000001</v>
          </cell>
          <cell r="O52">
            <v>22702466.919999998</v>
          </cell>
        </row>
        <row r="56">
          <cell r="C56">
            <v>2456242.7463549995</v>
          </cell>
          <cell r="D56">
            <v>2456117.9935499993</v>
          </cell>
          <cell r="E56">
            <v>2455982.7107239994</v>
          </cell>
          <cell r="F56">
            <v>2455838.258855999</v>
          </cell>
          <cell r="G56">
            <v>2455655.8087569992</v>
          </cell>
          <cell r="H56">
            <v>2455481.7742429995</v>
          </cell>
          <cell r="I56">
            <v>2455332.2308649994</v>
          </cell>
          <cell r="J56">
            <v>2455160.4221299994</v>
          </cell>
          <cell r="K56">
            <v>2454971.2601019992</v>
          </cell>
          <cell r="L56">
            <v>2454758.1377089997</v>
          </cell>
          <cell r="M56">
            <v>2454552.6709579993</v>
          </cell>
          <cell r="N56">
            <v>2454344.5179219996</v>
          </cell>
          <cell r="O56">
            <v>2454136.6740519991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Rates"/>
      <sheetName val="R&amp;C UPC"/>
      <sheetName val="Hist Cust &amp; Vols"/>
      <sheetName val="Customers"/>
      <sheetName val="Volumes"/>
      <sheetName val="Cust &amp; Use"/>
      <sheetName val="Cust Charge"/>
      <sheetName val="MDDV Service Charge"/>
      <sheetName val="Perm Base Rate Rev"/>
      <sheetName val="BExRepositorySheet"/>
      <sheetName val="WACOG"/>
      <sheetName val="Demand"/>
      <sheetName val="Total Cost of Gas"/>
      <sheetName val="Total Revenue"/>
      <sheetName val="Monthly Margin"/>
      <sheetName val="Output to Rev Re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55168219.985745445</v>
          </cell>
          <cell r="F13">
            <v>53291888.72181496</v>
          </cell>
        </row>
        <row r="14">
          <cell r="D14">
            <v>22843758.015181348</v>
          </cell>
          <cell r="F14">
            <v>19853121.43018819</v>
          </cell>
        </row>
        <row r="15">
          <cell r="D15">
            <v>3138417.6</v>
          </cell>
          <cell r="F15">
            <v>2143268.3848576923</v>
          </cell>
        </row>
        <row r="16">
          <cell r="D16">
            <v>1260153</v>
          </cell>
          <cell r="F16">
            <v>602459.64647558169</v>
          </cell>
        </row>
        <row r="24">
          <cell r="D24">
            <v>9693126</v>
          </cell>
          <cell r="F24">
            <v>1374241.8035299999</v>
          </cell>
        </row>
        <row r="25">
          <cell r="D25">
            <v>8033267</v>
          </cell>
          <cell r="F25">
            <v>825480.07319999998</v>
          </cell>
        </row>
        <row r="26">
          <cell r="D26">
            <v>2895114</v>
          </cell>
          <cell r="F26">
            <v>242994.60207180592</v>
          </cell>
        </row>
        <row r="35">
          <cell r="F35">
            <v>7929784</v>
          </cell>
        </row>
        <row r="37">
          <cell r="F37">
            <v>20798768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 2004 Data"/>
      <sheetName val="WA 2004 Data"/>
      <sheetName val="Sys 2004 Bal Sheet"/>
      <sheetName val="Sys 2005 Data"/>
      <sheetName val="WA 2005 Data"/>
      <sheetName val="Sys 2005 Bal Sheet"/>
      <sheetName val="Sys 2006 Data"/>
      <sheetName val="WA 2006 Data"/>
      <sheetName val="Sys 2006 Bal Sheet"/>
      <sheetName val="Sys 2007 Data"/>
      <sheetName val="WA 2007 Data"/>
      <sheetName val="Sys 2007 Bal Sheet"/>
      <sheetName val="Sys 2008 Data"/>
      <sheetName val="WA 2008 Data"/>
      <sheetName val="Sys 2008 Bal Sheet"/>
      <sheetName val="Sys 2009 Bal Sheet"/>
      <sheetName val="Sys 2009 Data"/>
      <sheetName val="WA 2009 Data"/>
      <sheetName val="Filed Reports (2)"/>
      <sheetName val="Sys 2010 Data"/>
      <sheetName val="WA 2010 Data"/>
      <sheetName val="Sys 2010 Bal Sheet"/>
      <sheetName val="WA 2012 Data"/>
      <sheetName val="WA 2011 Data"/>
      <sheetName val="Sys 2016 Bal Sheet"/>
      <sheetName val="Sys 2020 Data"/>
      <sheetName val="System TTM Sept. 2020"/>
      <sheetName val="WA 2020 Data"/>
      <sheetName val="Q4 Rate Base-BS"/>
      <sheetName val="Chart Data"/>
      <sheetName val="Chart1"/>
      <sheetName val="Chart5"/>
      <sheetName val="Char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5">
          <cell r="R25">
            <v>-1970405.0999999994</v>
          </cell>
        </row>
        <row r="27">
          <cell r="R27">
            <v>-282008.58</v>
          </cell>
        </row>
        <row r="30">
          <cell r="P30">
            <v>1636051.8499999992</v>
          </cell>
        </row>
      </sheetData>
      <sheetData sheetId="26">
        <row r="35">
          <cell r="B35">
            <v>319367.13</v>
          </cell>
        </row>
        <row r="36">
          <cell r="B36">
            <v>1114862.1699999997</v>
          </cell>
        </row>
        <row r="37">
          <cell r="B37">
            <v>25630</v>
          </cell>
        </row>
        <row r="38">
          <cell r="B38">
            <v>118379.04000000001</v>
          </cell>
        </row>
        <row r="39">
          <cell r="B39">
            <v>153755</v>
          </cell>
        </row>
        <row r="40">
          <cell r="B40">
            <v>189053.28999999998</v>
          </cell>
        </row>
        <row r="41">
          <cell r="B41">
            <v>99236.46</v>
          </cell>
        </row>
        <row r="42">
          <cell r="B42">
            <v>353243.76000000007</v>
          </cell>
        </row>
        <row r="43">
          <cell r="B43">
            <v>0</v>
          </cell>
        </row>
      </sheetData>
      <sheetData sheetId="27">
        <row r="8">
          <cell r="P8">
            <v>51073.17</v>
          </cell>
        </row>
        <row r="9">
          <cell r="P9">
            <v>12104.04</v>
          </cell>
        </row>
        <row r="10">
          <cell r="P10">
            <v>13105</v>
          </cell>
        </row>
        <row r="11">
          <cell r="P11">
            <v>13640</v>
          </cell>
        </row>
        <row r="12">
          <cell r="P12">
            <v>13000</v>
          </cell>
        </row>
        <row r="13">
          <cell r="P13">
            <v>155</v>
          </cell>
        </row>
        <row r="14">
          <cell r="P14">
            <v>1150</v>
          </cell>
        </row>
        <row r="15">
          <cell r="P15">
            <v>550</v>
          </cell>
        </row>
        <row r="16">
          <cell r="P16">
            <v>0</v>
          </cell>
        </row>
        <row r="17">
          <cell r="P17">
            <v>3660</v>
          </cell>
        </row>
        <row r="19">
          <cell r="P19">
            <v>13615.79</v>
          </cell>
        </row>
        <row r="20">
          <cell r="P20">
            <v>23455.819999999996</v>
          </cell>
        </row>
      </sheetData>
      <sheetData sheetId="28"/>
      <sheetData sheetId="29"/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ookup table"/>
    </sheetNames>
    <sheetDataSet>
      <sheetData sheetId="0">
        <row r="162">
          <cell r="C162">
            <v>-51073.17</v>
          </cell>
        </row>
        <row r="163">
          <cell r="C163">
            <v>-3660</v>
          </cell>
        </row>
        <row r="164">
          <cell r="C164">
            <v>-13640</v>
          </cell>
        </row>
        <row r="165">
          <cell r="C165">
            <v>-2356.64</v>
          </cell>
        </row>
        <row r="166">
          <cell r="C166">
            <v>-18475</v>
          </cell>
        </row>
        <row r="167">
          <cell r="C167">
            <v>-6750</v>
          </cell>
        </row>
        <row r="168">
          <cell r="C168">
            <v>-1350</v>
          </cell>
        </row>
        <row r="169">
          <cell r="C169">
            <v>-585</v>
          </cell>
        </row>
        <row r="170">
          <cell r="C170">
            <v>-700</v>
          </cell>
        </row>
        <row r="171">
          <cell r="C171">
            <v>-12104.04</v>
          </cell>
        </row>
        <row r="172">
          <cell r="C172">
            <v>-18060.370000000003</v>
          </cell>
        </row>
        <row r="173">
          <cell r="C173">
            <v>-1000</v>
          </cell>
        </row>
        <row r="174">
          <cell r="C174">
            <v>-318.60000000000008</v>
          </cell>
        </row>
        <row r="175">
          <cell r="C175">
            <v>-15436</v>
          </cell>
        </row>
        <row r="177">
          <cell r="C177">
            <v>-99236.46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3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5.bin"/><Relationship Id="rId4" Type="http://schemas.openxmlformats.org/officeDocument/2006/relationships/printerSettings" Target="../printerSettings/printerSettings13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0.bin"/><Relationship Id="rId2" Type="http://schemas.openxmlformats.org/officeDocument/2006/relationships/printerSettings" Target="../printerSettings/printerSettings139.bin"/><Relationship Id="rId1" Type="http://schemas.openxmlformats.org/officeDocument/2006/relationships/printerSettings" Target="../printerSettings/printerSettings138.bin"/><Relationship Id="rId6" Type="http://schemas.openxmlformats.org/officeDocument/2006/relationships/printerSettings" Target="../printerSettings/printerSettings142.bin"/><Relationship Id="rId5" Type="http://schemas.openxmlformats.org/officeDocument/2006/relationships/hyperlink" Target="Tax\GRC_WA2020_PlantDeferreds_20201020.xlsx" TargetMode="External"/><Relationship Id="rId4" Type="http://schemas.openxmlformats.org/officeDocument/2006/relationships/printerSettings" Target="../printerSettings/printerSettings14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44.bin"/><Relationship Id="rId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47.bin"/><Relationship Id="rId4" Type="http://schemas.openxmlformats.org/officeDocument/2006/relationships/printerSettings" Target="../printerSettings/printerSettings14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 tint="0.39997558519241921"/>
    <pageSetUpPr fitToPage="1"/>
  </sheetPr>
  <dimension ref="A1:T59"/>
  <sheetViews>
    <sheetView showGridLines="0" zoomScale="90" zoomScaleNormal="90" workbookViewId="0">
      <selection activeCell="D35" sqref="D35"/>
    </sheetView>
  </sheetViews>
  <sheetFormatPr defaultColWidth="9.140625" defaultRowHeight="15" x14ac:dyDescent="0.2"/>
  <cols>
    <col min="1" max="1" width="4.7109375" style="1" customWidth="1"/>
    <col min="2" max="2" width="41.7109375" style="1" customWidth="1"/>
    <col min="3" max="4" width="13.7109375" style="8" customWidth="1"/>
    <col min="5" max="5" width="14.5703125" style="8" customWidth="1"/>
    <col min="6" max="6" width="13.7109375" style="8" customWidth="1"/>
    <col min="7" max="9" width="14.7109375" style="8" customWidth="1"/>
    <col min="10" max="10" width="12" style="8" customWidth="1"/>
    <col min="11" max="11" width="15.140625" style="8" bestFit="1" customWidth="1"/>
    <col min="12" max="12" width="11.140625" style="8" customWidth="1"/>
    <col min="13" max="14" width="20.5703125" style="8" customWidth="1"/>
    <col min="15" max="15" width="19.140625" style="8" customWidth="1"/>
    <col min="16" max="16" width="9.140625" style="8"/>
    <col min="17" max="19" width="29.140625" style="8" customWidth="1"/>
    <col min="20" max="16384" width="9.140625" style="8"/>
  </cols>
  <sheetData>
    <row r="1" spans="1:19" s="1" customFormat="1" x14ac:dyDescent="0.2">
      <c r="A1" s="1" t="s">
        <v>0</v>
      </c>
      <c r="F1" s="568">
        <f>6255809.56681533</f>
        <v>6255809.5668153297</v>
      </c>
      <c r="G1" s="569"/>
      <c r="H1" s="569"/>
      <c r="I1" s="569"/>
      <c r="J1" s="569">
        <v>3150116.0024600001</v>
      </c>
      <c r="K1" s="5" t="s">
        <v>745</v>
      </c>
    </row>
    <row r="2" spans="1:19" s="1" customFormat="1" x14ac:dyDescent="0.2">
      <c r="A2" s="1" t="s">
        <v>2</v>
      </c>
      <c r="F2" s="568">
        <f>F12</f>
        <v>6255809.5678384118</v>
      </c>
      <c r="G2" s="569"/>
      <c r="H2" s="569"/>
      <c r="I2" s="569"/>
      <c r="J2" s="569">
        <f>J12</f>
        <v>3150116.0024598953</v>
      </c>
      <c r="K2" s="5" t="s">
        <v>747</v>
      </c>
    </row>
    <row r="3" spans="1:19" s="1" customFormat="1" x14ac:dyDescent="0.2">
      <c r="A3" s="3" t="str">
        <f>+'KTW-3 p1 - Test Year Results'!A3</f>
        <v>Test Year Based on Twelve Months Ended September 30, 2020</v>
      </c>
      <c r="F3" s="568"/>
      <c r="G3" s="570"/>
      <c r="H3" s="570"/>
      <c r="I3" s="569"/>
      <c r="J3" s="571">
        <f>ROUND(J1-J2,4)</f>
        <v>0</v>
      </c>
    </row>
    <row r="4" spans="1:19" s="1" customFormat="1" x14ac:dyDescent="0.2">
      <c r="G4" s="4"/>
      <c r="H4" s="4"/>
      <c r="I4" s="4"/>
    </row>
    <row r="5" spans="1:19" s="1" customFormat="1" ht="15.75" thickBot="1" x14ac:dyDescent="0.25">
      <c r="C5" s="604" t="s">
        <v>317</v>
      </c>
      <c r="D5" s="604"/>
      <c r="E5" s="604"/>
      <c r="F5" s="604"/>
      <c r="G5" s="605"/>
      <c r="H5" s="604"/>
      <c r="I5" s="604"/>
      <c r="J5" s="604"/>
      <c r="K5" s="605"/>
    </row>
    <row r="6" spans="1:19" s="1" customFormat="1" x14ac:dyDescent="0.2">
      <c r="D6" s="5"/>
      <c r="E6" s="5"/>
      <c r="F6" s="5" t="s">
        <v>12</v>
      </c>
      <c r="G6" s="85" t="s">
        <v>663</v>
      </c>
      <c r="H6" s="353"/>
      <c r="I6" s="353"/>
      <c r="J6" s="353" t="s">
        <v>12</v>
      </c>
      <c r="K6" s="85" t="s">
        <v>626</v>
      </c>
    </row>
    <row r="7" spans="1:19" s="1" customFormat="1" x14ac:dyDescent="0.2">
      <c r="A7" s="5" t="s">
        <v>15</v>
      </c>
      <c r="C7" s="5" t="s">
        <v>11</v>
      </c>
      <c r="D7" s="5" t="s">
        <v>625</v>
      </c>
      <c r="E7" s="5" t="s">
        <v>663</v>
      </c>
      <c r="F7" s="5" t="s">
        <v>625</v>
      </c>
      <c r="G7" s="379">
        <f>'KTW-3 p8 - Cost of Cap'!D13</f>
        <v>9.4E-2</v>
      </c>
      <c r="H7" s="6" t="s">
        <v>624</v>
      </c>
      <c r="I7" s="6" t="s">
        <v>626</v>
      </c>
      <c r="J7" s="6" t="s">
        <v>624</v>
      </c>
      <c r="K7" s="379" t="s">
        <v>664</v>
      </c>
    </row>
    <row r="8" spans="1:19" s="1" customFormat="1" x14ac:dyDescent="0.2">
      <c r="A8" s="392" t="s">
        <v>31</v>
      </c>
      <c r="C8" s="392" t="s">
        <v>16</v>
      </c>
      <c r="D8" s="392" t="s">
        <v>32</v>
      </c>
      <c r="E8" s="392" t="s">
        <v>33</v>
      </c>
      <c r="F8" s="392" t="s">
        <v>662</v>
      </c>
      <c r="G8" s="89" t="s">
        <v>35</v>
      </c>
      <c r="H8" s="392" t="s">
        <v>32</v>
      </c>
      <c r="I8" s="392" t="s">
        <v>33</v>
      </c>
      <c r="J8" s="392" t="s">
        <v>662</v>
      </c>
      <c r="K8" s="89" t="s">
        <v>35</v>
      </c>
    </row>
    <row r="9" spans="1:19" s="1" customFormat="1" x14ac:dyDescent="0.2">
      <c r="A9" s="5"/>
      <c r="C9" s="5" t="s">
        <v>55</v>
      </c>
      <c r="D9" s="5" t="s">
        <v>56</v>
      </c>
      <c r="E9" s="5" t="s">
        <v>57</v>
      </c>
      <c r="F9" s="5" t="s">
        <v>58</v>
      </c>
      <c r="G9" s="88" t="s">
        <v>59</v>
      </c>
      <c r="H9" s="5" t="s">
        <v>65</v>
      </c>
      <c r="I9" s="5" t="s">
        <v>66</v>
      </c>
      <c r="J9" s="5" t="s">
        <v>67</v>
      </c>
      <c r="K9" s="88" t="s">
        <v>68</v>
      </c>
    </row>
    <row r="10" spans="1:19" x14ac:dyDescent="0.2">
      <c r="A10" s="5"/>
      <c r="E10" s="9"/>
      <c r="G10" s="90"/>
      <c r="K10" s="90"/>
      <c r="M10" s="77"/>
      <c r="N10" s="77"/>
    </row>
    <row r="11" spans="1:19" x14ac:dyDescent="0.2">
      <c r="A11" s="5"/>
      <c r="B11" s="1" t="s">
        <v>74</v>
      </c>
      <c r="C11" s="10"/>
      <c r="D11" s="10"/>
      <c r="E11" s="10"/>
      <c r="G11" s="380"/>
      <c r="H11" s="10"/>
      <c r="I11" s="10"/>
      <c r="K11" s="90"/>
      <c r="L11" s="328"/>
      <c r="M11" s="463"/>
      <c r="N11" s="463"/>
    </row>
    <row r="12" spans="1:19" x14ac:dyDescent="0.2">
      <c r="A12" s="5">
        <v>1</v>
      </c>
      <c r="B12" s="1" t="s">
        <v>77</v>
      </c>
      <c r="C12" s="11">
        <f>'KTW-4 p3 - Revenue &amp; Gas Cost'!E15+'KTW-4 p3 - Revenue &amp; Gas Cost'!E17</f>
        <v>71678740.359525383</v>
      </c>
      <c r="D12" s="11">
        <f>'KTW-4,5,8 p1 - Adjust Issues'!Z13</f>
        <v>4211997.8238110505</v>
      </c>
      <c r="E12" s="11">
        <f>C12+D12</f>
        <v>75890738.183336437</v>
      </c>
      <c r="F12" s="11">
        <f>D57</f>
        <v>6255809.5678384118</v>
      </c>
      <c r="G12" s="91">
        <f>F12+E12</f>
        <v>82146547.751174852</v>
      </c>
      <c r="H12" s="11">
        <f>'KTW-4,5,8 p1 - Adjust Issues'!AB13</f>
        <v>0</v>
      </c>
      <c r="I12" s="11">
        <f>G12+H12</f>
        <v>82146547.751174852</v>
      </c>
      <c r="J12" s="11">
        <f>E57</f>
        <v>3150116.0024598953</v>
      </c>
      <c r="K12" s="91">
        <f>I12+J12</f>
        <v>85296663.753634751</v>
      </c>
    </row>
    <row r="13" spans="1:19" x14ac:dyDescent="0.2">
      <c r="A13" s="5">
        <v>2</v>
      </c>
      <c r="B13" s="1" t="s">
        <v>83</v>
      </c>
      <c r="C13" s="13">
        <f>'KTW-4 p3 - Revenue &amp; Gas Cost'!E25</f>
        <v>2292849.1400000006</v>
      </c>
      <c r="D13" s="13">
        <f>'KTW-4,5,8 p1 - Adjust Issues'!Z14</f>
        <v>149867.33880180493</v>
      </c>
      <c r="E13" s="13">
        <f>C13+D13</f>
        <v>2442716.4788018055</v>
      </c>
      <c r="F13" s="14"/>
      <c r="G13" s="381">
        <f>F13+E13</f>
        <v>2442716.4788018055</v>
      </c>
      <c r="H13" s="14">
        <f>'KTW-4,5,8 p1 - Adjust Issues'!AB14</f>
        <v>0</v>
      </c>
      <c r="I13" s="13">
        <f>G13+H13</f>
        <v>2442716.4788018055</v>
      </c>
      <c r="J13" s="14"/>
      <c r="K13" s="381">
        <f t="shared" ref="K13" si="0">I13+J13</f>
        <v>2442716.4788018055</v>
      </c>
      <c r="M13" s="31"/>
    </row>
    <row r="14" spans="1:19" ht="15.75" thickBot="1" x14ac:dyDescent="0.25">
      <c r="A14" s="5">
        <v>3</v>
      </c>
      <c r="B14" s="1" t="s">
        <v>87</v>
      </c>
      <c r="C14" s="15">
        <f>+'WP - Other Rev &amp; Tax'!E19</f>
        <v>-2096028.5439839992</v>
      </c>
      <c r="D14" s="15">
        <f>'KTW-4,5,8 p1 - Adjust Issues'!Z15</f>
        <v>2363456.8723413325</v>
      </c>
      <c r="E14" s="15">
        <f>D14+C14</f>
        <v>267428.32835733332</v>
      </c>
      <c r="F14" s="16"/>
      <c r="G14" s="382">
        <f>F14+E14</f>
        <v>267428.32835733332</v>
      </c>
      <c r="H14" s="16">
        <f>'KTW-4,5,8 p1 - Adjust Issues'!AB15</f>
        <v>0</v>
      </c>
      <c r="I14" s="15">
        <f>H14+G14</f>
        <v>267428.32835733332</v>
      </c>
      <c r="J14" s="16"/>
      <c r="K14" s="382">
        <f>I14+J14</f>
        <v>267428.32835733332</v>
      </c>
    </row>
    <row r="15" spans="1:19" x14ac:dyDescent="0.2">
      <c r="A15" s="5"/>
      <c r="C15" s="13"/>
      <c r="D15" s="13"/>
      <c r="E15" s="13"/>
      <c r="F15" s="14"/>
      <c r="G15" s="381"/>
      <c r="H15" s="14"/>
      <c r="I15" s="13"/>
      <c r="J15" s="14"/>
      <c r="K15" s="381"/>
      <c r="M15" s="17" t="s">
        <v>623</v>
      </c>
      <c r="N15" s="17" t="s">
        <v>627</v>
      </c>
    </row>
    <row r="16" spans="1:19" ht="15.75" thickBot="1" x14ac:dyDescent="0.25">
      <c r="A16" s="5">
        <v>4</v>
      </c>
      <c r="B16" s="1" t="s">
        <v>96</v>
      </c>
      <c r="C16" s="13">
        <f t="shared" ref="C16:J16" si="1">SUM(C12:C15)</f>
        <v>71875560.955541387</v>
      </c>
      <c r="D16" s="13">
        <f t="shared" si="1"/>
        <v>6725322.0349541884</v>
      </c>
      <c r="E16" s="13">
        <f t="shared" si="1"/>
        <v>78600882.990495577</v>
      </c>
      <c r="F16" s="14">
        <f>SUM(F12:F15)</f>
        <v>6255809.5678384118</v>
      </c>
      <c r="G16" s="381">
        <f t="shared" si="1"/>
        <v>84856692.558333993</v>
      </c>
      <c r="H16" s="14">
        <f t="shared" si="1"/>
        <v>0</v>
      </c>
      <c r="I16" s="13">
        <f t="shared" si="1"/>
        <v>84856692.558333993</v>
      </c>
      <c r="J16" s="14">
        <f t="shared" si="1"/>
        <v>3150116.0024598953</v>
      </c>
      <c r="K16" s="381">
        <f>I16+J16</f>
        <v>88006808.560793892</v>
      </c>
      <c r="M16" s="596">
        <f>ROUND(F16/(E16-E14),4)</f>
        <v>7.9899999999999999E-2</v>
      </c>
      <c r="N16" s="597">
        <f>ROUND(J16/(I16-I14),4)</f>
        <v>3.7199999999999997E-2</v>
      </c>
      <c r="S16" s="21"/>
    </row>
    <row r="17" spans="1:20" x14ac:dyDescent="0.2">
      <c r="A17" s="5"/>
      <c r="B17" s="18"/>
      <c r="C17" s="13"/>
      <c r="D17" s="13"/>
      <c r="E17" s="13"/>
      <c r="F17" s="14"/>
      <c r="G17" s="381"/>
      <c r="H17" s="14"/>
      <c r="I17" s="13"/>
      <c r="J17" s="14"/>
      <c r="K17" s="381"/>
      <c r="M17" s="9"/>
      <c r="S17" s="21"/>
    </row>
    <row r="18" spans="1:20" x14ac:dyDescent="0.2">
      <c r="A18" s="5"/>
      <c r="B18" s="1" t="s">
        <v>103</v>
      </c>
      <c r="C18" s="13"/>
      <c r="D18" s="13"/>
      <c r="E18" s="13"/>
      <c r="F18" s="14"/>
      <c r="G18" s="381"/>
      <c r="H18" s="14"/>
      <c r="I18" s="13"/>
      <c r="J18" s="14"/>
      <c r="K18" s="381"/>
      <c r="M18" s="376"/>
      <c r="N18" s="376"/>
      <c r="O18" s="21"/>
      <c r="P18" s="21"/>
      <c r="Q18" s="21"/>
      <c r="R18" s="21"/>
      <c r="S18" s="21"/>
    </row>
    <row r="19" spans="1:20" x14ac:dyDescent="0.2">
      <c r="A19" s="5">
        <v>5</v>
      </c>
      <c r="B19" s="1" t="s">
        <v>105</v>
      </c>
      <c r="C19" s="13">
        <f>+'KTW-4 p3 - Revenue &amp; Gas Cost'!E35</f>
        <v>24325146.627437029</v>
      </c>
      <c r="D19" s="13">
        <f>'KTW-4,5,8 p1 - Adjust Issues'!Z20</f>
        <v>4403405.372562971</v>
      </c>
      <c r="E19" s="13">
        <f>C19+D19</f>
        <v>28728552</v>
      </c>
      <c r="F19" s="14"/>
      <c r="G19" s="381">
        <f>F19+E19</f>
        <v>28728552</v>
      </c>
      <c r="H19" s="14">
        <f>'KTW-4,5,8 p1 - Adjust Issues'!AB20</f>
        <v>0</v>
      </c>
      <c r="I19" s="13">
        <f>G19+H19</f>
        <v>28728552</v>
      </c>
      <c r="J19" s="14"/>
      <c r="K19" s="381">
        <f t="shared" ref="K19:K21" si="2">I19+J19</f>
        <v>28728552</v>
      </c>
      <c r="M19" s="606"/>
      <c r="N19" s="606"/>
      <c r="O19" s="606"/>
      <c r="P19" s="21"/>
      <c r="Q19" s="606"/>
      <c r="R19" s="606"/>
      <c r="S19" s="528"/>
    </row>
    <row r="20" spans="1:20" x14ac:dyDescent="0.2">
      <c r="A20" s="5">
        <v>6</v>
      </c>
      <c r="B20" s="1" t="s">
        <v>110</v>
      </c>
      <c r="C20" s="13">
        <f>+'KTW-3 p2 &amp; p3 - O&amp;M'!F72</f>
        <v>110387.16508799998</v>
      </c>
      <c r="D20" s="13">
        <f>'KTW-4,5,8 p1 - Adjust Issues'!Z21</f>
        <v>-21698.480459224578</v>
      </c>
      <c r="E20" s="13">
        <f>C20+D20</f>
        <v>88688.684628775402</v>
      </c>
      <c r="F20" s="14">
        <f>D57*'KTW-3 p8 - Cost of Cap'!$C$25</f>
        <v>6560.4945851024304</v>
      </c>
      <c r="G20" s="381">
        <f>F20+E20</f>
        <v>95249.179213877826</v>
      </c>
      <c r="H20" s="14">
        <f>'KTW-4,5,8 p1 - Adjust Issues'!AB21</f>
        <v>0</v>
      </c>
      <c r="I20" s="13">
        <f>G20+H20</f>
        <v>95249.179213877826</v>
      </c>
      <c r="J20" s="14">
        <f>E57*'KTW-3 p8 - Cost of Cap'!$C$25</f>
        <v>3303.5402936223891</v>
      </c>
      <c r="K20" s="381">
        <f t="shared" si="2"/>
        <v>98552.719507500209</v>
      </c>
      <c r="M20" s="574"/>
      <c r="N20" s="575"/>
      <c r="O20" s="575"/>
      <c r="P20" s="21"/>
      <c r="Q20" s="21"/>
      <c r="R20" s="575"/>
      <c r="S20" s="21"/>
    </row>
    <row r="21" spans="1:20" x14ac:dyDescent="0.2">
      <c r="A21" s="5">
        <v>7</v>
      </c>
      <c r="B21" s="1" t="s">
        <v>111</v>
      </c>
      <c r="C21" s="15">
        <f>+'KTW-3 p2 &amp; p3 - O&amp;M'!F107-C20</f>
        <v>18749534.194650553</v>
      </c>
      <c r="D21" s="15">
        <f>'KTW-4,5,8 p1 - Adjust Issues'!Z22</f>
        <v>696463.54271876882</v>
      </c>
      <c r="E21" s="15">
        <f>C21+D21</f>
        <v>19445997.737369321</v>
      </c>
      <c r="F21" s="16"/>
      <c r="G21" s="382">
        <f>F21+E21</f>
        <v>19445997.737369321</v>
      </c>
      <c r="H21" s="16">
        <f>'KTW-4,5,8 p1 - Adjust Issues'!AB22</f>
        <v>459931.69999999984</v>
      </c>
      <c r="I21" s="15">
        <f>G21+H21</f>
        <v>19905929.437369321</v>
      </c>
      <c r="J21" s="16"/>
      <c r="K21" s="382">
        <f t="shared" si="2"/>
        <v>19905929.437369321</v>
      </c>
      <c r="M21" s="576"/>
      <c r="N21" s="577"/>
      <c r="O21" s="578"/>
      <c r="P21" s="21"/>
      <c r="Q21" s="579"/>
      <c r="R21" s="580"/>
      <c r="S21" s="393"/>
    </row>
    <row r="22" spans="1:20" x14ac:dyDescent="0.2">
      <c r="A22" s="5"/>
      <c r="C22" s="13"/>
      <c r="D22" s="13"/>
      <c r="E22" s="13"/>
      <c r="F22" s="14"/>
      <c r="G22" s="381"/>
      <c r="H22" s="14"/>
      <c r="I22" s="13"/>
      <c r="J22" s="14"/>
      <c r="K22" s="381"/>
      <c r="M22" s="576"/>
      <c r="N22" s="581"/>
      <c r="O22" s="582"/>
      <c r="P22" s="21"/>
      <c r="Q22" s="574"/>
      <c r="R22" s="21"/>
      <c r="S22" s="393"/>
    </row>
    <row r="23" spans="1:20" x14ac:dyDescent="0.2">
      <c r="A23" s="5">
        <v>8</v>
      </c>
      <c r="B23" s="1" t="s">
        <v>119</v>
      </c>
      <c r="C23" s="13">
        <f>SUM(C19:C22)</f>
        <v>43185067.987175584</v>
      </c>
      <c r="D23" s="13">
        <f t="shared" ref="D23:J23" si="3">SUM(D18:D21)</f>
        <v>5078170.4348225156</v>
      </c>
      <c r="E23" s="13">
        <f>SUM(E18:E21)</f>
        <v>48263238.421998098</v>
      </c>
      <c r="F23" s="14">
        <f>SUM(F18:F21)</f>
        <v>6560.4945851024304</v>
      </c>
      <c r="G23" s="381">
        <f>SUM(G18:G21)</f>
        <v>48269798.916583195</v>
      </c>
      <c r="H23" s="14">
        <f t="shared" si="3"/>
        <v>459931.69999999984</v>
      </c>
      <c r="I23" s="13">
        <f t="shared" si="3"/>
        <v>48729730.616583198</v>
      </c>
      <c r="J23" s="14">
        <f t="shared" si="3"/>
        <v>3303.5402936223891</v>
      </c>
      <c r="K23" s="381">
        <f>I23+J23</f>
        <v>48733034.156876817</v>
      </c>
      <c r="M23" s="576"/>
      <c r="N23" s="577"/>
      <c r="O23" s="578"/>
      <c r="P23" s="21"/>
      <c r="Q23" s="21"/>
      <c r="R23" s="578"/>
      <c r="S23" s="77"/>
    </row>
    <row r="24" spans="1:20" x14ac:dyDescent="0.2">
      <c r="A24" s="5"/>
      <c r="B24" s="2"/>
      <c r="C24" s="13"/>
      <c r="D24" s="13"/>
      <c r="E24" s="13"/>
      <c r="F24" s="14"/>
      <c r="G24" s="381"/>
      <c r="H24" s="14"/>
      <c r="I24" s="13"/>
      <c r="J24" s="14"/>
      <c r="K24" s="381"/>
      <c r="M24" s="576"/>
      <c r="N24" s="577"/>
      <c r="O24" s="578"/>
      <c r="P24" s="21"/>
      <c r="Q24" s="21"/>
      <c r="R24" s="578"/>
      <c r="S24" s="77"/>
    </row>
    <row r="25" spans="1:20" x14ac:dyDescent="0.2">
      <c r="A25" s="5"/>
      <c r="C25" s="13"/>
      <c r="D25" s="13"/>
      <c r="E25" s="13"/>
      <c r="F25" s="14"/>
      <c r="G25" s="381"/>
      <c r="H25" s="14"/>
      <c r="I25" s="13"/>
      <c r="J25" s="14"/>
      <c r="K25" s="381"/>
      <c r="M25" s="576"/>
      <c r="N25" s="577"/>
      <c r="O25" s="578"/>
      <c r="P25" s="21"/>
      <c r="Q25" s="21"/>
      <c r="R25" s="578"/>
      <c r="S25" s="77"/>
    </row>
    <row r="26" spans="1:20" x14ac:dyDescent="0.2">
      <c r="A26" s="5">
        <v>9</v>
      </c>
      <c r="B26" s="1" t="s">
        <v>124</v>
      </c>
      <c r="C26" s="13">
        <f>+'KTW-3 p5 - Taxes'!C27</f>
        <v>1405065.9371478483</v>
      </c>
      <c r="D26" s="13">
        <f>'KTW-4,5,8 p1 - Adjust Issues'!Z27</f>
        <v>-155881</v>
      </c>
      <c r="E26" s="13">
        <f>C26+D26</f>
        <v>1249184.9371478483</v>
      </c>
      <c r="F26" s="14">
        <f>(D57-F20-F28)*'KTW-3 p8 - Cost of Cap'!$C$43</f>
        <v>1259110.3706085442</v>
      </c>
      <c r="G26" s="381">
        <f>F26+E26</f>
        <v>2508295.3077563923</v>
      </c>
      <c r="H26" s="14">
        <f>'KTW-4,5,8 p1 - Adjust Issues'!AB27</f>
        <v>-371753</v>
      </c>
      <c r="I26" s="13">
        <f>G26+H26</f>
        <v>2136542.3077563923</v>
      </c>
      <c r="J26" s="14">
        <f>(E57-J20-J28)*'KTW-3 p8 - Cost of Cap'!$C$43</f>
        <v>634025.64996678557</v>
      </c>
      <c r="K26" s="381">
        <f t="shared" ref="K26:K29" si="4">I26+J26</f>
        <v>2770567.957723178</v>
      </c>
      <c r="M26" s="583"/>
      <c r="N26" s="577"/>
      <c r="O26" s="578"/>
      <c r="P26" s="21"/>
      <c r="Q26" s="21"/>
      <c r="R26" s="578"/>
      <c r="S26" s="77"/>
    </row>
    <row r="27" spans="1:20" x14ac:dyDescent="0.2">
      <c r="A27" s="5">
        <v>10</v>
      </c>
      <c r="B27" s="1" t="s">
        <v>125</v>
      </c>
      <c r="C27" s="13">
        <f>+'WP - Other Rev &amp; Tax'!E22</f>
        <v>1671587.02</v>
      </c>
      <c r="D27" s="13">
        <f>'KTW-4,5,8 p1 - Adjust Issues'!Z28</f>
        <v>-50455.099999999067</v>
      </c>
      <c r="E27" s="13">
        <f>C27+D27</f>
        <v>1621131.9200000009</v>
      </c>
      <c r="F27" s="14">
        <v>0</v>
      </c>
      <c r="G27" s="381">
        <f>F27+E27</f>
        <v>1621131.9200000009</v>
      </c>
      <c r="H27" s="14">
        <f>'KTW-4,5,8 p1 - Adjust Issues'!AB28</f>
        <v>0</v>
      </c>
      <c r="I27" s="13">
        <f>G27+H27</f>
        <v>1621131.9200000009</v>
      </c>
      <c r="J27" s="14">
        <v>0</v>
      </c>
      <c r="K27" s="381">
        <f t="shared" si="4"/>
        <v>1621131.9200000009</v>
      </c>
      <c r="M27" s="21"/>
      <c r="N27" s="21"/>
      <c r="O27" s="21"/>
      <c r="P27" s="21"/>
      <c r="Q27" s="21"/>
      <c r="R27" s="578"/>
      <c r="S27" s="77"/>
    </row>
    <row r="28" spans="1:20" x14ac:dyDescent="0.2">
      <c r="A28" s="5">
        <v>11</v>
      </c>
      <c r="B28" s="1" t="s">
        <v>129</v>
      </c>
      <c r="C28" s="13">
        <f>+'WP - Other Rev &amp; Tax'!E29-C27</f>
        <v>3814799.1242389199</v>
      </c>
      <c r="D28" s="13">
        <f>'KTW-4,5,8 p1 - Adjust Issues'!Z29</f>
        <v>303465.71493951831</v>
      </c>
      <c r="E28" s="13">
        <f>C28+D28</f>
        <v>4118264.8391784383</v>
      </c>
      <c r="F28" s="14">
        <f>D57*(+'KTW-3 p8 - Cost of Cap'!$C$26+'KTW-3 p8 - Cost of Cap'!$C$27)</f>
        <v>253485.40368881245</v>
      </c>
      <c r="G28" s="381">
        <f>F28+E28</f>
        <v>4371750.2428672509</v>
      </c>
      <c r="H28" s="14">
        <f>'KTW-4,5,8 p1 - Adjust Issues'!AB29</f>
        <v>0</v>
      </c>
      <c r="I28" s="13">
        <f>G28+H28</f>
        <v>4371750.2428672509</v>
      </c>
      <c r="J28" s="14">
        <f>E57*(+'KTW-3 p8 - Cost of Cap'!$C$26+'KTW-3 p8 - Cost of Cap'!$C$27)</f>
        <v>127642.70041967496</v>
      </c>
      <c r="K28" s="381">
        <f t="shared" si="4"/>
        <v>4499392.9432869256</v>
      </c>
      <c r="M28" s="21"/>
      <c r="N28" s="584"/>
      <c r="O28" s="21"/>
      <c r="P28" s="21"/>
      <c r="Q28" s="21"/>
      <c r="R28" s="578"/>
      <c r="S28" s="77"/>
    </row>
    <row r="29" spans="1:20" x14ac:dyDescent="0.2">
      <c r="A29" s="5">
        <v>12</v>
      </c>
      <c r="B29" s="1" t="s">
        <v>130</v>
      </c>
      <c r="C29" s="15">
        <f>+'WP - Other Rev &amp; Tax'!E41</f>
        <v>10935860.024140656</v>
      </c>
      <c r="D29" s="15">
        <f>'KTW-4,5,8 p1 - Adjust Issues'!Z30</f>
        <v>1535700.9412241259</v>
      </c>
      <c r="E29" s="15">
        <f>C29+D29</f>
        <v>12471560.965364782</v>
      </c>
      <c r="F29" s="16">
        <v>0</v>
      </c>
      <c r="G29" s="382">
        <f>F29+E29</f>
        <v>12471560.965364782</v>
      </c>
      <c r="H29" s="16">
        <f>'KTW-4,5,8 p1 - Adjust Issues'!AB30</f>
        <v>816145.51874545321</v>
      </c>
      <c r="I29" s="15">
        <f>G29+H29</f>
        <v>13287706.484110236</v>
      </c>
      <c r="J29" s="16">
        <v>0</v>
      </c>
      <c r="K29" s="382">
        <f t="shared" si="4"/>
        <v>13287706.484110236</v>
      </c>
      <c r="M29" s="21"/>
      <c r="N29" s="46"/>
      <c r="O29" s="21"/>
      <c r="P29" s="21"/>
      <c r="Q29" s="21"/>
      <c r="R29" s="578"/>
      <c r="S29" s="77"/>
    </row>
    <row r="30" spans="1:20" x14ac:dyDescent="0.2">
      <c r="A30" s="5"/>
      <c r="C30" s="13"/>
      <c r="D30" s="13"/>
      <c r="E30" s="13"/>
      <c r="F30" s="14"/>
      <c r="G30" s="381"/>
      <c r="H30" s="14"/>
      <c r="I30" s="13"/>
      <c r="J30" s="14"/>
      <c r="K30" s="381"/>
      <c r="M30" s="606"/>
      <c r="N30" s="606"/>
      <c r="O30" s="606"/>
      <c r="P30" s="21"/>
      <c r="Q30" s="21"/>
      <c r="R30" s="578"/>
      <c r="S30" s="77"/>
    </row>
    <row r="31" spans="1:20" x14ac:dyDescent="0.2">
      <c r="A31" s="5">
        <v>13</v>
      </c>
      <c r="B31" s="1" t="s">
        <v>133</v>
      </c>
      <c r="C31" s="15">
        <f>SUM(C23:C30)</f>
        <v>61012380.092703015</v>
      </c>
      <c r="D31" s="15">
        <f t="shared" ref="D31:J31" si="5">SUM(D23:D30)</f>
        <v>6711000.9909861609</v>
      </c>
      <c r="E31" s="15">
        <f>SUM(E23:E30)</f>
        <v>67723381.083689168</v>
      </c>
      <c r="F31" s="16">
        <f t="shared" si="5"/>
        <v>1519156.268882459</v>
      </c>
      <c r="G31" s="382">
        <f>SUM(G23:G30)</f>
        <v>69242537.352571622</v>
      </c>
      <c r="H31" s="16">
        <f t="shared" si="5"/>
        <v>904324.21874545305</v>
      </c>
      <c r="I31" s="15">
        <f t="shared" si="5"/>
        <v>70146861.571317077</v>
      </c>
      <c r="J31" s="16">
        <f t="shared" si="5"/>
        <v>764971.89068008296</v>
      </c>
      <c r="K31" s="382">
        <f>I31+J31</f>
        <v>70911833.461997166</v>
      </c>
      <c r="M31" s="576"/>
      <c r="N31" s="585"/>
      <c r="O31" s="578"/>
      <c r="P31" s="21"/>
      <c r="Q31" s="21"/>
      <c r="R31" s="578"/>
      <c r="S31" s="77"/>
    </row>
    <row r="32" spans="1:20" x14ac:dyDescent="0.2">
      <c r="A32" s="5"/>
      <c r="G32" s="90"/>
      <c r="K32" s="90"/>
      <c r="M32" s="583"/>
      <c r="N32" s="585"/>
      <c r="O32" s="578"/>
      <c r="P32" s="21"/>
      <c r="Q32" s="21"/>
      <c r="R32" s="578"/>
      <c r="S32" s="77"/>
      <c r="T32" s="77"/>
    </row>
    <row r="33" spans="1:20" ht="15.75" thickBot="1" x14ac:dyDescent="0.25">
      <c r="A33" s="5">
        <v>14</v>
      </c>
      <c r="B33" s="1" t="s">
        <v>137</v>
      </c>
      <c r="C33" s="19">
        <f>C16-C31</f>
        <v>10863180.862838373</v>
      </c>
      <c r="D33" s="19">
        <f>D16-D31</f>
        <v>14321.043968027458</v>
      </c>
      <c r="E33" s="19">
        <f>E16-E31</f>
        <v>10877501.906806409</v>
      </c>
      <c r="F33" s="19">
        <f>F16-F31</f>
        <v>4736653.2989559527</v>
      </c>
      <c r="G33" s="383">
        <f>G16-G31</f>
        <v>15614155.205762371</v>
      </c>
      <c r="H33" s="19">
        <f t="shared" ref="H33:J33" si="6">H16-H31</f>
        <v>-904324.21874545305</v>
      </c>
      <c r="I33" s="19">
        <f t="shared" si="6"/>
        <v>14709830.987016916</v>
      </c>
      <c r="J33" s="19">
        <f t="shared" si="6"/>
        <v>2385144.1117798123</v>
      </c>
      <c r="K33" s="383">
        <f>I33+J33</f>
        <v>17094975.098796729</v>
      </c>
      <c r="M33" s="21"/>
      <c r="N33" s="21"/>
      <c r="O33" s="21"/>
      <c r="P33" s="21"/>
      <c r="Q33" s="45"/>
      <c r="R33" s="573"/>
      <c r="S33" s="77"/>
      <c r="T33" s="77"/>
    </row>
    <row r="34" spans="1:20" ht="15.75" thickTop="1" x14ac:dyDescent="0.2">
      <c r="A34" s="5"/>
      <c r="C34" s="20"/>
      <c r="D34" s="20"/>
      <c r="E34" s="20"/>
      <c r="F34" s="20"/>
      <c r="G34" s="384"/>
      <c r="H34" s="20"/>
      <c r="I34" s="20"/>
      <c r="J34" s="20"/>
      <c r="K34" s="384"/>
      <c r="M34" s="21"/>
      <c r="N34" s="21"/>
      <c r="O34" s="21"/>
      <c r="P34" s="21"/>
      <c r="Q34" s="21"/>
      <c r="R34" s="393"/>
      <c r="S34" s="77"/>
      <c r="T34" s="77"/>
    </row>
    <row r="35" spans="1:20" ht="15.75" thickBot="1" x14ac:dyDescent="0.25">
      <c r="A35" s="5">
        <v>15</v>
      </c>
      <c r="B35" s="1" t="s">
        <v>140</v>
      </c>
      <c r="C35" s="421">
        <f>'KTW-3 p6 &amp; p7 - Rate Base'!Q86</f>
        <v>194666558.94072384</v>
      </c>
      <c r="D35" s="19">
        <f>'KTW-4,5,8 p1 - Adjust Issues'!Z47</f>
        <v>31200184.056402057</v>
      </c>
      <c r="E35" s="19">
        <f>C35+D35</f>
        <v>225866742.99712589</v>
      </c>
      <c r="F35" s="19">
        <v>0</v>
      </c>
      <c r="G35" s="385">
        <f>F35+E35</f>
        <v>225866742.99712589</v>
      </c>
      <c r="H35" s="32">
        <f>'KTW-4,5,8 p1 - Adjust Issues'!AB47</f>
        <v>21420708.367492773</v>
      </c>
      <c r="I35" s="19">
        <f>G35+H35</f>
        <v>247287451.36461866</v>
      </c>
      <c r="J35" s="32">
        <v>0</v>
      </c>
      <c r="K35" s="385">
        <f>I35+J35</f>
        <v>247287451.36461866</v>
      </c>
      <c r="M35" s="21"/>
      <c r="N35" s="21"/>
      <c r="O35" s="21"/>
      <c r="P35" s="21"/>
      <c r="Q35" s="21"/>
      <c r="R35" s="393"/>
      <c r="S35" s="77"/>
      <c r="T35" s="77"/>
    </row>
    <row r="36" spans="1:20" ht="15.75" thickTop="1" x14ac:dyDescent="0.2">
      <c r="A36" s="5"/>
      <c r="C36" s="11"/>
      <c r="D36" s="11"/>
      <c r="E36" s="11"/>
      <c r="F36" s="11"/>
      <c r="G36" s="91"/>
      <c r="H36" s="11"/>
      <c r="I36" s="11"/>
      <c r="K36" s="90"/>
      <c r="M36" s="21"/>
      <c r="N36" s="21"/>
      <c r="O36" s="21"/>
      <c r="P36" s="21"/>
      <c r="Q36" s="21"/>
      <c r="R36" s="21"/>
    </row>
    <row r="37" spans="1:20" x14ac:dyDescent="0.2">
      <c r="A37" s="5"/>
      <c r="D37" s="21"/>
      <c r="G37" s="90"/>
      <c r="K37" s="90"/>
      <c r="M37" s="21"/>
      <c r="N37" s="21"/>
      <c r="O37" s="21"/>
      <c r="P37" s="21"/>
      <c r="Q37" s="21"/>
      <c r="R37" s="21"/>
    </row>
    <row r="38" spans="1:20" ht="15.75" thickBot="1" x14ac:dyDescent="0.25">
      <c r="A38" s="5">
        <v>16</v>
      </c>
      <c r="B38" s="1" t="s">
        <v>144</v>
      </c>
      <c r="C38" s="22">
        <f>ROUND(+C33/C35,5)</f>
        <v>5.5800000000000002E-2</v>
      </c>
      <c r="D38" s="21"/>
      <c r="E38" s="22">
        <f>ROUND(+E33/E35,5)</f>
        <v>4.8160000000000001E-2</v>
      </c>
      <c r="F38" s="21"/>
      <c r="G38" s="496">
        <f>'KTW-3 p8 - Cost of Cap'!$E$15</f>
        <v>6.9129999999999997E-2</v>
      </c>
      <c r="H38" s="376"/>
      <c r="I38" s="22">
        <f>ROUND(+I33/I35,5)</f>
        <v>5.9479999999999998E-2</v>
      </c>
      <c r="J38" s="23"/>
      <c r="K38" s="496">
        <f>'KTW-3 p8 - Cost of Cap'!$E$15</f>
        <v>6.9129999999999997E-2</v>
      </c>
      <c r="L38" s="9"/>
      <c r="M38" s="21"/>
      <c r="N38" s="21"/>
      <c r="O38" s="21"/>
      <c r="P38" s="21"/>
      <c r="Q38" s="21"/>
      <c r="R38" s="21"/>
    </row>
    <row r="39" spans="1:20" ht="15.75" thickTop="1" x14ac:dyDescent="0.2">
      <c r="A39" s="5"/>
      <c r="C39" s="23"/>
      <c r="D39" s="21"/>
      <c r="E39" s="23"/>
      <c r="F39" s="21"/>
      <c r="G39" s="386"/>
      <c r="H39" s="23"/>
      <c r="I39" s="23"/>
      <c r="K39" s="386"/>
      <c r="M39" s="21"/>
      <c r="N39" s="21"/>
      <c r="O39" s="21"/>
      <c r="P39" s="21"/>
      <c r="Q39" s="21"/>
      <c r="R39" s="21"/>
    </row>
    <row r="40" spans="1:20" ht="15.75" thickBot="1" x14ac:dyDescent="0.25">
      <c r="A40" s="5">
        <v>17</v>
      </c>
      <c r="B40" s="1" t="s">
        <v>147</v>
      </c>
      <c r="C40" s="22">
        <f>((+C38-'KTW-3 p8 - Cost of Cap'!$E$11-'KTW-3 p8 - Cost of Cap'!$E$12)/'KTW-3 p8 - Cost of Cap'!$C$13)</f>
        <v>6.6795918367346954E-2</v>
      </c>
      <c r="D40" s="21"/>
      <c r="E40" s="22">
        <f>((+E38-'KTW-3 p8 - Cost of Cap'!$E$11-'KTW-3 p8 - Cost of Cap'!$E$12)/'KTW-3 p8 - Cost of Cap'!$C$13)</f>
        <v>5.1204081632653067E-2</v>
      </c>
      <c r="F40" s="21"/>
      <c r="G40" s="387">
        <f>((+G38-'KTW-3 p8 - Cost of Cap'!$E$11-'KTW-3 p8 - Cost of Cap'!$E$12)/'KTW-3 p8 - Cost of Cap'!$C$13)</f>
        <v>9.4000000000000014E-2</v>
      </c>
      <c r="H40" s="376"/>
      <c r="I40" s="22">
        <f>((+I38-'KTW-3 p8 - Cost of Cap'!$E$11-'KTW-3 p8 - Cost of Cap'!$E$12)/'KTW-3 p8 - Cost of Cap'!$C$13)</f>
        <v>7.4306122448979592E-2</v>
      </c>
      <c r="K40" s="387">
        <f>((+K38-'KTW-3 p8 - Cost of Cap'!$E$11-'KTW-3 p8 - Cost of Cap'!$E$12)/'KTW-3 p8 - Cost of Cap'!$C$13)</f>
        <v>9.4000000000000014E-2</v>
      </c>
      <c r="M40" s="21"/>
      <c r="N40" s="21"/>
      <c r="O40" s="21"/>
      <c r="P40" s="21"/>
      <c r="Q40" s="21"/>
      <c r="R40" s="21"/>
    </row>
    <row r="41" spans="1:20" ht="15.75" thickTop="1" x14ac:dyDescent="0.2">
      <c r="F41" s="21"/>
      <c r="M41" s="21"/>
      <c r="N41" s="21"/>
      <c r="O41" s="21"/>
      <c r="P41" s="21"/>
      <c r="Q41" s="21"/>
      <c r="R41" s="21"/>
    </row>
    <row r="42" spans="1:20" x14ac:dyDescent="0.2">
      <c r="M42" s="21"/>
      <c r="N42" s="21"/>
      <c r="O42" s="21"/>
      <c r="P42" s="21"/>
      <c r="Q42" s="21"/>
      <c r="R42" s="21"/>
    </row>
    <row r="43" spans="1:20" x14ac:dyDescent="0.2">
      <c r="E43" s="12"/>
      <c r="F43" s="12"/>
      <c r="M43" s="21"/>
      <c r="N43" s="21"/>
      <c r="O43" s="21"/>
      <c r="P43" s="21"/>
      <c r="Q43" s="21"/>
      <c r="R43" s="21"/>
    </row>
    <row r="44" spans="1:20" x14ac:dyDescent="0.2">
      <c r="M44" s="21"/>
      <c r="N44" s="21"/>
      <c r="O44" s="21"/>
      <c r="P44" s="21"/>
      <c r="Q44" s="21"/>
      <c r="R44" s="21"/>
    </row>
    <row r="45" spans="1:20" x14ac:dyDescent="0.2">
      <c r="B45" s="1" t="s">
        <v>153</v>
      </c>
    </row>
    <row r="46" spans="1:20" x14ac:dyDescent="0.2">
      <c r="A46" s="5">
        <v>1</v>
      </c>
      <c r="B46" s="1" t="s">
        <v>158</v>
      </c>
      <c r="C46" s="21"/>
      <c r="D46" s="8">
        <f>ROUND(G33+G26,0)</f>
        <v>18122451</v>
      </c>
    </row>
    <row r="47" spans="1:20" x14ac:dyDescent="0.2">
      <c r="A47" s="5">
        <v>2</v>
      </c>
      <c r="B47" s="1" t="s">
        <v>160</v>
      </c>
      <c r="C47" s="21"/>
      <c r="D47" s="8">
        <f>ROUND(G35*'KTW-3 p8 - Cost of Cap'!C41,0)</f>
        <v>5210746</v>
      </c>
    </row>
    <row r="48" spans="1:20" x14ac:dyDescent="0.2">
      <c r="A48" s="5">
        <v>3</v>
      </c>
      <c r="B48" s="1" t="s">
        <v>162</v>
      </c>
      <c r="C48" s="21"/>
      <c r="D48" s="24">
        <f>ROUND('KTW-3 p5 - Taxes'!C17,0)</f>
        <v>866936</v>
      </c>
    </row>
    <row r="49" spans="1:10" x14ac:dyDescent="0.2">
      <c r="A49" s="5">
        <v>4</v>
      </c>
      <c r="B49" s="3" t="s">
        <v>469</v>
      </c>
      <c r="C49" s="21"/>
      <c r="D49" s="8">
        <f>D46-D47+D48</f>
        <v>13778641</v>
      </c>
    </row>
    <row r="50" spans="1:10" x14ac:dyDescent="0.2">
      <c r="A50" s="5">
        <v>5</v>
      </c>
      <c r="B50" s="3" t="s">
        <v>592</v>
      </c>
      <c r="C50" s="21"/>
      <c r="D50" s="8">
        <f>ROUND(D49*0.21+'KTW-3 p5 - Taxes'!C25+'KTW-3 p5 - Taxes'!M33,0)</f>
        <v>2508293</v>
      </c>
      <c r="J50" s="25"/>
    </row>
    <row r="51" spans="1:10" x14ac:dyDescent="0.2">
      <c r="A51" s="5">
        <v>6</v>
      </c>
      <c r="B51" s="1" t="s">
        <v>804</v>
      </c>
      <c r="C51" s="21"/>
      <c r="D51" s="24">
        <f>ROUND(G26,0)</f>
        <v>2508295</v>
      </c>
    </row>
    <row r="52" spans="1:10" x14ac:dyDescent="0.2">
      <c r="A52" s="5">
        <v>7</v>
      </c>
      <c r="B52" s="1" t="s">
        <v>167</v>
      </c>
      <c r="C52" s="21"/>
      <c r="D52" s="8">
        <f>D50-D51</f>
        <v>-2</v>
      </c>
      <c r="E52" s="595" t="s">
        <v>805</v>
      </c>
      <c r="J52" s="26"/>
    </row>
    <row r="53" spans="1:10" x14ac:dyDescent="0.2">
      <c r="A53" s="5"/>
    </row>
    <row r="54" spans="1:10" x14ac:dyDescent="0.2">
      <c r="A54" s="5"/>
      <c r="B54" s="1" t="s">
        <v>169</v>
      </c>
      <c r="D54" s="174" t="s">
        <v>625</v>
      </c>
      <c r="E54" s="174" t="s">
        <v>624</v>
      </c>
      <c r="G54" s="26"/>
      <c r="H54" s="26"/>
      <c r="I54" s="26"/>
    </row>
    <row r="55" spans="1:10" x14ac:dyDescent="0.2">
      <c r="A55" s="5">
        <v>1</v>
      </c>
      <c r="B55" s="1" t="s">
        <v>701</v>
      </c>
      <c r="D55" s="77">
        <f>G35*G38</f>
        <v>15614167.943391312</v>
      </c>
      <c r="E55" s="77">
        <f>K35*K38</f>
        <v>17094981.512836087</v>
      </c>
      <c r="G55" s="26"/>
      <c r="H55" s="26"/>
      <c r="I55" s="26"/>
    </row>
    <row r="56" spans="1:10" x14ac:dyDescent="0.2">
      <c r="A56" s="5">
        <v>2</v>
      </c>
      <c r="B56" s="1" t="s">
        <v>170</v>
      </c>
      <c r="D56" s="77">
        <f>D55-E33</f>
        <v>4736666.0365849026</v>
      </c>
      <c r="E56" s="77">
        <f>E55-I33</f>
        <v>2385150.5258191712</v>
      </c>
    </row>
    <row r="57" spans="1:10" x14ac:dyDescent="0.2">
      <c r="A57" s="5">
        <v>3</v>
      </c>
      <c r="B57" s="1" t="s">
        <v>171</v>
      </c>
      <c r="D57" s="77">
        <f>D56*'KTW-3 p8 - Cost of Cap'!$C$39</f>
        <v>6255809.5678384118</v>
      </c>
      <c r="E57" s="77">
        <f>E56*'KTW-3 p8 - Cost of Cap'!$C$39</f>
        <v>3150116.0024598953</v>
      </c>
    </row>
    <row r="58" spans="1:10" x14ac:dyDescent="0.2">
      <c r="A58" s="5"/>
      <c r="D58" s="77"/>
      <c r="E58" s="77"/>
    </row>
    <row r="59" spans="1:10" x14ac:dyDescent="0.2">
      <c r="A59" s="5">
        <v>4</v>
      </c>
      <c r="B59" s="1" t="s">
        <v>172</v>
      </c>
      <c r="D59" s="495">
        <f>G33/G35</f>
        <v>6.9129943605557978E-2</v>
      </c>
      <c r="E59" s="495">
        <f>K33/K35</f>
        <v>6.9129974062414723E-2</v>
      </c>
    </row>
  </sheetData>
  <customSheetViews>
    <customSheetView guid="{A7BD13BF-7E57-44D7-9B02-43E2FA430390}" showPageBreaks="1" showGridLines="0" fitToPage="1" printArea="1">
      <selection activeCell="L24" sqref="L24"/>
      <pageMargins left="0.5" right="0.5" top="0.5" bottom="0.5" header="0.25" footer="0.25"/>
      <printOptions horizontalCentered="1"/>
      <pageSetup scale="91" orientation="landscape" r:id="rId1"/>
      <headerFooter alignWithMargins="0"/>
    </customSheetView>
    <customSheetView guid="{C29552AC-6B79-447F-B962-713ED43BDF1A}" showPageBreaks="1" fitToPage="1" printArea="1">
      <selection activeCell="H45" sqref="H45"/>
      <pageMargins left="0.5" right="0.5" top="0.5" bottom="0.5" header="0.25" footer="0.25"/>
      <printOptions horizontalCentered="1"/>
      <pageSetup scale="91" orientation="landscape" r:id="rId2"/>
      <headerFooter alignWithMargins="0"/>
    </customSheetView>
    <customSheetView guid="{6ED201AA-AB2E-4FE7-B06B-B07932512C4D}" showPageBreaks="1" fitToPage="1" printArea="1">
      <selection activeCell="M28" sqref="M28"/>
      <pageMargins left="0.5" right="0.5" top="0.5" bottom="0.5" header="0.25" footer="0.25"/>
      <printOptions horizontalCentered="1"/>
      <pageSetup scale="91" orientation="landscape" r:id="rId3"/>
      <headerFooter alignWithMargins="0"/>
    </customSheetView>
    <customSheetView guid="{D711E10B-9441-4991-A2CB-ED400E35790D}" showGridLines="0" fitToPage="1">
      <selection activeCell="C28" sqref="C28"/>
      <pageMargins left="0.5" right="0.5" top="0.5" bottom="0.5" header="0.25" footer="0.25"/>
      <printOptions horizontalCentered="1"/>
      <pageSetup scale="91" orientation="landscape" r:id="rId4"/>
      <headerFooter alignWithMargins="0"/>
    </customSheetView>
  </customSheetViews>
  <mergeCells count="4">
    <mergeCell ref="C5:K5"/>
    <mergeCell ref="M19:O19"/>
    <mergeCell ref="M30:O30"/>
    <mergeCell ref="Q19:R19"/>
  </mergeCells>
  <phoneticPr fontId="0" type="noConversion"/>
  <conditionalFormatting sqref="F3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J3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5" right="0.5" top="0.5" bottom="0.5" header="0.25" footer="0.25"/>
  <pageSetup scale="91" orientation="landscape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tabColor theme="4" tint="0.59999389629810485"/>
    <pageSetUpPr fitToPage="1"/>
  </sheetPr>
  <dimension ref="A1:L38"/>
  <sheetViews>
    <sheetView zoomScale="9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37" sqref="E37"/>
    </sheetView>
  </sheetViews>
  <sheetFormatPr defaultColWidth="8.85546875" defaultRowHeight="15" outlineLevelCol="1" x14ac:dyDescent="0.2"/>
  <cols>
    <col min="1" max="1" width="5.7109375" style="37" customWidth="1"/>
    <col min="2" max="2" width="43.7109375" style="37" customWidth="1"/>
    <col min="3" max="5" width="17.5703125" style="37" customWidth="1" outlineLevel="1"/>
    <col min="6" max="6" width="6.7109375" style="37" customWidth="1"/>
    <col min="7" max="9" width="17.5703125" style="37" customWidth="1"/>
    <col min="10" max="10" width="4.7109375" style="38" customWidth="1"/>
    <col min="11" max="11" width="17.7109375" style="38" customWidth="1"/>
    <col min="12" max="12" width="11.42578125" style="38" customWidth="1"/>
    <col min="13" max="13" width="52.7109375" style="38" bestFit="1" customWidth="1"/>
    <col min="14" max="14" width="8.85546875" style="38"/>
    <col min="15" max="15" width="12.5703125" style="38" customWidth="1"/>
    <col min="16" max="17" width="8.85546875" style="38"/>
    <col min="18" max="20" width="11.5703125" style="38" customWidth="1"/>
    <col min="21" max="16384" width="8.85546875" style="38"/>
  </cols>
  <sheetData>
    <row r="1" spans="1:11" s="101" customFormat="1" ht="12" customHeight="1" x14ac:dyDescent="0.2">
      <c r="A1" s="99" t="s">
        <v>0</v>
      </c>
      <c r="B1" s="36"/>
      <c r="C1" s="36"/>
      <c r="D1" s="36"/>
      <c r="E1" s="36"/>
      <c r="F1" s="36"/>
      <c r="G1" s="100"/>
      <c r="H1" s="100"/>
      <c r="I1" s="499" t="s">
        <v>750</v>
      </c>
      <c r="K1" s="102" t="str">
        <f>CONCATENATE("Worksheet ",'KTW-4,5,8 p1 - Adjust Issues'!C10)</f>
        <v>Worksheet (a)</v>
      </c>
    </row>
    <row r="2" spans="1:11" s="101" customFormat="1" x14ac:dyDescent="0.2">
      <c r="A2" s="103" t="str">
        <f>+'KTW-4,5,8 p1 - Adjust Issues'!A3</f>
        <v>Test Year Based on Twelve Months Ended September 30, 2020</v>
      </c>
      <c r="B2" s="36"/>
      <c r="C2" s="36"/>
      <c r="D2" s="36"/>
      <c r="E2" s="36"/>
      <c r="F2" s="36"/>
      <c r="G2" s="100"/>
      <c r="H2" s="100"/>
      <c r="I2" s="499" t="s">
        <v>770</v>
      </c>
    </row>
    <row r="3" spans="1:11" s="101" customFormat="1" x14ac:dyDescent="0.2">
      <c r="A3" s="99" t="s">
        <v>254</v>
      </c>
      <c r="B3" s="36"/>
      <c r="C3" s="36"/>
      <c r="D3" s="36"/>
      <c r="E3" s="36"/>
      <c r="F3" s="36"/>
      <c r="G3" s="100"/>
      <c r="H3" s="100"/>
      <c r="I3" s="100"/>
    </row>
    <row r="4" spans="1:11" s="101" customFormat="1" x14ac:dyDescent="0.2">
      <c r="A4" s="99"/>
      <c r="B4" s="36"/>
      <c r="C4" s="36"/>
      <c r="D4" s="36"/>
      <c r="E4" s="36"/>
      <c r="F4" s="36"/>
      <c r="G4" s="100"/>
      <c r="H4" s="100"/>
      <c r="I4" s="100"/>
    </row>
    <row r="5" spans="1:11" s="101" customFormat="1" x14ac:dyDescent="0.2">
      <c r="A5" s="104"/>
      <c r="B5" s="36"/>
      <c r="C5" s="608" t="s">
        <v>63</v>
      </c>
      <c r="D5" s="608"/>
      <c r="E5" s="608"/>
      <c r="F5" s="36"/>
      <c r="G5" s="608" t="s">
        <v>47</v>
      </c>
      <c r="H5" s="608"/>
      <c r="I5" s="608"/>
    </row>
    <row r="6" spans="1:11" s="101" customFormat="1" x14ac:dyDescent="0.2">
      <c r="A6" s="100"/>
      <c r="B6" s="100"/>
      <c r="C6" s="39" t="s">
        <v>438</v>
      </c>
      <c r="D6" s="105" t="s">
        <v>530</v>
      </c>
      <c r="E6" s="39" t="s">
        <v>61</v>
      </c>
      <c r="F6" s="100"/>
      <c r="G6" s="39" t="s">
        <v>438</v>
      </c>
      <c r="H6" s="105" t="s">
        <v>530</v>
      </c>
      <c r="I6" s="39" t="s">
        <v>61</v>
      </c>
    </row>
    <row r="7" spans="1:11" s="101" customFormat="1" x14ac:dyDescent="0.2">
      <c r="A7" s="106" t="s">
        <v>61</v>
      </c>
      <c r="B7" s="107"/>
      <c r="C7" s="108" t="s">
        <v>439</v>
      </c>
      <c r="D7" s="109" t="s">
        <v>529</v>
      </c>
      <c r="E7" s="110" t="s">
        <v>440</v>
      </c>
      <c r="F7" s="100"/>
      <c r="G7" s="108" t="s">
        <v>439</v>
      </c>
      <c r="H7" s="109" t="s">
        <v>529</v>
      </c>
      <c r="I7" s="439" t="s">
        <v>440</v>
      </c>
      <c r="K7" s="434" t="s">
        <v>26</v>
      </c>
    </row>
    <row r="8" spans="1:11" s="99" customFormat="1" x14ac:dyDescent="0.2">
      <c r="A8" s="38"/>
      <c r="B8" s="100"/>
      <c r="C8" s="111" t="s">
        <v>55</v>
      </c>
      <c r="D8" s="111" t="s">
        <v>56</v>
      </c>
      <c r="E8" s="111" t="s">
        <v>57</v>
      </c>
      <c r="F8" s="100"/>
      <c r="G8" s="111" t="s">
        <v>58</v>
      </c>
      <c r="H8" s="111" t="s">
        <v>59</v>
      </c>
      <c r="I8" s="111" t="s">
        <v>65</v>
      </c>
      <c r="K8" s="111" t="s">
        <v>66</v>
      </c>
    </row>
    <row r="9" spans="1:11" x14ac:dyDescent="0.2">
      <c r="A9" s="38"/>
      <c r="B9" s="112" t="s">
        <v>441</v>
      </c>
      <c r="C9" s="113"/>
      <c r="D9" s="113"/>
      <c r="E9" s="113"/>
      <c r="F9" s="113"/>
      <c r="G9" s="111"/>
      <c r="H9" s="111"/>
      <c r="I9" s="111"/>
    </row>
    <row r="10" spans="1:11" x14ac:dyDescent="0.2">
      <c r="A10" s="114">
        <v>1</v>
      </c>
      <c r="B10" s="104" t="s">
        <v>80</v>
      </c>
      <c r="C10" s="115">
        <f>'[1]WA ROO Volumes'!$R$9</f>
        <v>53611257</v>
      </c>
      <c r="D10" s="118">
        <f>E10/C10</f>
        <v>0.94423629406786691</v>
      </c>
      <c r="E10" s="117">
        <f>'[1]WA ROO Revenues'!$S$9</f>
        <v>50621694.629999988</v>
      </c>
      <c r="F10" s="104"/>
      <c r="G10" s="44">
        <f>'[7]Output to Rev Req'!D13</f>
        <v>55168219.985745445</v>
      </c>
      <c r="H10" s="118">
        <f>I10/G10</f>
        <v>0.96598891056453706</v>
      </c>
      <c r="I10" s="119">
        <f>'[7]Output to Rev Req'!F13</f>
        <v>53291888.72181496</v>
      </c>
    </row>
    <row r="11" spans="1:11" x14ac:dyDescent="0.2">
      <c r="A11" s="114">
        <f>+A10+1</f>
        <v>2</v>
      </c>
      <c r="B11" s="104" t="s">
        <v>319</v>
      </c>
      <c r="C11" s="115">
        <f>'[1]WA ROO Volumes'!$R$10</f>
        <v>22613504</v>
      </c>
      <c r="D11" s="118">
        <f t="shared" ref="D11:D13" si="0">E11/C11</f>
        <v>0.83617421254132041</v>
      </c>
      <c r="E11" s="117">
        <f>'[1]WA ROO Revenues'!$S$10</f>
        <v>18908828.899999999</v>
      </c>
      <c r="F11" s="104"/>
      <c r="G11" s="44">
        <f>'[7]Output to Rev Req'!D14</f>
        <v>22843758.015181348</v>
      </c>
      <c r="H11" s="118">
        <f t="shared" ref="H11:H13" si="1">I11/G11</f>
        <v>0.86908298612664081</v>
      </c>
      <c r="I11" s="119">
        <f>'[7]Output to Rev Req'!F14</f>
        <v>19853121.43018819</v>
      </c>
    </row>
    <row r="12" spans="1:11" x14ac:dyDescent="0.2">
      <c r="A12" s="114">
        <f>+A11+1</f>
        <v>3</v>
      </c>
      <c r="B12" s="104" t="s">
        <v>320</v>
      </c>
      <c r="C12" s="115">
        <f>'[1]WA ROO Volumes'!$R$11</f>
        <v>3040033</v>
      </c>
      <c r="D12" s="118">
        <f t="shared" si="0"/>
        <v>0.61963651710359724</v>
      </c>
      <c r="E12" s="117">
        <f>'[1]WA ROO Revenues'!$S$11</f>
        <v>1883715.4600000002</v>
      </c>
      <c r="F12" s="104"/>
      <c r="G12" s="44">
        <f>'[7]Output to Rev Req'!D15</f>
        <v>3138417.6</v>
      </c>
      <c r="H12" s="118">
        <f t="shared" si="1"/>
        <v>0.68291370302591092</v>
      </c>
      <c r="I12" s="119">
        <f>'[7]Output to Rev Req'!F15</f>
        <v>2143268.3848576923</v>
      </c>
    </row>
    <row r="13" spans="1:11" x14ac:dyDescent="0.2">
      <c r="A13" s="114">
        <f>+A12+1</f>
        <v>4</v>
      </c>
      <c r="B13" s="104" t="s">
        <v>94</v>
      </c>
      <c r="C13" s="120">
        <f>'[1]WA ROO Volumes'!$R$12</f>
        <v>1228480</v>
      </c>
      <c r="D13" s="118">
        <f t="shared" si="0"/>
        <v>0.44951996776504299</v>
      </c>
      <c r="E13" s="121">
        <f>'[1]WA ROO Revenues'!$S$12</f>
        <v>552226.29</v>
      </c>
      <c r="F13" s="104"/>
      <c r="G13" s="122">
        <f>'[7]Output to Rev Req'!D16</f>
        <v>1260153</v>
      </c>
      <c r="H13" s="118">
        <f t="shared" si="1"/>
        <v>0.47808452344721769</v>
      </c>
      <c r="I13" s="123">
        <f>'[7]Output to Rev Req'!F16</f>
        <v>602459.64647558169</v>
      </c>
    </row>
    <row r="14" spans="1:11" x14ac:dyDescent="0.2">
      <c r="A14" s="38"/>
      <c r="B14" s="124"/>
      <c r="C14" s="115"/>
      <c r="D14" s="125"/>
      <c r="E14" s="117"/>
      <c r="F14" s="124"/>
      <c r="G14" s="44"/>
      <c r="H14" s="126"/>
      <c r="I14" s="119"/>
    </row>
    <row r="15" spans="1:11" x14ac:dyDescent="0.2">
      <c r="A15" s="114">
        <f>+A13+1</f>
        <v>5</v>
      </c>
      <c r="B15" s="127" t="s">
        <v>442</v>
      </c>
      <c r="C15" s="128">
        <f>SUM(C10:C13)</f>
        <v>80493274</v>
      </c>
      <c r="D15" s="116"/>
      <c r="E15" s="129">
        <f>SUM(E10:E13)</f>
        <v>71966465.279999986</v>
      </c>
      <c r="F15" s="127"/>
      <c r="G15" s="43">
        <f>SUM(G10:G14)</f>
        <v>82410548.600926787</v>
      </c>
      <c r="H15" s="118"/>
      <c r="I15" s="130">
        <f>SUM(I10:I14)</f>
        <v>75890738.183336437</v>
      </c>
      <c r="K15" s="130">
        <f>I15-E15</f>
        <v>3924272.9033364505</v>
      </c>
    </row>
    <row r="16" spans="1:11" x14ac:dyDescent="0.2">
      <c r="A16" s="38"/>
      <c r="B16" s="131"/>
      <c r="C16" s="43"/>
      <c r="D16" s="132"/>
      <c r="E16" s="133"/>
      <c r="F16" s="131"/>
      <c r="G16" s="43"/>
      <c r="H16" s="132"/>
      <c r="I16" s="133"/>
      <c r="K16" s="130"/>
    </row>
    <row r="17" spans="1:12" x14ac:dyDescent="0.2">
      <c r="A17" s="114">
        <f>+A15+1</f>
        <v>6</v>
      </c>
      <c r="B17" s="134" t="s">
        <v>308</v>
      </c>
      <c r="C17" s="440">
        <f>'[1]Unbilled Rev(JE60)'!$F$61</f>
        <v>-514487.52720094961</v>
      </c>
      <c r="D17" s="38"/>
      <c r="E17" s="441">
        <f>'[1]WA ROO Revenues'!$S$14</f>
        <v>-287724.9204745997</v>
      </c>
      <c r="F17" s="131"/>
      <c r="G17" s="43"/>
      <c r="H17" s="132"/>
      <c r="I17" s="133"/>
      <c r="K17" s="130">
        <f>I17-E17</f>
        <v>287724.9204745997</v>
      </c>
    </row>
    <row r="18" spans="1:12" x14ac:dyDescent="0.2">
      <c r="A18" s="114">
        <f>+A17+1</f>
        <v>7</v>
      </c>
      <c r="B18" s="134" t="s">
        <v>117</v>
      </c>
      <c r="C18" s="135"/>
      <c r="D18" s="38"/>
      <c r="E18" s="435"/>
      <c r="F18" s="135"/>
      <c r="G18" s="43"/>
      <c r="H18" s="132"/>
      <c r="I18" s="133"/>
    </row>
    <row r="19" spans="1:12" x14ac:dyDescent="0.2">
      <c r="A19" s="38"/>
      <c r="B19" s="131"/>
      <c r="C19" s="43"/>
      <c r="D19" s="132"/>
      <c r="E19" s="133"/>
      <c r="F19" s="131"/>
      <c r="G19" s="43"/>
      <c r="H19" s="132"/>
      <c r="I19" s="133"/>
    </row>
    <row r="20" spans="1:12" x14ac:dyDescent="0.2">
      <c r="A20" s="38"/>
      <c r="B20" s="136" t="s">
        <v>443</v>
      </c>
      <c r="C20" s="36"/>
      <c r="D20" s="36"/>
      <c r="E20" s="137"/>
      <c r="F20" s="138"/>
      <c r="G20" s="36"/>
      <c r="H20" s="36"/>
      <c r="I20" s="137"/>
    </row>
    <row r="21" spans="1:12" x14ac:dyDescent="0.2">
      <c r="A21" s="114">
        <f>+A18+1</f>
        <v>8</v>
      </c>
      <c r="B21" s="104" t="s">
        <v>444</v>
      </c>
      <c r="C21" s="44">
        <f>'[1]WA ROO Volumes'!$R$15-C23</f>
        <v>9451637</v>
      </c>
      <c r="D21" s="116"/>
      <c r="E21" s="462">
        <f>'[1]WA ROO Revenues'!$S$18-E23</f>
        <v>1298713.1200000006</v>
      </c>
      <c r="F21" s="104"/>
      <c r="G21" s="44">
        <f>'[7]Output to Rev Req'!D24</f>
        <v>9693126</v>
      </c>
      <c r="H21" s="118">
        <f>I21/G21</f>
        <v>0.14177488289433149</v>
      </c>
      <c r="I21" s="139">
        <f>'[7]Output to Rev Req'!F24</f>
        <v>1374241.8035299999</v>
      </c>
    </row>
    <row r="22" spans="1:12" x14ac:dyDescent="0.2">
      <c r="A22" s="114">
        <f>+A21+1</f>
        <v>9</v>
      </c>
      <c r="B22" s="104" t="s">
        <v>94</v>
      </c>
      <c r="C22" s="44">
        <f>'[1]WA ROO Volumes'!$R16</f>
        <v>7636298</v>
      </c>
      <c r="D22" s="116"/>
      <c r="E22" s="139">
        <f>'[1]WA ROO Revenues'!$S$19</f>
        <v>751953.68</v>
      </c>
      <c r="F22" s="104"/>
      <c r="G22" s="44">
        <f>'[7]Output to Rev Req'!D25</f>
        <v>8033267</v>
      </c>
      <c r="H22" s="118">
        <f t="shared" ref="H22:H23" si="2">I22/G22</f>
        <v>0.10275770408228682</v>
      </c>
      <c r="I22" s="139">
        <f>'[7]Output to Rev Req'!F25</f>
        <v>825480.07319999998</v>
      </c>
    </row>
    <row r="23" spans="1:12" x14ac:dyDescent="0.2">
      <c r="A23" s="114">
        <f>+A22+1</f>
        <v>10</v>
      </c>
      <c r="B23" s="104" t="s">
        <v>445</v>
      </c>
      <c r="C23" s="44">
        <v>2865982</v>
      </c>
      <c r="D23" s="116"/>
      <c r="E23" s="139">
        <v>242182.33999999997</v>
      </c>
      <c r="F23" s="104"/>
      <c r="G23" s="122">
        <f>'[7]Output to Rev Req'!D26</f>
        <v>2895114</v>
      </c>
      <c r="H23" s="118">
        <f t="shared" si="2"/>
        <v>8.3932654144812921E-2</v>
      </c>
      <c r="I23" s="447">
        <f>'[7]Output to Rev Req'!F26</f>
        <v>242994.60207180592</v>
      </c>
    </row>
    <row r="24" spans="1:12" x14ac:dyDescent="0.2">
      <c r="A24" s="38"/>
      <c r="B24" s="100"/>
      <c r="C24" s="140"/>
      <c r="D24" s="132"/>
      <c r="E24" s="141"/>
      <c r="F24" s="100"/>
      <c r="G24" s="140"/>
      <c r="H24" s="132"/>
      <c r="I24" s="141"/>
    </row>
    <row r="25" spans="1:12" x14ac:dyDescent="0.2">
      <c r="A25" s="114">
        <f>+A23+1</f>
        <v>11</v>
      </c>
      <c r="B25" s="127" t="s">
        <v>446</v>
      </c>
      <c r="C25" s="122">
        <f>SUM(C21:C24)</f>
        <v>19953917</v>
      </c>
      <c r="D25" s="126"/>
      <c r="E25" s="123">
        <f>SUM(E21:E24)</f>
        <v>2292849.1400000006</v>
      </c>
      <c r="F25" s="127"/>
      <c r="G25" s="122">
        <f>SUM(G21:G24)</f>
        <v>20621507</v>
      </c>
      <c r="H25" s="126"/>
      <c r="I25" s="123">
        <f>SUM(I21:I24)</f>
        <v>2442716.4788018055</v>
      </c>
      <c r="K25" s="130">
        <f>I25-E25</f>
        <v>149867.33880180493</v>
      </c>
    </row>
    <row r="26" spans="1:12" x14ac:dyDescent="0.2">
      <c r="A26" s="38"/>
      <c r="B26" s="100"/>
      <c r="C26" s="44"/>
      <c r="D26" s="126"/>
      <c r="E26" s="44"/>
      <c r="F26" s="100"/>
      <c r="G26" s="44"/>
      <c r="H26" s="126"/>
      <c r="I26" s="44"/>
    </row>
    <row r="27" spans="1:12" ht="15.75" thickBot="1" x14ac:dyDescent="0.25">
      <c r="A27" s="114">
        <f>+A25+1</f>
        <v>12</v>
      </c>
      <c r="B27" s="142" t="s">
        <v>447</v>
      </c>
      <c r="C27" s="143">
        <f>C15+C25+C17+C18</f>
        <v>99932703.472799048</v>
      </c>
      <c r="D27" s="132"/>
      <c r="E27" s="144">
        <f>E15+E25+E17</f>
        <v>73971589.499525383</v>
      </c>
      <c r="F27" s="142"/>
      <c r="G27" s="143">
        <f>G15+G25</f>
        <v>103032055.60092679</v>
      </c>
      <c r="H27" s="132"/>
      <c r="I27" s="144">
        <f>I15+I25</f>
        <v>78333454.662138239</v>
      </c>
      <c r="K27" s="130">
        <f>I27-E27</f>
        <v>4361865.1626128554</v>
      </c>
      <c r="L27" s="130"/>
    </row>
    <row r="28" spans="1:12" ht="15.75" thickTop="1" x14ac:dyDescent="0.2">
      <c r="A28" s="36"/>
      <c r="B28" s="36"/>
      <c r="C28" s="36"/>
      <c r="D28" s="36"/>
      <c r="E28" s="36"/>
      <c r="F28" s="36"/>
    </row>
    <row r="29" spans="1:12" x14ac:dyDescent="0.2">
      <c r="A29" s="106" t="s">
        <v>448</v>
      </c>
      <c r="B29" s="145"/>
      <c r="C29" s="124"/>
      <c r="D29" s="124"/>
      <c r="E29" s="124"/>
      <c r="F29" s="124"/>
      <c r="G29" s="448"/>
      <c r="H29" s="118"/>
      <c r="I29" s="44"/>
      <c r="K29" s="377"/>
    </row>
    <row r="30" spans="1:12" x14ac:dyDescent="0.2">
      <c r="A30" s="146"/>
      <c r="B30" s="131"/>
      <c r="C30" s="131"/>
      <c r="D30" s="131"/>
      <c r="E30" s="131"/>
      <c r="F30" s="131"/>
      <c r="G30" s="36"/>
      <c r="H30" s="118"/>
      <c r="I30" s="44"/>
    </row>
    <row r="31" spans="1:12" x14ac:dyDescent="0.2">
      <c r="A31" s="114">
        <f>+A27+1</f>
        <v>13</v>
      </c>
      <c r="B31" s="146" t="s">
        <v>502</v>
      </c>
      <c r="C31" s="44"/>
      <c r="D31" s="147"/>
      <c r="E31" s="148">
        <f>'WP - Other Rev &amp; Tax'!E46+'WP - Other Rev &amp; Tax'!E47</f>
        <v>8418945.7576859985</v>
      </c>
      <c r="F31" s="146"/>
      <c r="G31" s="449"/>
      <c r="H31" s="450"/>
      <c r="I31" s="148">
        <f>'[7]Output to Rev Req'!$F$35</f>
        <v>7929784</v>
      </c>
      <c r="K31" s="130"/>
    </row>
    <row r="32" spans="1:12" x14ac:dyDescent="0.2">
      <c r="A32" s="114">
        <f>+A31+1</f>
        <v>14</v>
      </c>
      <c r="B32" s="104" t="s">
        <v>503</v>
      </c>
      <c r="C32" s="44"/>
      <c r="D32" s="147"/>
      <c r="E32" s="44">
        <f>'WP - Other Rev &amp; Tax'!E44+'WP - Other Rev &amp; Tax'!E45</f>
        <v>15913725.15975103</v>
      </c>
      <c r="F32" s="149"/>
      <c r="G32" s="44"/>
      <c r="H32" s="126"/>
      <c r="I32" s="44">
        <f>'[7]Output to Rev Req'!$F$37</f>
        <v>20798768</v>
      </c>
      <c r="K32" s="130"/>
    </row>
    <row r="33" spans="1:11" x14ac:dyDescent="0.2">
      <c r="A33" s="114">
        <f>+A32+1</f>
        <v>15</v>
      </c>
      <c r="B33" s="134" t="s">
        <v>437</v>
      </c>
      <c r="C33" s="38"/>
      <c r="D33" s="147"/>
      <c r="E33" s="122">
        <f>'WP - Other Rev &amp; Tax'!E48</f>
        <v>-7524.2900000000154</v>
      </c>
      <c r="F33" s="138"/>
      <c r="G33" s="44"/>
      <c r="H33" s="126"/>
      <c r="I33" s="122">
        <v>0</v>
      </c>
      <c r="K33" s="130"/>
    </row>
    <row r="34" spans="1:11" x14ac:dyDescent="0.2">
      <c r="A34" s="38"/>
      <c r="B34" s="38"/>
      <c r="C34" s="38"/>
      <c r="D34" s="38"/>
      <c r="E34" s="38"/>
      <c r="F34" s="38"/>
      <c r="G34" s="38"/>
      <c r="H34" s="38"/>
      <c r="I34" s="38"/>
    </row>
    <row r="35" spans="1:11" ht="15.75" thickBot="1" x14ac:dyDescent="0.25">
      <c r="A35" s="114">
        <f>+A33+1</f>
        <v>16</v>
      </c>
      <c r="B35" s="138" t="s">
        <v>449</v>
      </c>
      <c r="C35" s="150"/>
      <c r="D35" s="38"/>
      <c r="E35" s="144">
        <f>SUM(E31:E34)</f>
        <v>24325146.627437029</v>
      </c>
      <c r="F35" s="38"/>
      <c r="G35" s="38"/>
      <c r="H35" s="38"/>
      <c r="I35" s="144">
        <f>SUM(I31:I34)</f>
        <v>28728552</v>
      </c>
      <c r="K35" s="130">
        <f>I35-E35</f>
        <v>4403405.372562971</v>
      </c>
    </row>
    <row r="36" spans="1:11" ht="15.75" thickTop="1" x14ac:dyDescent="0.2">
      <c r="A36" s="38"/>
      <c r="B36" s="38"/>
      <c r="C36" s="151"/>
      <c r="D36" s="152"/>
      <c r="E36" s="38"/>
      <c r="F36" s="146"/>
      <c r="G36" s="38"/>
      <c r="H36" s="38"/>
      <c r="I36" s="38"/>
    </row>
    <row r="37" spans="1:11" ht="15.75" thickBot="1" x14ac:dyDescent="0.25">
      <c r="A37" s="114">
        <f>+A35+1</f>
        <v>17</v>
      </c>
      <c r="B37" s="146" t="s">
        <v>450</v>
      </c>
      <c r="C37" s="151"/>
      <c r="D37" s="152"/>
      <c r="E37" s="144">
        <f>+E27-E35</f>
        <v>49646442.872088358</v>
      </c>
      <c r="I37" s="144">
        <f>I27-I35</f>
        <v>49604902.662138239</v>
      </c>
      <c r="K37" s="130">
        <f>I37-E37</f>
        <v>-41540.209950119257</v>
      </c>
    </row>
    <row r="38" spans="1:11" ht="15.75" thickTop="1" x14ac:dyDescent="0.2">
      <c r="A38" s="114"/>
      <c r="B38" s="38"/>
      <c r="C38" s="38"/>
      <c r="D38" s="38"/>
      <c r="E38" s="38"/>
      <c r="F38" s="38"/>
      <c r="G38" s="38"/>
      <c r="H38" s="38"/>
      <c r="I38" s="38"/>
    </row>
  </sheetData>
  <customSheetViews>
    <customSheetView guid="{A7BD13BF-7E57-44D7-9B02-43E2FA430390}" scale="90" showPageBreaks="1" fitToPage="1" printArea="1">
      <selection activeCell="K35" sqref="K35"/>
      <pageMargins left="0.5" right="0.5" top="0.5" bottom="0.5" header="0.25" footer="0.25"/>
      <printOptions horizontalCentered="1"/>
      <pageSetup scale="70" orientation="landscape" r:id="rId1"/>
      <headerFooter alignWithMargins="0"/>
    </customSheetView>
    <customSheetView guid="{C29552AC-6B79-447F-B962-713ED43BDF1A}" scale="90" showPageBreaks="1" fitToPage="1" printArea="1">
      <selection activeCell="M13" sqref="M13"/>
      <pageMargins left="0.5" right="0.5" top="0.5" bottom="0.5" header="0.25" footer="0.25"/>
      <printOptions horizontalCentered="1"/>
      <pageSetup scale="70" orientation="landscape" r:id="rId2"/>
      <headerFooter alignWithMargins="0"/>
    </customSheetView>
    <customSheetView guid="{6ED201AA-AB2E-4FE7-B06B-B07932512C4D}" scale="90" showPageBreaks="1" fitToPage="1" printArea="1">
      <selection activeCell="H32" sqref="H32"/>
      <pageMargins left="0.5" right="0.5" top="0.5" bottom="0.5" header="0.25" footer="0.25"/>
      <printOptions horizontalCentered="1"/>
      <pageSetup scale="70" orientation="landscape" r:id="rId3"/>
      <headerFooter alignWithMargins="0"/>
    </customSheetView>
    <customSheetView guid="{D711E10B-9441-4991-A2CB-ED400E35790D}" scale="90" fitToPage="1">
      <selection activeCell="K35" sqref="K35"/>
      <pageMargins left="0.5" right="0.5" top="0.5" bottom="0.5" header="0.25" footer="0.25"/>
      <printOptions horizontalCentered="1"/>
      <pageSetup scale="70" orientation="landscape" r:id="rId4"/>
      <headerFooter alignWithMargins="0"/>
    </customSheetView>
  </customSheetViews>
  <mergeCells count="2">
    <mergeCell ref="C5:E5"/>
    <mergeCell ref="G5:I5"/>
  </mergeCells>
  <phoneticPr fontId="7" type="noConversion"/>
  <printOptions horizontalCentered="1"/>
  <pageMargins left="0.5" right="0.5" top="0.5" bottom="0.5" header="0.25" footer="0.25"/>
  <pageSetup scale="70" orientation="landscape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9">
    <tabColor theme="4" tint="0.59999389629810485"/>
    <pageSetUpPr fitToPage="1"/>
  </sheetPr>
  <dimension ref="A1:M253"/>
  <sheetViews>
    <sheetView showGridLines="0" zoomScale="9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35" sqref="H35"/>
    </sheetView>
  </sheetViews>
  <sheetFormatPr defaultColWidth="9.140625" defaultRowHeight="15" x14ac:dyDescent="0.2"/>
  <cols>
    <col min="1" max="1" width="7.140625" style="1" customWidth="1"/>
    <col min="2" max="2" width="49.42578125" style="1" customWidth="1"/>
    <col min="3" max="5" width="13.7109375" style="8" customWidth="1"/>
    <col min="6" max="6" width="10" style="8" customWidth="1"/>
    <col min="7" max="7" width="50" style="8" customWidth="1"/>
    <col min="8" max="10" width="12.7109375" style="8" customWidth="1"/>
    <col min="11" max="11" width="3" style="8" customWidth="1"/>
    <col min="12" max="12" width="12.7109375" style="8" customWidth="1"/>
    <col min="13" max="13" width="29.28515625" style="77" customWidth="1"/>
    <col min="14" max="16384" width="9.140625" style="8"/>
  </cols>
  <sheetData>
    <row r="1" spans="1:13" s="1" customFormat="1" x14ac:dyDescent="0.2">
      <c r="A1" s="1" t="str">
        <f>+'KTW-3 p1 - Test Year Results'!A1</f>
        <v>NW Natural</v>
      </c>
      <c r="C1" s="5"/>
      <c r="D1" s="5"/>
      <c r="E1" s="499" t="s">
        <v>750</v>
      </c>
      <c r="G1" s="8"/>
      <c r="H1" s="8"/>
      <c r="I1" s="8"/>
      <c r="J1" s="8"/>
      <c r="K1" s="8"/>
      <c r="M1" s="5"/>
    </row>
    <row r="2" spans="1:13" s="1" customFormat="1" x14ac:dyDescent="0.2">
      <c r="A2" s="1" t="str">
        <f>+'KTW-3 p1 - Test Year Results'!A2</f>
        <v>Washington Rate Case</v>
      </c>
      <c r="C2" s="5"/>
      <c r="D2" s="5"/>
      <c r="E2" s="499" t="s">
        <v>748</v>
      </c>
      <c r="F2" s="5"/>
      <c r="G2" s="8"/>
      <c r="H2" s="8"/>
      <c r="I2" s="8"/>
      <c r="J2" s="8"/>
      <c r="K2" s="8"/>
      <c r="M2" s="5"/>
    </row>
    <row r="3" spans="1:13" s="1" customFormat="1" x14ac:dyDescent="0.2">
      <c r="A3" s="1" t="str">
        <f>+'KTW-3 p1 - Test Year Results'!A3</f>
        <v>Test Year Based on Twelve Months Ended September 30, 2020</v>
      </c>
      <c r="C3" s="5"/>
      <c r="D3" s="5"/>
      <c r="E3" s="153"/>
      <c r="F3" s="153"/>
      <c r="G3" s="8"/>
      <c r="H3" s="8"/>
      <c r="I3" s="8"/>
      <c r="J3" s="8"/>
      <c r="K3" s="8"/>
      <c r="M3" s="5"/>
    </row>
    <row r="4" spans="1:13" s="1" customFormat="1" x14ac:dyDescent="0.2">
      <c r="A4" s="1" t="s">
        <v>288</v>
      </c>
      <c r="C4" s="5"/>
      <c r="D4" s="5"/>
      <c r="E4" s="154"/>
      <c r="F4" s="154"/>
      <c r="G4" s="8"/>
      <c r="H4" s="8"/>
      <c r="I4" s="8"/>
      <c r="J4" s="8"/>
      <c r="K4" s="8"/>
      <c r="M4" s="5"/>
    </row>
    <row r="5" spans="1:13" s="1" customFormat="1" x14ac:dyDescent="0.2">
      <c r="C5" s="5"/>
      <c r="D5" s="5"/>
      <c r="E5" s="5"/>
      <c r="F5" s="5"/>
      <c r="G5" s="8"/>
      <c r="H5" s="8"/>
      <c r="I5" s="8"/>
      <c r="J5" s="8"/>
      <c r="K5" s="8"/>
      <c r="M5" s="5"/>
    </row>
    <row r="6" spans="1:13" s="1" customFormat="1" x14ac:dyDescent="0.2">
      <c r="A6" s="5" t="s">
        <v>15</v>
      </c>
      <c r="C6" s="5"/>
      <c r="D6" s="5"/>
      <c r="E6" s="5"/>
      <c r="F6" s="5"/>
      <c r="G6" s="8"/>
      <c r="H6" s="8"/>
      <c r="I6" s="8"/>
      <c r="J6" s="8"/>
      <c r="K6" s="8"/>
      <c r="M6" s="5"/>
    </row>
    <row r="7" spans="1:13" s="1" customFormat="1" x14ac:dyDescent="0.2">
      <c r="A7" s="7" t="s">
        <v>289</v>
      </c>
      <c r="C7" s="7" t="s">
        <v>63</v>
      </c>
      <c r="D7" s="7" t="s">
        <v>47</v>
      </c>
      <c r="E7" s="7" t="s">
        <v>26</v>
      </c>
      <c r="F7" s="155"/>
      <c r="G7" s="8"/>
      <c r="H7" s="8"/>
      <c r="I7" s="8"/>
      <c r="J7" s="8"/>
      <c r="K7" s="8"/>
      <c r="M7" s="5"/>
    </row>
    <row r="8" spans="1:13" s="1" customFormat="1" x14ac:dyDescent="0.2">
      <c r="C8" s="5" t="s">
        <v>55</v>
      </c>
      <c r="D8" s="5" t="s">
        <v>56</v>
      </c>
      <c r="E8" s="5" t="s">
        <v>57</v>
      </c>
      <c r="F8" s="5"/>
      <c r="G8" s="8"/>
      <c r="H8" s="8"/>
      <c r="I8" s="8"/>
      <c r="J8" s="8"/>
      <c r="K8" s="8"/>
      <c r="M8" s="5"/>
    </row>
    <row r="9" spans="1:13" x14ac:dyDescent="0.2">
      <c r="B9" s="1" t="s">
        <v>290</v>
      </c>
      <c r="C9" s="77"/>
      <c r="D9" s="77"/>
      <c r="E9" s="77"/>
      <c r="F9" s="77"/>
    </row>
    <row r="10" spans="1:13" x14ac:dyDescent="0.2">
      <c r="A10" s="5">
        <v>1</v>
      </c>
      <c r="B10" s="156" t="s">
        <v>293</v>
      </c>
      <c r="C10" s="475">
        <f>'[8]Sys 2020 Data'!$R$25</f>
        <v>-1970405.0999999994</v>
      </c>
      <c r="D10" s="157">
        <v>0</v>
      </c>
      <c r="E10" s="11">
        <f>+D10-C10</f>
        <v>1970405.0999999994</v>
      </c>
      <c r="F10" s="158"/>
    </row>
    <row r="11" spans="1:13" x14ac:dyDescent="0.2">
      <c r="A11" s="5">
        <f>+A10+1</f>
        <v>2</v>
      </c>
      <c r="B11" s="156" t="s">
        <v>434</v>
      </c>
      <c r="C11" s="398">
        <f>'[8]Sys 2020 Data'!$R$27</f>
        <v>-282008.58</v>
      </c>
      <c r="D11" s="159">
        <v>0</v>
      </c>
      <c r="E11" s="398">
        <f>+D11-C11</f>
        <v>282008.58</v>
      </c>
      <c r="F11" s="160"/>
    </row>
    <row r="12" spans="1:13" x14ac:dyDescent="0.2">
      <c r="A12" s="5"/>
      <c r="B12" s="1" t="s">
        <v>127</v>
      </c>
      <c r="C12" s="11"/>
      <c r="D12" s="11"/>
      <c r="E12" s="11"/>
      <c r="F12" s="161"/>
    </row>
    <row r="13" spans="1:13" ht="15.75" thickBot="1" x14ac:dyDescent="0.25">
      <c r="A13" s="5">
        <f>+A11+1</f>
        <v>3</v>
      </c>
      <c r="B13" s="162" t="s">
        <v>291</v>
      </c>
      <c r="C13" s="159">
        <f>SUM(C10:C11)</f>
        <v>-2252413.6799999992</v>
      </c>
      <c r="D13" s="159">
        <f>SUM(D10:D11)</f>
        <v>0</v>
      </c>
      <c r="E13" s="159">
        <f>SUM(E10:E11)</f>
        <v>2252413.6799999992</v>
      </c>
      <c r="F13" s="163"/>
    </row>
    <row r="14" spans="1:13" ht="15.75" thickBot="1" x14ac:dyDescent="0.25">
      <c r="A14" s="5"/>
      <c r="B14" s="162"/>
      <c r="C14" s="164"/>
      <c r="D14" s="164"/>
      <c r="E14" s="164"/>
      <c r="F14" s="163"/>
      <c r="G14" s="465" t="s">
        <v>725</v>
      </c>
      <c r="H14" s="165"/>
      <c r="I14" s="165"/>
      <c r="J14" s="165"/>
      <c r="K14" s="166"/>
      <c r="L14" s="167" t="s">
        <v>11</v>
      </c>
      <c r="M14" s="168"/>
    </row>
    <row r="15" spans="1:13" x14ac:dyDescent="0.2">
      <c r="A15" s="1" t="s">
        <v>292</v>
      </c>
      <c r="B15" s="169"/>
      <c r="C15" s="157"/>
      <c r="D15" s="157"/>
      <c r="E15" s="157"/>
      <c r="F15" s="170"/>
      <c r="G15" s="171"/>
      <c r="H15" s="393" t="s">
        <v>674</v>
      </c>
      <c r="I15" s="393" t="s">
        <v>675</v>
      </c>
      <c r="J15" s="393" t="s">
        <v>620</v>
      </c>
      <c r="K15" s="21"/>
      <c r="L15" s="393" t="s">
        <v>471</v>
      </c>
      <c r="M15" s="172" t="s">
        <v>732</v>
      </c>
    </row>
    <row r="16" spans="1:13" x14ac:dyDescent="0.2">
      <c r="A16" s="5"/>
      <c r="C16" s="157"/>
      <c r="D16" s="157"/>
      <c r="E16" s="157"/>
      <c r="F16" s="170"/>
      <c r="G16" s="171"/>
      <c r="H16" s="21"/>
      <c r="I16" s="21"/>
      <c r="J16" s="21"/>
      <c r="K16" s="394"/>
      <c r="L16" s="21"/>
      <c r="M16" s="172"/>
    </row>
    <row r="17" spans="1:13" x14ac:dyDescent="0.25">
      <c r="A17" s="5">
        <f>+A13+1</f>
        <v>4</v>
      </c>
      <c r="B17" s="1" t="s">
        <v>712</v>
      </c>
      <c r="C17" s="467">
        <f>-[9]data!C162</f>
        <v>51073.17</v>
      </c>
      <c r="D17" s="157">
        <f>-L17</f>
        <v>93124.313333333354</v>
      </c>
      <c r="E17" s="157">
        <f>+D17-C17</f>
        <v>42051.143333333355</v>
      </c>
      <c r="F17" s="170"/>
      <c r="G17" s="171" t="s">
        <v>712</v>
      </c>
      <c r="H17" s="175">
        <f>[10]pivot!AZ30</f>
        <v>-98097.62000000001</v>
      </c>
      <c r="I17" s="175">
        <f>[10]pivot!BA30</f>
        <v>-86577.59</v>
      </c>
      <c r="J17" s="175">
        <f>[10]pivot!BB30</f>
        <v>-94697.730000000025</v>
      </c>
      <c r="K17" s="395"/>
      <c r="L17" s="175">
        <f>[10]pivot!BC30</f>
        <v>-93124.313333333354</v>
      </c>
      <c r="M17" s="172" t="str">
        <f>[10]pivot!BD30</f>
        <v>no trend - 3 year average</v>
      </c>
    </row>
    <row r="18" spans="1:13" x14ac:dyDescent="0.25">
      <c r="A18" s="5">
        <f>A17+1</f>
        <v>5</v>
      </c>
      <c r="B18" s="1" t="s">
        <v>713</v>
      </c>
      <c r="C18" s="467">
        <f>-[9]data!C163</f>
        <v>3660</v>
      </c>
      <c r="D18" s="157">
        <f t="shared" ref="D18:D30" si="0">-L18</f>
        <v>5130</v>
      </c>
      <c r="E18" s="157">
        <f t="shared" ref="E18:E30" si="1">+D18-C18</f>
        <v>1470</v>
      </c>
      <c r="F18" s="170"/>
      <c r="G18" s="171" t="s">
        <v>713</v>
      </c>
      <c r="H18" s="175">
        <f>[10]pivot!AZ31</f>
        <v>-6247.5</v>
      </c>
      <c r="I18" s="175">
        <f>[10]pivot!BA31</f>
        <v>-5350</v>
      </c>
      <c r="J18" s="175">
        <f>[10]pivot!BB31</f>
        <v>-5130</v>
      </c>
      <c r="K18" s="395"/>
      <c r="L18" s="175">
        <f>[10]pivot!BC31</f>
        <v>-5130</v>
      </c>
      <c r="M18" s="172" t="str">
        <f>[10]pivot!BD31</f>
        <v>trend down - take last year</v>
      </c>
    </row>
    <row r="19" spans="1:13" x14ac:dyDescent="0.25">
      <c r="A19" s="5">
        <f t="shared" ref="A19:A33" si="2">A18+1</f>
        <v>6</v>
      </c>
      <c r="B19" s="1" t="s">
        <v>714</v>
      </c>
      <c r="C19" s="467">
        <f>-[9]data!C164</f>
        <v>13640</v>
      </c>
      <c r="D19" s="157">
        <f t="shared" si="0"/>
        <v>29010</v>
      </c>
      <c r="E19" s="157">
        <f t="shared" si="1"/>
        <v>15370</v>
      </c>
      <c r="F19" s="170"/>
      <c r="G19" s="171" t="s">
        <v>714</v>
      </c>
      <c r="H19" s="175">
        <f>[10]pivot!AZ32</f>
        <v>-36810</v>
      </c>
      <c r="I19" s="175">
        <f>[10]pivot!BA32</f>
        <v>-31695</v>
      </c>
      <c r="J19" s="175">
        <f>[10]pivot!BB32</f>
        <v>-29010</v>
      </c>
      <c r="K19" s="395"/>
      <c r="L19" s="175">
        <f>[10]pivot!BC32</f>
        <v>-29010</v>
      </c>
      <c r="M19" s="172" t="str">
        <f>[10]pivot!BD32</f>
        <v>trend down - take last year</v>
      </c>
    </row>
    <row r="20" spans="1:13" x14ac:dyDescent="0.25">
      <c r="A20" s="5">
        <f t="shared" si="2"/>
        <v>7</v>
      </c>
      <c r="B20" s="1" t="s">
        <v>715</v>
      </c>
      <c r="C20" s="467">
        <f>-[9]data!C165</f>
        <v>2356.64</v>
      </c>
      <c r="D20" s="157">
        <f t="shared" si="0"/>
        <v>1218.1466666666668</v>
      </c>
      <c r="E20" s="157">
        <f t="shared" si="1"/>
        <v>-1138.4933333333331</v>
      </c>
      <c r="F20" s="170"/>
      <c r="G20" s="171" t="s">
        <v>715</v>
      </c>
      <c r="H20" s="175">
        <f>[10]pivot!AZ33</f>
        <v>-1383</v>
      </c>
      <c r="I20" s="175">
        <f>[10]pivot!BA33</f>
        <v>-224.65</v>
      </c>
      <c r="J20" s="175">
        <f>[10]pivot!BB33</f>
        <v>-2046.79</v>
      </c>
      <c r="K20" s="395"/>
      <c r="L20" s="175">
        <f>[10]pivot!BC33</f>
        <v>-1218.1466666666668</v>
      </c>
      <c r="M20" s="172" t="str">
        <f>[10]pivot!BD33</f>
        <v>no trend - 3 year average</v>
      </c>
    </row>
    <row r="21" spans="1:13" x14ac:dyDescent="0.25">
      <c r="A21" s="5">
        <f t="shared" si="2"/>
        <v>8</v>
      </c>
      <c r="B21" s="1" t="s">
        <v>716</v>
      </c>
      <c r="C21" s="467">
        <f>-[9]data!C166</f>
        <v>18475</v>
      </c>
      <c r="D21" s="157">
        <f t="shared" si="0"/>
        <v>37016.666666666664</v>
      </c>
      <c r="E21" s="157">
        <f t="shared" si="1"/>
        <v>18541.666666666664</v>
      </c>
      <c r="F21" s="170"/>
      <c r="G21" s="171" t="s">
        <v>716</v>
      </c>
      <c r="H21" s="175">
        <f>[10]pivot!AZ34</f>
        <v>-37650</v>
      </c>
      <c r="I21" s="175">
        <f>[10]pivot!BA34</f>
        <v>-36000</v>
      </c>
      <c r="J21" s="175">
        <f>[10]pivot!BB34</f>
        <v>-37400</v>
      </c>
      <c r="K21" s="395"/>
      <c r="L21" s="175">
        <f>[10]pivot!BC34</f>
        <v>-37016.666666666664</v>
      </c>
      <c r="M21" s="172" t="str">
        <f>[10]pivot!BD34</f>
        <v>no trend - 3 year average</v>
      </c>
    </row>
    <row r="22" spans="1:13" x14ac:dyDescent="0.25">
      <c r="A22" s="5">
        <f t="shared" si="2"/>
        <v>9</v>
      </c>
      <c r="B22" s="1" t="s">
        <v>717</v>
      </c>
      <c r="C22" s="467">
        <f>-[9]data!C167</f>
        <v>6750</v>
      </c>
      <c r="D22" s="157">
        <f t="shared" si="0"/>
        <v>13695</v>
      </c>
      <c r="E22" s="157">
        <f t="shared" si="1"/>
        <v>6945</v>
      </c>
      <c r="F22" s="170"/>
      <c r="G22" s="171" t="s">
        <v>717</v>
      </c>
      <c r="H22" s="175">
        <f>[10]pivot!AZ35</f>
        <v>-15830</v>
      </c>
      <c r="I22" s="175">
        <f>[10]pivot!BA35</f>
        <v>-15100</v>
      </c>
      <c r="J22" s="175">
        <f>[10]pivot!BB35</f>
        <v>-13695</v>
      </c>
      <c r="K22" s="395"/>
      <c r="L22" s="175">
        <f>[10]pivot!BC35</f>
        <v>-13695</v>
      </c>
      <c r="M22" s="172" t="str">
        <f>[10]pivot!BD35</f>
        <v>trend down - take last year</v>
      </c>
    </row>
    <row r="23" spans="1:13" x14ac:dyDescent="0.25">
      <c r="A23" s="5">
        <f t="shared" si="2"/>
        <v>10</v>
      </c>
      <c r="B23" s="1" t="s">
        <v>718</v>
      </c>
      <c r="C23" s="467">
        <f>-[9]data!C168</f>
        <v>1350</v>
      </c>
      <c r="D23" s="157">
        <f t="shared" si="0"/>
        <v>1516.6666666666667</v>
      </c>
      <c r="E23" s="157">
        <f t="shared" si="1"/>
        <v>166.66666666666674</v>
      </c>
      <c r="F23" s="170"/>
      <c r="G23" s="171" t="s">
        <v>718</v>
      </c>
      <c r="H23" s="175">
        <f>[10]pivot!AZ36</f>
        <v>-1500</v>
      </c>
      <c r="I23" s="175">
        <f>[10]pivot!BA36</f>
        <v>-1400</v>
      </c>
      <c r="J23" s="175">
        <f>[10]pivot!BB36</f>
        <v>-1650</v>
      </c>
      <c r="K23" s="395"/>
      <c r="L23" s="175">
        <f>[10]pivot!BC36</f>
        <v>-1516.6666666666667</v>
      </c>
      <c r="M23" s="172" t="str">
        <f>[10]pivot!BD36</f>
        <v>no trend - 3 year average</v>
      </c>
    </row>
    <row r="24" spans="1:13" x14ac:dyDescent="0.25">
      <c r="A24" s="5">
        <f t="shared" si="2"/>
        <v>11</v>
      </c>
      <c r="B24" s="1" t="s">
        <v>719</v>
      </c>
      <c r="C24" s="467">
        <f>-[9]data!C169</f>
        <v>585</v>
      </c>
      <c r="D24" s="157">
        <f t="shared" si="0"/>
        <v>708.33333333333337</v>
      </c>
      <c r="E24" s="157">
        <f t="shared" si="1"/>
        <v>123.33333333333337</v>
      </c>
      <c r="F24" s="170"/>
      <c r="G24" s="171" t="s">
        <v>719</v>
      </c>
      <c r="H24" s="175">
        <f>[10]pivot!AZ37</f>
        <v>-610</v>
      </c>
      <c r="I24" s="175">
        <f>[10]pivot!BA37</f>
        <v>-805</v>
      </c>
      <c r="J24" s="175">
        <f>[10]pivot!BB37</f>
        <v>-710</v>
      </c>
      <c r="K24" s="395"/>
      <c r="L24" s="175">
        <f>[10]pivot!BC37</f>
        <v>-708.33333333333337</v>
      </c>
      <c r="M24" s="172" t="str">
        <f>[10]pivot!BD37</f>
        <v>no trend - 3 year average</v>
      </c>
    </row>
    <row r="25" spans="1:13" x14ac:dyDescent="0.25">
      <c r="A25" s="5">
        <f t="shared" si="2"/>
        <v>12</v>
      </c>
      <c r="B25" s="1" t="s">
        <v>720</v>
      </c>
      <c r="C25" s="467">
        <f>-[9]data!C170</f>
        <v>700</v>
      </c>
      <c r="D25" s="157">
        <f t="shared" si="0"/>
        <v>1433.3333333333333</v>
      </c>
      <c r="E25" s="157">
        <f t="shared" si="1"/>
        <v>733.33333333333326</v>
      </c>
      <c r="F25" s="170"/>
      <c r="G25" s="171" t="s">
        <v>720</v>
      </c>
      <c r="H25" s="175">
        <f>[10]pivot!AZ38</f>
        <v>-2250</v>
      </c>
      <c r="I25" s="175">
        <f>[10]pivot!BA38</f>
        <v>-850</v>
      </c>
      <c r="J25" s="175">
        <f>[10]pivot!BB38</f>
        <v>-1200</v>
      </c>
      <c r="K25" s="395"/>
      <c r="L25" s="175">
        <f>[10]pivot!BC38</f>
        <v>-1433.3333333333333</v>
      </c>
      <c r="M25" s="172" t="str">
        <f>[10]pivot!BD38</f>
        <v>no trend - 3 year average</v>
      </c>
    </row>
    <row r="26" spans="1:13" x14ac:dyDescent="0.25">
      <c r="A26" s="5">
        <f t="shared" si="2"/>
        <v>13</v>
      </c>
      <c r="B26" s="1" t="s">
        <v>721</v>
      </c>
      <c r="C26" s="467">
        <f>-[9]data!C171</f>
        <v>12104.04</v>
      </c>
      <c r="D26" s="157">
        <f t="shared" si="0"/>
        <v>14128.080000000002</v>
      </c>
      <c r="E26" s="157">
        <f t="shared" si="1"/>
        <v>2024.0400000000009</v>
      </c>
      <c r="F26" s="170"/>
      <c r="G26" s="171" t="s">
        <v>721</v>
      </c>
      <c r="H26" s="175">
        <f>[10]pivot!AZ39</f>
        <v>-11520</v>
      </c>
      <c r="I26" s="175">
        <f>[10]pivot!BA39</f>
        <v>-12032.5</v>
      </c>
      <c r="J26" s="175">
        <f>[10]pivot!BB39</f>
        <v>-14128.080000000002</v>
      </c>
      <c r="K26" s="395"/>
      <c r="L26" s="175">
        <f>[10]pivot!BC39</f>
        <v>-14128.080000000002</v>
      </c>
      <c r="M26" s="172" t="str">
        <f>[10]pivot!BD39</f>
        <v>trend up - take last year</v>
      </c>
    </row>
    <row r="27" spans="1:13" x14ac:dyDescent="0.25">
      <c r="A27" s="5">
        <f t="shared" si="2"/>
        <v>14</v>
      </c>
      <c r="B27" s="1" t="s">
        <v>722</v>
      </c>
      <c r="C27" s="467">
        <f>-[9]data!C172</f>
        <v>18060.370000000003</v>
      </c>
      <c r="D27" s="157">
        <f t="shared" si="0"/>
        <v>18614.013333333332</v>
      </c>
      <c r="E27" s="157">
        <f t="shared" si="1"/>
        <v>553.64333333332979</v>
      </c>
      <c r="F27" s="170"/>
      <c r="G27" s="171" t="s">
        <v>722</v>
      </c>
      <c r="H27" s="175">
        <f>[10]pivot!AZ40</f>
        <v>-19828.88</v>
      </c>
      <c r="I27" s="175">
        <f>[10]pivot!BA40</f>
        <v>-18001.27</v>
      </c>
      <c r="J27" s="175">
        <f>[10]pivot!BB40</f>
        <v>-18011.889999999996</v>
      </c>
      <c r="K27" s="395"/>
      <c r="L27" s="175">
        <f>[10]pivot!BC40</f>
        <v>-18614.013333333332</v>
      </c>
      <c r="M27" s="172" t="str">
        <f>[10]pivot!BD40</f>
        <v>no trend - 3 year average</v>
      </c>
    </row>
    <row r="28" spans="1:13" x14ac:dyDescent="0.25">
      <c r="A28" s="5">
        <f t="shared" si="2"/>
        <v>15</v>
      </c>
      <c r="B28" s="1" t="s">
        <v>723</v>
      </c>
      <c r="C28" s="467">
        <f>-[9]data!C173</f>
        <v>1000</v>
      </c>
      <c r="D28" s="157">
        <f>-L28</f>
        <v>2007.91</v>
      </c>
      <c r="E28" s="157">
        <f t="shared" si="1"/>
        <v>1007.9100000000001</v>
      </c>
      <c r="F28" s="170"/>
      <c r="G28" s="171" t="s">
        <v>723</v>
      </c>
      <c r="H28" s="175">
        <f>[10]pivot!AZ41</f>
        <v>-2113.7200000000003</v>
      </c>
      <c r="I28" s="175">
        <f>[10]pivot!BA41</f>
        <v>-600</v>
      </c>
      <c r="J28" s="175">
        <f>[10]pivot!BB41</f>
        <v>-3310.01</v>
      </c>
      <c r="K28" s="395"/>
      <c r="L28" s="175">
        <f>[10]pivot!BC41</f>
        <v>-2007.91</v>
      </c>
      <c r="M28" s="172" t="str">
        <f>[10]pivot!BD41</f>
        <v>no trend - 3 year average</v>
      </c>
    </row>
    <row r="29" spans="1:13" x14ac:dyDescent="0.25">
      <c r="A29" s="5">
        <f t="shared" si="2"/>
        <v>16</v>
      </c>
      <c r="B29" s="1" t="s">
        <v>551</v>
      </c>
      <c r="C29" s="467">
        <f>-[9]data!C174</f>
        <v>318.60000000000008</v>
      </c>
      <c r="D29" s="157">
        <f t="shared" si="0"/>
        <v>318.60000000000008</v>
      </c>
      <c r="E29" s="157">
        <f t="shared" si="1"/>
        <v>0</v>
      </c>
      <c r="F29" s="170"/>
      <c r="G29" s="171" t="s">
        <v>551</v>
      </c>
      <c r="H29" s="175">
        <f>[10]pivot!AZ42</f>
        <v>0</v>
      </c>
      <c r="I29" s="175">
        <f>[10]pivot!BA42</f>
        <v>0</v>
      </c>
      <c r="J29" s="175">
        <f>[10]pivot!BB42</f>
        <v>-318.60000000000008</v>
      </c>
      <c r="K29" s="395"/>
      <c r="L29" s="175">
        <f>[10]pivot!BC42</f>
        <v>-318.60000000000008</v>
      </c>
      <c r="M29" s="172" t="str">
        <f>[10]pivot!BD42</f>
        <v>trend up - take last year</v>
      </c>
    </row>
    <row r="30" spans="1:13" x14ac:dyDescent="0.25">
      <c r="A30" s="5">
        <f t="shared" si="2"/>
        <v>17</v>
      </c>
      <c r="B30" s="1" t="s">
        <v>724</v>
      </c>
      <c r="C30" s="467">
        <f>-[9]data!C175</f>
        <v>15436</v>
      </c>
      <c r="D30" s="157">
        <f t="shared" si="0"/>
        <v>6739</v>
      </c>
      <c r="E30" s="157">
        <f t="shared" si="1"/>
        <v>-8697</v>
      </c>
      <c r="F30" s="170"/>
      <c r="G30" s="171" t="s">
        <v>724</v>
      </c>
      <c r="H30" s="175">
        <f>[10]pivot!AZ43</f>
        <v>-5758</v>
      </c>
      <c r="I30" s="175">
        <f>[10]pivot!BA43</f>
        <v>-5030</v>
      </c>
      <c r="J30" s="175">
        <f>[10]pivot!BB43</f>
        <v>-9429</v>
      </c>
      <c r="K30" s="395"/>
      <c r="L30" s="175">
        <f>[10]pivot!BC43</f>
        <v>-6739</v>
      </c>
      <c r="M30" s="172" t="str">
        <f>[10]pivot!BD43</f>
        <v>no trend - 3 year average</v>
      </c>
    </row>
    <row r="31" spans="1:13" x14ac:dyDescent="0.25">
      <c r="A31" s="5">
        <f t="shared" si="2"/>
        <v>18</v>
      </c>
      <c r="B31" s="1" t="s">
        <v>728</v>
      </c>
      <c r="C31" s="470">
        <v>0</v>
      </c>
      <c r="D31" s="471">
        <f>-L31</f>
        <v>150</v>
      </c>
      <c r="E31" s="471">
        <f>+D31-C31</f>
        <v>150</v>
      </c>
      <c r="F31" s="170"/>
      <c r="G31" s="171" t="s">
        <v>728</v>
      </c>
      <c r="H31" s="175">
        <f>[10]pivot!AZ44</f>
        <v>-350</v>
      </c>
      <c r="I31" s="175">
        <f>[10]pivot!BA44</f>
        <v>-250</v>
      </c>
      <c r="J31" s="175">
        <f>[10]pivot!BB44</f>
        <v>-150</v>
      </c>
      <c r="K31" s="473"/>
      <c r="L31" s="175">
        <f>[10]pivot!BC44</f>
        <v>-150</v>
      </c>
      <c r="M31" s="172" t="str">
        <f>[10]pivot!BD44</f>
        <v>trend down - take last year</v>
      </c>
    </row>
    <row r="32" spans="1:13" x14ac:dyDescent="0.25">
      <c r="A32" s="5">
        <f t="shared" si="2"/>
        <v>19</v>
      </c>
      <c r="B32" s="1" t="s">
        <v>729</v>
      </c>
      <c r="C32" s="470">
        <v>0</v>
      </c>
      <c r="D32" s="471">
        <f>-L32</f>
        <v>0</v>
      </c>
      <c r="E32" s="471">
        <f>+D32-C32</f>
        <v>0</v>
      </c>
      <c r="F32" s="170"/>
      <c r="G32" s="171" t="s">
        <v>729</v>
      </c>
      <c r="H32" s="175">
        <f>[10]pivot!AZ45</f>
        <v>-7</v>
      </c>
      <c r="I32" s="175">
        <f>[10]pivot!BA45</f>
        <v>0</v>
      </c>
      <c r="J32" s="175">
        <f>[10]pivot!BB45</f>
        <v>0</v>
      </c>
      <c r="K32" s="473"/>
      <c r="L32" s="175">
        <f>[10]pivot!BC45</f>
        <v>0</v>
      </c>
      <c r="M32" s="172" t="str">
        <f>[10]pivot!BD45</f>
        <v>trend down - take last year</v>
      </c>
    </row>
    <row r="33" spans="1:13" x14ac:dyDescent="0.25">
      <c r="A33" s="5">
        <f t="shared" si="2"/>
        <v>20</v>
      </c>
      <c r="B33" s="1" t="s">
        <v>730</v>
      </c>
      <c r="C33" s="470">
        <v>0</v>
      </c>
      <c r="D33" s="471">
        <f>-L33</f>
        <v>172</v>
      </c>
      <c r="E33" s="471">
        <f>+D33-C33</f>
        <v>172</v>
      </c>
      <c r="F33" s="170"/>
      <c r="G33" s="171" t="s">
        <v>730</v>
      </c>
      <c r="H33" s="175">
        <f>[10]pivot!AZ46</f>
        <v>0</v>
      </c>
      <c r="I33" s="175">
        <f>[10]pivot!BA46</f>
        <v>0</v>
      </c>
      <c r="J33" s="175">
        <f>[10]pivot!BB46</f>
        <v>-172</v>
      </c>
      <c r="K33" s="473"/>
      <c r="L33" s="175">
        <f>[10]pivot!BC46</f>
        <v>-172</v>
      </c>
      <c r="M33" s="172" t="str">
        <f>[10]pivot!BD46</f>
        <v>trend up - take last year</v>
      </c>
    </row>
    <row r="34" spans="1:13" x14ac:dyDescent="0.25">
      <c r="A34" s="5">
        <f>A33+1</f>
        <v>21</v>
      </c>
      <c r="B34" s="1" t="s">
        <v>731</v>
      </c>
      <c r="C34" s="470">
        <v>0</v>
      </c>
      <c r="D34" s="472">
        <f>-L34</f>
        <v>0</v>
      </c>
      <c r="E34" s="472">
        <f>+D34-C34</f>
        <v>0</v>
      </c>
      <c r="F34" s="163"/>
      <c r="G34" s="171" t="s">
        <v>731</v>
      </c>
      <c r="H34" s="175">
        <f>[10]pivot!AZ47</f>
        <v>0</v>
      </c>
      <c r="I34" s="175">
        <f>[10]pivot!BA47</f>
        <v>-38726.67</v>
      </c>
      <c r="J34" s="175">
        <f>[10]pivot!BB47</f>
        <v>-12710</v>
      </c>
      <c r="K34" s="473"/>
      <c r="L34" s="175">
        <f>[10]pivot!BC47</f>
        <v>0</v>
      </c>
      <c r="M34" s="455" t="str">
        <f>[10]pivot!BD47</f>
        <v xml:space="preserve">nonrecurring </v>
      </c>
    </row>
    <row r="35" spans="1:13" x14ac:dyDescent="0.2">
      <c r="A35" s="5">
        <f>A34+1</f>
        <v>22</v>
      </c>
      <c r="B35" s="162" t="s">
        <v>291</v>
      </c>
      <c r="C35" s="468">
        <f>SUM(C17:C34)</f>
        <v>145508.82</v>
      </c>
      <c r="D35" s="468">
        <f>SUM(D17:D34)</f>
        <v>224982.06333333338</v>
      </c>
      <c r="E35" s="468">
        <f>SUM(E17:E34)</f>
        <v>79473.243333333332</v>
      </c>
      <c r="G35" s="171" t="str">
        <f>B35</f>
        <v>Subtotal</v>
      </c>
      <c r="H35" s="438">
        <f>SUM(H17:H34)</f>
        <v>-239955.72</v>
      </c>
      <c r="I35" s="438">
        <f>SUM(I17:I34)</f>
        <v>-252642.68</v>
      </c>
      <c r="J35" s="438">
        <f>SUM(J17:J34)</f>
        <v>-243769.10000000003</v>
      </c>
      <c r="K35" s="175"/>
      <c r="L35" s="438">
        <f>SUM(L17:L34)</f>
        <v>-224982.06333333338</v>
      </c>
      <c r="M35" s="172" t="s">
        <v>472</v>
      </c>
    </row>
    <row r="36" spans="1:13" x14ac:dyDescent="0.2">
      <c r="A36" s="5">
        <f>A35+1</f>
        <v>23</v>
      </c>
      <c r="B36" s="1" t="s">
        <v>475</v>
      </c>
      <c r="C36" s="469">
        <f>-[9]data!$C$177*'KTW-3 p4 - Factors'!D13</f>
        <v>10876.316016000004</v>
      </c>
      <c r="D36" s="157">
        <f>-L36</f>
        <v>42446.265024000015</v>
      </c>
      <c r="E36" s="157">
        <f>+D36-C36</f>
        <v>31569.949008000011</v>
      </c>
      <c r="F36" s="163"/>
      <c r="G36" s="171" t="str">
        <f>B36</f>
        <v>RENT FROM GAS PROPERTY-RENT - UTILITY PR</v>
      </c>
      <c r="H36" s="175">
        <f>H48</f>
        <v>-23280.947040000006</v>
      </c>
      <c r="I36" s="175">
        <f>I48</f>
        <v>-86687.22456800002</v>
      </c>
      <c r="J36" s="175">
        <f>J48</f>
        <v>-17370.623464000008</v>
      </c>
      <c r="K36" s="175"/>
      <c r="L36" s="175">
        <f>AVERAGE(H36:J36)</f>
        <v>-42446.265024000015</v>
      </c>
      <c r="M36" s="172" t="s">
        <v>472</v>
      </c>
    </row>
    <row r="37" spans="1:13" ht="15.75" thickBot="1" x14ac:dyDescent="0.25">
      <c r="A37" s="5">
        <f>A36+1</f>
        <v>24</v>
      </c>
      <c r="B37" s="162" t="s">
        <v>62</v>
      </c>
      <c r="C37" s="176">
        <f>C35+C13+C36</f>
        <v>-2096028.5439839994</v>
      </c>
      <c r="D37" s="176">
        <f>D35+D13+D36</f>
        <v>267428.32835733338</v>
      </c>
      <c r="E37" s="176">
        <f>E35+E13+E36</f>
        <v>2363456.8723413325</v>
      </c>
      <c r="F37" s="170"/>
      <c r="G37" s="171" t="s">
        <v>476</v>
      </c>
      <c r="H37" s="466">
        <f>H35+H36</f>
        <v>-263236.66704000003</v>
      </c>
      <c r="I37" s="466">
        <f>I35+I36</f>
        <v>-339329.904568</v>
      </c>
      <c r="J37" s="466">
        <f>J35+J36</f>
        <v>-261139.72346400004</v>
      </c>
      <c r="K37" s="474"/>
      <c r="L37" s="466">
        <f>L35+L36</f>
        <v>-267428.32835733338</v>
      </c>
      <c r="M37" s="172"/>
    </row>
    <row r="38" spans="1:13" ht="15.75" thickTop="1" x14ac:dyDescent="0.25">
      <c r="A38" s="5"/>
      <c r="C38" s="464"/>
      <c r="D38" s="164"/>
      <c r="E38" s="164"/>
      <c r="F38" s="177"/>
      <c r="G38" s="171"/>
      <c r="H38" s="175"/>
      <c r="I38" s="175"/>
      <c r="J38" s="175"/>
      <c r="K38" s="175"/>
      <c r="L38" s="175"/>
      <c r="M38" s="172"/>
    </row>
    <row r="39" spans="1:13" x14ac:dyDescent="0.2">
      <c r="C39" s="29"/>
      <c r="D39" s="29"/>
      <c r="E39" s="29"/>
      <c r="F39" s="29"/>
      <c r="G39" s="171" t="s">
        <v>475</v>
      </c>
      <c r="H39" s="175">
        <v>0</v>
      </c>
      <c r="I39" s="175">
        <v>-600000</v>
      </c>
      <c r="J39" s="175">
        <v>0</v>
      </c>
      <c r="K39" s="175"/>
      <c r="L39" s="175">
        <v>0</v>
      </c>
      <c r="M39" s="455" t="s">
        <v>710</v>
      </c>
    </row>
    <row r="40" spans="1:13" x14ac:dyDescent="0.2">
      <c r="C40" s="29"/>
      <c r="D40" s="29"/>
      <c r="E40" s="29"/>
      <c r="F40" s="29"/>
      <c r="G40" s="171" t="s">
        <v>475</v>
      </c>
      <c r="H40" s="175">
        <v>-107022.37</v>
      </c>
      <c r="I40" s="175">
        <v>-80107.209999999992</v>
      </c>
      <c r="J40" s="175">
        <v>-45500</v>
      </c>
      <c r="K40" s="175"/>
      <c r="L40" s="175">
        <v>-45500</v>
      </c>
      <c r="M40" s="172" t="s">
        <v>473</v>
      </c>
    </row>
    <row r="41" spans="1:13" x14ac:dyDescent="0.2">
      <c r="G41" s="171" t="s">
        <v>475</v>
      </c>
      <c r="H41" s="175">
        <v>-55670.029999999992</v>
      </c>
      <c r="I41" s="175">
        <v>-61109.62</v>
      </c>
      <c r="J41" s="175">
        <v>-62766.090000000011</v>
      </c>
      <c r="K41" s="175"/>
      <c r="L41" s="175">
        <v>-62766.090000000011</v>
      </c>
      <c r="M41" s="172" t="s">
        <v>474</v>
      </c>
    </row>
    <row r="42" spans="1:13" x14ac:dyDescent="0.2">
      <c r="C42" s="178"/>
      <c r="G42" s="171" t="s">
        <v>475</v>
      </c>
      <c r="H42" s="175">
        <v>-42000</v>
      </c>
      <c r="I42" s="175">
        <v>-42000</v>
      </c>
      <c r="J42" s="175">
        <v>-42000</v>
      </c>
      <c r="K42" s="175"/>
      <c r="L42" s="175">
        <v>-42000</v>
      </c>
      <c r="M42" s="172" t="s">
        <v>472</v>
      </c>
    </row>
    <row r="43" spans="1:13" x14ac:dyDescent="0.2">
      <c r="G43" s="171" t="s">
        <v>475</v>
      </c>
      <c r="H43" s="175">
        <v>-7725</v>
      </c>
      <c r="I43" s="175">
        <v>-7725</v>
      </c>
      <c r="J43" s="175">
        <v>-7725</v>
      </c>
      <c r="K43" s="175"/>
      <c r="L43" s="175">
        <v>-7725</v>
      </c>
      <c r="M43" s="172" t="s">
        <v>472</v>
      </c>
    </row>
    <row r="44" spans="1:13" x14ac:dyDescent="0.2">
      <c r="G44" s="171" t="s">
        <v>475</v>
      </c>
      <c r="H44" s="15">
        <v>0</v>
      </c>
      <c r="I44" s="15">
        <v>0</v>
      </c>
      <c r="J44" s="15">
        <v>-500</v>
      </c>
      <c r="K44" s="175"/>
      <c r="L44" s="15">
        <v>0</v>
      </c>
      <c r="M44" s="455" t="s">
        <v>710</v>
      </c>
    </row>
    <row r="45" spans="1:13" x14ac:dyDescent="0.2">
      <c r="C45" s="29"/>
      <c r="D45" s="29"/>
      <c r="E45" s="29"/>
      <c r="F45" s="29"/>
      <c r="G45" s="171" t="s">
        <v>726</v>
      </c>
      <c r="H45" s="175">
        <f>SUM(H39:H44)</f>
        <v>-212417.4</v>
      </c>
      <c r="I45" s="175">
        <f>SUM(I39:I44)</f>
        <v>-790941.83</v>
      </c>
      <c r="J45" s="175">
        <f t="shared" ref="J45:L45" si="3">SUM(J39:J44)</f>
        <v>-158491.09000000003</v>
      </c>
      <c r="K45" s="175"/>
      <c r="L45" s="175">
        <f t="shared" si="3"/>
        <v>-157991.09000000003</v>
      </c>
      <c r="M45" s="172"/>
    </row>
    <row r="46" spans="1:13" x14ac:dyDescent="0.2">
      <c r="C46" s="29"/>
      <c r="D46" s="29"/>
      <c r="E46" s="29"/>
      <c r="F46" s="29"/>
      <c r="G46" s="171"/>
      <c r="H46" s="175"/>
      <c r="I46" s="175"/>
      <c r="J46" s="175"/>
      <c r="K46" s="175"/>
      <c r="L46" s="175"/>
      <c r="M46" s="172"/>
    </row>
    <row r="47" spans="1:13" x14ac:dyDescent="0.2">
      <c r="C47" s="29"/>
      <c r="D47" s="29"/>
      <c r="E47" s="29"/>
      <c r="F47" s="29"/>
      <c r="G47" s="171"/>
      <c r="H47" s="182">
        <f>'KTW-3 p4 - Factors'!D13</f>
        <v>0.10960000000000003</v>
      </c>
      <c r="I47" s="182">
        <f>H47</f>
        <v>0.10960000000000003</v>
      </c>
      <c r="J47" s="182">
        <f>I47</f>
        <v>0.10960000000000003</v>
      </c>
      <c r="K47" s="182"/>
      <c r="L47" s="182">
        <f>J47</f>
        <v>0.10960000000000003</v>
      </c>
      <c r="M47" s="172" t="s">
        <v>477</v>
      </c>
    </row>
    <row r="48" spans="1:13" ht="15.75" thickBot="1" x14ac:dyDescent="0.25">
      <c r="C48" s="29"/>
      <c r="D48" s="29"/>
      <c r="E48" s="29"/>
      <c r="F48" s="29"/>
      <c r="G48" s="179" t="s">
        <v>727</v>
      </c>
      <c r="H48" s="183">
        <f>H45*H47</f>
        <v>-23280.947040000006</v>
      </c>
      <c r="I48" s="183">
        <f>I45*I47</f>
        <v>-86687.22456800002</v>
      </c>
      <c r="J48" s="183">
        <f t="shared" ref="J48" si="4">J45*J47</f>
        <v>-17370.623464000008</v>
      </c>
      <c r="K48" s="183"/>
      <c r="L48" s="183">
        <f>L45*L47</f>
        <v>-17315.823464000008</v>
      </c>
      <c r="M48" s="184"/>
    </row>
    <row r="49" spans="3:6" x14ac:dyDescent="0.2">
      <c r="C49" s="29"/>
      <c r="D49" s="29"/>
      <c r="E49" s="29"/>
      <c r="F49" s="29"/>
    </row>
    <row r="50" spans="3:6" x14ac:dyDescent="0.2">
      <c r="C50" s="29"/>
      <c r="D50" s="29"/>
      <c r="E50" s="29"/>
      <c r="F50" s="29"/>
    </row>
    <row r="51" spans="3:6" x14ac:dyDescent="0.2">
      <c r="C51" s="29"/>
      <c r="D51" s="29"/>
      <c r="E51" s="29"/>
      <c r="F51" s="29"/>
    </row>
    <row r="52" spans="3:6" x14ac:dyDescent="0.2">
      <c r="C52" s="29"/>
      <c r="D52" s="29"/>
      <c r="E52" s="29"/>
      <c r="F52" s="29"/>
    </row>
    <row r="53" spans="3:6" x14ac:dyDescent="0.2">
      <c r="C53" s="29"/>
      <c r="D53" s="29"/>
      <c r="E53" s="29"/>
      <c r="F53" s="29"/>
    </row>
    <row r="54" spans="3:6" x14ac:dyDescent="0.2">
      <c r="C54" s="29"/>
      <c r="D54" s="29"/>
      <c r="E54" s="29"/>
      <c r="F54" s="29"/>
    </row>
    <row r="55" spans="3:6" x14ac:dyDescent="0.2">
      <c r="C55" s="29"/>
      <c r="D55" s="29"/>
      <c r="E55" s="29"/>
      <c r="F55" s="29"/>
    </row>
    <row r="56" spans="3:6" x14ac:dyDescent="0.2">
      <c r="C56" s="29"/>
      <c r="D56" s="29"/>
      <c r="E56" s="29"/>
      <c r="F56" s="29"/>
    </row>
    <row r="57" spans="3:6" x14ac:dyDescent="0.2">
      <c r="C57" s="29"/>
      <c r="D57" s="29"/>
      <c r="E57" s="29"/>
      <c r="F57" s="29"/>
    </row>
    <row r="58" spans="3:6" x14ac:dyDescent="0.2">
      <c r="C58" s="29"/>
      <c r="D58" s="29"/>
      <c r="E58" s="29"/>
      <c r="F58" s="29"/>
    </row>
    <row r="59" spans="3:6" x14ac:dyDescent="0.2">
      <c r="C59" s="29"/>
      <c r="D59" s="29"/>
      <c r="E59" s="29"/>
      <c r="F59" s="29"/>
    </row>
    <row r="60" spans="3:6" x14ac:dyDescent="0.2">
      <c r="C60" s="29"/>
      <c r="D60" s="29"/>
      <c r="E60" s="29"/>
      <c r="F60" s="29"/>
    </row>
    <row r="61" spans="3:6" x14ac:dyDescent="0.2">
      <c r="C61" s="29"/>
      <c r="D61" s="29"/>
      <c r="E61" s="29"/>
      <c r="F61" s="29"/>
    </row>
    <row r="62" spans="3:6" x14ac:dyDescent="0.2">
      <c r="C62" s="29"/>
      <c r="D62" s="29"/>
      <c r="E62" s="29"/>
      <c r="F62" s="29"/>
    </row>
    <row r="63" spans="3:6" x14ac:dyDescent="0.2">
      <c r="C63" s="29"/>
      <c r="D63" s="29"/>
      <c r="E63" s="29"/>
      <c r="F63" s="29"/>
    </row>
    <row r="64" spans="3:6" x14ac:dyDescent="0.2">
      <c r="C64" s="29"/>
      <c r="D64" s="29"/>
      <c r="E64" s="29"/>
      <c r="F64" s="29"/>
    </row>
    <row r="65" spans="3:6" x14ac:dyDescent="0.2">
      <c r="C65" s="29"/>
      <c r="D65" s="29"/>
      <c r="E65" s="29"/>
      <c r="F65" s="29"/>
    </row>
    <row r="66" spans="3:6" x14ac:dyDescent="0.2">
      <c r="C66" s="29"/>
      <c r="D66" s="29"/>
      <c r="E66" s="29"/>
      <c r="F66" s="29"/>
    </row>
    <row r="67" spans="3:6" x14ac:dyDescent="0.2">
      <c r="C67" s="29"/>
      <c r="D67" s="29"/>
      <c r="E67" s="29"/>
      <c r="F67" s="29"/>
    </row>
    <row r="68" spans="3:6" x14ac:dyDescent="0.2">
      <c r="C68" s="29"/>
      <c r="D68" s="29"/>
      <c r="E68" s="29"/>
      <c r="F68" s="29"/>
    </row>
    <row r="69" spans="3:6" x14ac:dyDescent="0.2">
      <c r="C69" s="29"/>
      <c r="D69" s="29"/>
      <c r="E69" s="29"/>
      <c r="F69" s="29"/>
    </row>
    <row r="70" spans="3:6" x14ac:dyDescent="0.2">
      <c r="C70" s="29"/>
      <c r="D70" s="29"/>
      <c r="E70" s="29"/>
      <c r="F70" s="29"/>
    </row>
    <row r="71" spans="3:6" x14ac:dyDescent="0.2">
      <c r="C71" s="29"/>
      <c r="D71" s="29"/>
      <c r="E71" s="29"/>
      <c r="F71" s="29"/>
    </row>
    <row r="72" spans="3:6" x14ac:dyDescent="0.2">
      <c r="C72" s="29"/>
      <c r="D72" s="29"/>
      <c r="E72" s="29"/>
      <c r="F72" s="29"/>
    </row>
    <row r="73" spans="3:6" x14ac:dyDescent="0.2">
      <c r="C73" s="29"/>
      <c r="D73" s="29"/>
      <c r="E73" s="29"/>
      <c r="F73" s="29"/>
    </row>
    <row r="74" spans="3:6" x14ac:dyDescent="0.2">
      <c r="C74" s="29"/>
      <c r="D74" s="29"/>
      <c r="E74" s="29"/>
      <c r="F74" s="29"/>
    </row>
    <row r="75" spans="3:6" x14ac:dyDescent="0.2">
      <c r="C75" s="29"/>
      <c r="D75" s="29"/>
      <c r="E75" s="29"/>
      <c r="F75" s="29"/>
    </row>
    <row r="76" spans="3:6" x14ac:dyDescent="0.2">
      <c r="C76" s="29"/>
      <c r="D76" s="29"/>
      <c r="E76" s="29"/>
      <c r="F76" s="29"/>
    </row>
    <row r="77" spans="3:6" x14ac:dyDescent="0.2">
      <c r="C77" s="29"/>
      <c r="D77" s="29"/>
      <c r="E77" s="29"/>
      <c r="F77" s="29"/>
    </row>
    <row r="78" spans="3:6" x14ac:dyDescent="0.2">
      <c r="C78" s="29"/>
      <c r="D78" s="29"/>
      <c r="E78" s="29"/>
      <c r="F78" s="29"/>
    </row>
    <row r="79" spans="3:6" x14ac:dyDescent="0.2">
      <c r="C79" s="29"/>
      <c r="D79" s="29"/>
      <c r="E79" s="29"/>
      <c r="F79" s="29"/>
    </row>
    <row r="80" spans="3:6" x14ac:dyDescent="0.2">
      <c r="C80" s="29"/>
      <c r="D80" s="29"/>
      <c r="E80" s="29"/>
      <c r="F80" s="29"/>
    </row>
    <row r="81" spans="3:6" x14ac:dyDescent="0.2">
      <c r="C81" s="29"/>
      <c r="D81" s="29"/>
      <c r="E81" s="29"/>
      <c r="F81" s="29"/>
    </row>
    <row r="82" spans="3:6" x14ac:dyDescent="0.2">
      <c r="C82" s="29"/>
      <c r="D82" s="29"/>
      <c r="E82" s="29"/>
      <c r="F82" s="29"/>
    </row>
    <row r="83" spans="3:6" x14ac:dyDescent="0.2">
      <c r="C83" s="29"/>
      <c r="D83" s="29"/>
      <c r="E83" s="29"/>
      <c r="F83" s="29"/>
    </row>
    <row r="84" spans="3:6" x14ac:dyDescent="0.2">
      <c r="C84" s="29"/>
      <c r="D84" s="29"/>
      <c r="E84" s="29"/>
      <c r="F84" s="29"/>
    </row>
    <row r="85" spans="3:6" x14ac:dyDescent="0.2">
      <c r="C85" s="29"/>
      <c r="D85" s="29"/>
      <c r="E85" s="29"/>
      <c r="F85" s="29"/>
    </row>
    <row r="86" spans="3:6" x14ac:dyDescent="0.2">
      <c r="C86" s="29"/>
      <c r="D86" s="29"/>
      <c r="E86" s="29"/>
      <c r="F86" s="29"/>
    </row>
    <row r="87" spans="3:6" x14ac:dyDescent="0.2">
      <c r="C87" s="29"/>
      <c r="D87" s="29"/>
      <c r="E87" s="29"/>
      <c r="F87" s="29"/>
    </row>
    <row r="88" spans="3:6" x14ac:dyDescent="0.2">
      <c r="C88" s="29"/>
      <c r="D88" s="29"/>
      <c r="E88" s="29"/>
      <c r="F88" s="29"/>
    </row>
    <row r="89" spans="3:6" x14ac:dyDescent="0.2">
      <c r="C89" s="29"/>
      <c r="D89" s="29"/>
      <c r="E89" s="29"/>
      <c r="F89" s="29"/>
    </row>
    <row r="90" spans="3:6" x14ac:dyDescent="0.2">
      <c r="C90" s="29"/>
      <c r="D90" s="29"/>
      <c r="E90" s="29"/>
      <c r="F90" s="29"/>
    </row>
    <row r="91" spans="3:6" x14ac:dyDescent="0.2">
      <c r="C91" s="29"/>
      <c r="D91" s="29"/>
      <c r="E91" s="29"/>
      <c r="F91" s="29"/>
    </row>
    <row r="92" spans="3:6" x14ac:dyDescent="0.2">
      <c r="C92" s="29"/>
      <c r="D92" s="29"/>
      <c r="E92" s="29"/>
      <c r="F92" s="29"/>
    </row>
    <row r="93" spans="3:6" x14ac:dyDescent="0.2">
      <c r="C93" s="29"/>
      <c r="D93" s="29"/>
      <c r="E93" s="29"/>
      <c r="F93" s="29"/>
    </row>
    <row r="94" spans="3:6" x14ac:dyDescent="0.2">
      <c r="C94" s="29"/>
      <c r="D94" s="29"/>
      <c r="E94" s="29"/>
      <c r="F94" s="29"/>
    </row>
    <row r="95" spans="3:6" x14ac:dyDescent="0.2">
      <c r="C95" s="29"/>
      <c r="D95" s="29"/>
      <c r="E95" s="29"/>
      <c r="F95" s="29"/>
    </row>
    <row r="96" spans="3:6" x14ac:dyDescent="0.2">
      <c r="C96" s="29"/>
      <c r="D96" s="29"/>
      <c r="E96" s="29"/>
      <c r="F96" s="29"/>
    </row>
    <row r="97" spans="3:6" x14ac:dyDescent="0.2">
      <c r="C97" s="29"/>
      <c r="D97" s="29"/>
      <c r="E97" s="29"/>
      <c r="F97" s="29"/>
    </row>
    <row r="98" spans="3:6" x14ac:dyDescent="0.2">
      <c r="C98" s="29"/>
      <c r="D98" s="29"/>
      <c r="E98" s="29"/>
      <c r="F98" s="29"/>
    </row>
    <row r="99" spans="3:6" x14ac:dyDescent="0.2">
      <c r="C99" s="29"/>
      <c r="D99" s="29"/>
      <c r="E99" s="29"/>
      <c r="F99" s="29"/>
    </row>
    <row r="100" spans="3:6" x14ac:dyDescent="0.2">
      <c r="C100" s="29"/>
      <c r="D100" s="29"/>
      <c r="E100" s="29"/>
      <c r="F100" s="29"/>
    </row>
    <row r="101" spans="3:6" x14ac:dyDescent="0.2">
      <c r="C101" s="29"/>
      <c r="D101" s="29"/>
      <c r="E101" s="29"/>
      <c r="F101" s="29"/>
    </row>
    <row r="102" spans="3:6" x14ac:dyDescent="0.2">
      <c r="C102" s="29"/>
      <c r="D102" s="29"/>
      <c r="E102" s="29"/>
      <c r="F102" s="29"/>
    </row>
    <row r="103" spans="3:6" x14ac:dyDescent="0.2">
      <c r="C103" s="29"/>
      <c r="D103" s="29"/>
      <c r="E103" s="29"/>
      <c r="F103" s="29"/>
    </row>
    <row r="104" spans="3:6" x14ac:dyDescent="0.2">
      <c r="C104" s="29"/>
      <c r="D104" s="29"/>
      <c r="E104" s="29"/>
      <c r="F104" s="29"/>
    </row>
    <row r="105" spans="3:6" x14ac:dyDescent="0.2">
      <c r="C105" s="29"/>
      <c r="D105" s="29"/>
      <c r="E105" s="29"/>
      <c r="F105" s="29"/>
    </row>
    <row r="106" spans="3:6" x14ac:dyDescent="0.2">
      <c r="C106" s="29"/>
      <c r="D106" s="29"/>
      <c r="E106" s="29"/>
      <c r="F106" s="29"/>
    </row>
    <row r="107" spans="3:6" x14ac:dyDescent="0.2">
      <c r="C107" s="29"/>
      <c r="D107" s="29"/>
      <c r="E107" s="29"/>
      <c r="F107" s="29"/>
    </row>
    <row r="108" spans="3:6" x14ac:dyDescent="0.2">
      <c r="C108" s="29"/>
      <c r="D108" s="29"/>
      <c r="E108" s="29"/>
      <c r="F108" s="29"/>
    </row>
    <row r="109" spans="3:6" x14ac:dyDescent="0.2">
      <c r="C109" s="29"/>
      <c r="D109" s="29"/>
      <c r="E109" s="29"/>
      <c r="F109" s="29"/>
    </row>
    <row r="110" spans="3:6" x14ac:dyDescent="0.2">
      <c r="C110" s="29"/>
      <c r="D110" s="29"/>
      <c r="E110" s="29"/>
      <c r="F110" s="29"/>
    </row>
    <row r="111" spans="3:6" x14ac:dyDescent="0.2">
      <c r="C111" s="29"/>
      <c r="D111" s="29"/>
      <c r="E111" s="29"/>
      <c r="F111" s="29"/>
    </row>
    <row r="112" spans="3:6" x14ac:dyDescent="0.2">
      <c r="C112" s="29"/>
      <c r="D112" s="29"/>
      <c r="E112" s="29"/>
      <c r="F112" s="29"/>
    </row>
    <row r="113" spans="3:6" x14ac:dyDescent="0.2">
      <c r="C113" s="29"/>
      <c r="D113" s="29"/>
      <c r="E113" s="29"/>
      <c r="F113" s="29"/>
    </row>
    <row r="114" spans="3:6" x14ac:dyDescent="0.2">
      <c r="C114" s="29"/>
      <c r="D114" s="29"/>
      <c r="E114" s="29"/>
      <c r="F114" s="29"/>
    </row>
    <row r="115" spans="3:6" x14ac:dyDescent="0.2">
      <c r="C115" s="29"/>
      <c r="D115" s="29"/>
      <c r="E115" s="29"/>
      <c r="F115" s="29"/>
    </row>
    <row r="116" spans="3:6" x14ac:dyDescent="0.2">
      <c r="C116" s="29"/>
      <c r="D116" s="29"/>
      <c r="E116" s="29"/>
      <c r="F116" s="29"/>
    </row>
    <row r="117" spans="3:6" x14ac:dyDescent="0.2">
      <c r="C117" s="29"/>
      <c r="D117" s="29"/>
      <c r="E117" s="29"/>
      <c r="F117" s="29"/>
    </row>
    <row r="118" spans="3:6" x14ac:dyDescent="0.2">
      <c r="C118" s="29"/>
      <c r="D118" s="29"/>
      <c r="E118" s="29"/>
      <c r="F118" s="29"/>
    </row>
    <row r="119" spans="3:6" x14ac:dyDescent="0.2">
      <c r="C119" s="29"/>
      <c r="D119" s="29"/>
      <c r="E119" s="29"/>
      <c r="F119" s="29"/>
    </row>
    <row r="120" spans="3:6" x14ac:dyDescent="0.2">
      <c r="C120" s="29"/>
      <c r="D120" s="29"/>
      <c r="E120" s="29"/>
      <c r="F120" s="29"/>
    </row>
    <row r="121" spans="3:6" x14ac:dyDescent="0.2">
      <c r="C121" s="29"/>
      <c r="D121" s="29"/>
      <c r="E121" s="29"/>
      <c r="F121" s="29"/>
    </row>
    <row r="122" spans="3:6" x14ac:dyDescent="0.2">
      <c r="C122" s="29"/>
      <c r="D122" s="29"/>
      <c r="E122" s="29"/>
      <c r="F122" s="29"/>
    </row>
    <row r="123" spans="3:6" x14ac:dyDescent="0.2">
      <c r="C123" s="29"/>
      <c r="D123" s="29"/>
      <c r="E123" s="29"/>
      <c r="F123" s="29"/>
    </row>
    <row r="124" spans="3:6" x14ac:dyDescent="0.2">
      <c r="C124" s="29"/>
      <c r="D124" s="29"/>
      <c r="E124" s="29"/>
      <c r="F124" s="29"/>
    </row>
    <row r="125" spans="3:6" x14ac:dyDescent="0.2">
      <c r="C125" s="29"/>
      <c r="D125" s="29"/>
      <c r="E125" s="29"/>
      <c r="F125" s="29"/>
    </row>
    <row r="126" spans="3:6" x14ac:dyDescent="0.2">
      <c r="C126" s="29"/>
      <c r="D126" s="29"/>
      <c r="E126" s="29"/>
      <c r="F126" s="29"/>
    </row>
    <row r="127" spans="3:6" x14ac:dyDescent="0.2">
      <c r="C127" s="29"/>
      <c r="D127" s="29"/>
      <c r="E127" s="29"/>
      <c r="F127" s="29"/>
    </row>
    <row r="128" spans="3:6" x14ac:dyDescent="0.2">
      <c r="C128" s="29"/>
      <c r="D128" s="29"/>
      <c r="E128" s="29"/>
      <c r="F128" s="29"/>
    </row>
    <row r="129" spans="3:6" x14ac:dyDescent="0.2">
      <c r="C129" s="29"/>
      <c r="D129" s="29"/>
      <c r="E129" s="29"/>
      <c r="F129" s="29"/>
    </row>
    <row r="130" spans="3:6" x14ac:dyDescent="0.2">
      <c r="C130" s="29"/>
      <c r="D130" s="29"/>
      <c r="E130" s="29"/>
      <c r="F130" s="29"/>
    </row>
    <row r="131" spans="3:6" x14ac:dyDescent="0.2">
      <c r="C131" s="29"/>
      <c r="D131" s="29"/>
      <c r="E131" s="29"/>
      <c r="F131" s="29"/>
    </row>
    <row r="132" spans="3:6" x14ac:dyDescent="0.2">
      <c r="C132" s="29"/>
      <c r="D132" s="29"/>
      <c r="E132" s="29"/>
      <c r="F132" s="29"/>
    </row>
    <row r="133" spans="3:6" x14ac:dyDescent="0.2">
      <c r="C133" s="29"/>
      <c r="D133" s="29"/>
      <c r="E133" s="29"/>
      <c r="F133" s="29"/>
    </row>
    <row r="134" spans="3:6" x14ac:dyDescent="0.2">
      <c r="C134" s="29"/>
      <c r="D134" s="29"/>
      <c r="E134" s="29"/>
      <c r="F134" s="29"/>
    </row>
    <row r="135" spans="3:6" x14ac:dyDescent="0.2">
      <c r="C135" s="29"/>
      <c r="D135" s="29"/>
      <c r="E135" s="29"/>
      <c r="F135" s="29"/>
    </row>
    <row r="136" spans="3:6" x14ac:dyDescent="0.2">
      <c r="C136" s="29"/>
      <c r="D136" s="29"/>
      <c r="E136" s="29"/>
      <c r="F136" s="29"/>
    </row>
    <row r="137" spans="3:6" x14ac:dyDescent="0.2">
      <c r="C137" s="29"/>
      <c r="D137" s="29"/>
      <c r="E137" s="29"/>
      <c r="F137" s="29"/>
    </row>
    <row r="138" spans="3:6" x14ac:dyDescent="0.2">
      <c r="C138" s="29"/>
      <c r="D138" s="29"/>
      <c r="E138" s="29"/>
      <c r="F138" s="29"/>
    </row>
    <row r="139" spans="3:6" x14ac:dyDescent="0.2">
      <c r="C139" s="29"/>
      <c r="D139" s="29"/>
      <c r="E139" s="29"/>
      <c r="F139" s="29"/>
    </row>
    <row r="140" spans="3:6" x14ac:dyDescent="0.2">
      <c r="C140" s="29"/>
      <c r="D140" s="29"/>
      <c r="E140" s="29"/>
      <c r="F140" s="29"/>
    </row>
    <row r="141" spans="3:6" x14ac:dyDescent="0.2">
      <c r="C141" s="29"/>
      <c r="D141" s="29"/>
      <c r="E141" s="29"/>
      <c r="F141" s="29"/>
    </row>
    <row r="142" spans="3:6" x14ac:dyDescent="0.2">
      <c r="C142" s="29"/>
      <c r="D142" s="29"/>
      <c r="E142" s="29"/>
      <c r="F142" s="29"/>
    </row>
    <row r="143" spans="3:6" x14ac:dyDescent="0.2">
      <c r="C143" s="29"/>
      <c r="D143" s="29"/>
      <c r="E143" s="29"/>
      <c r="F143" s="29"/>
    </row>
    <row r="144" spans="3:6" x14ac:dyDescent="0.2">
      <c r="C144" s="29"/>
      <c r="D144" s="29"/>
      <c r="E144" s="29"/>
      <c r="F144" s="29"/>
    </row>
    <row r="145" spans="3:6" x14ac:dyDescent="0.2">
      <c r="C145" s="29"/>
      <c r="D145" s="29"/>
      <c r="E145" s="29"/>
      <c r="F145" s="29"/>
    </row>
    <row r="146" spans="3:6" x14ac:dyDescent="0.2">
      <c r="C146" s="29"/>
      <c r="D146" s="29"/>
      <c r="E146" s="29"/>
      <c r="F146" s="29"/>
    </row>
    <row r="147" spans="3:6" x14ac:dyDescent="0.2">
      <c r="C147" s="29"/>
      <c r="D147" s="29"/>
      <c r="E147" s="29"/>
      <c r="F147" s="29"/>
    </row>
    <row r="148" spans="3:6" x14ac:dyDescent="0.2">
      <c r="C148" s="29"/>
      <c r="D148" s="29"/>
      <c r="E148" s="29"/>
      <c r="F148" s="29"/>
    </row>
    <row r="149" spans="3:6" x14ac:dyDescent="0.2">
      <c r="C149" s="29"/>
      <c r="D149" s="29"/>
      <c r="E149" s="29"/>
      <c r="F149" s="29"/>
    </row>
    <row r="150" spans="3:6" x14ac:dyDescent="0.2">
      <c r="C150" s="29"/>
      <c r="D150" s="29"/>
      <c r="E150" s="29"/>
      <c r="F150" s="29"/>
    </row>
    <row r="151" spans="3:6" x14ac:dyDescent="0.2">
      <c r="C151" s="29"/>
      <c r="D151" s="29"/>
      <c r="E151" s="29"/>
      <c r="F151" s="29"/>
    </row>
    <row r="152" spans="3:6" x14ac:dyDescent="0.2">
      <c r="C152" s="29"/>
      <c r="D152" s="29"/>
      <c r="E152" s="29"/>
      <c r="F152" s="29"/>
    </row>
    <row r="153" spans="3:6" x14ac:dyDescent="0.2">
      <c r="C153" s="29"/>
      <c r="D153" s="29"/>
      <c r="E153" s="29"/>
      <c r="F153" s="29"/>
    </row>
    <row r="154" spans="3:6" x14ac:dyDescent="0.2">
      <c r="C154" s="29"/>
      <c r="D154" s="29"/>
      <c r="E154" s="29"/>
      <c r="F154" s="29"/>
    </row>
    <row r="155" spans="3:6" x14ac:dyDescent="0.2">
      <c r="C155" s="29"/>
      <c r="D155" s="29"/>
      <c r="E155" s="29"/>
      <c r="F155" s="29"/>
    </row>
    <row r="156" spans="3:6" x14ac:dyDescent="0.2">
      <c r="C156" s="29"/>
      <c r="D156" s="29"/>
      <c r="E156" s="29"/>
      <c r="F156" s="29"/>
    </row>
    <row r="157" spans="3:6" x14ac:dyDescent="0.2">
      <c r="C157" s="29"/>
      <c r="D157" s="29"/>
      <c r="E157" s="29"/>
      <c r="F157" s="29"/>
    </row>
    <row r="158" spans="3:6" x14ac:dyDescent="0.2">
      <c r="C158" s="29"/>
      <c r="D158" s="29"/>
      <c r="E158" s="29"/>
      <c r="F158" s="29"/>
    </row>
    <row r="159" spans="3:6" x14ac:dyDescent="0.2">
      <c r="C159" s="29"/>
      <c r="D159" s="29"/>
      <c r="E159" s="29"/>
      <c r="F159" s="29"/>
    </row>
    <row r="160" spans="3:6" x14ac:dyDescent="0.2">
      <c r="C160" s="29"/>
      <c r="D160" s="29"/>
      <c r="E160" s="29"/>
      <c r="F160" s="29"/>
    </row>
    <row r="161" spans="3:6" x14ac:dyDescent="0.2">
      <c r="C161" s="29"/>
      <c r="D161" s="29"/>
      <c r="E161" s="29"/>
      <c r="F161" s="29"/>
    </row>
    <row r="162" spans="3:6" x14ac:dyDescent="0.2">
      <c r="C162" s="29"/>
      <c r="D162" s="29"/>
      <c r="E162" s="29"/>
      <c r="F162" s="29"/>
    </row>
    <row r="163" spans="3:6" x14ac:dyDescent="0.2">
      <c r="C163" s="29"/>
      <c r="D163" s="29"/>
      <c r="E163" s="29"/>
      <c r="F163" s="29"/>
    </row>
    <row r="164" spans="3:6" x14ac:dyDescent="0.2">
      <c r="C164" s="29"/>
      <c r="D164" s="29"/>
      <c r="E164" s="29"/>
      <c r="F164" s="29"/>
    </row>
    <row r="165" spans="3:6" x14ac:dyDescent="0.2">
      <c r="C165" s="29"/>
      <c r="D165" s="29"/>
      <c r="E165" s="29"/>
      <c r="F165" s="29"/>
    </row>
    <row r="166" spans="3:6" x14ac:dyDescent="0.2">
      <c r="C166" s="29"/>
      <c r="D166" s="29"/>
      <c r="E166" s="29"/>
      <c r="F166" s="29"/>
    </row>
    <row r="167" spans="3:6" x14ac:dyDescent="0.2">
      <c r="C167" s="29"/>
      <c r="D167" s="29"/>
      <c r="E167" s="29"/>
      <c r="F167" s="29"/>
    </row>
    <row r="168" spans="3:6" x14ac:dyDescent="0.2">
      <c r="C168" s="29"/>
      <c r="D168" s="29"/>
      <c r="E168" s="29"/>
      <c r="F168" s="29"/>
    </row>
    <row r="169" spans="3:6" x14ac:dyDescent="0.2">
      <c r="C169" s="29"/>
      <c r="D169" s="29"/>
      <c r="E169" s="29"/>
      <c r="F169" s="29"/>
    </row>
    <row r="170" spans="3:6" x14ac:dyDescent="0.2">
      <c r="C170" s="29"/>
      <c r="D170" s="29"/>
      <c r="E170" s="29"/>
      <c r="F170" s="29"/>
    </row>
    <row r="171" spans="3:6" x14ac:dyDescent="0.2">
      <c r="C171" s="29"/>
      <c r="D171" s="29"/>
      <c r="E171" s="29"/>
      <c r="F171" s="29"/>
    </row>
    <row r="172" spans="3:6" x14ac:dyDescent="0.2">
      <c r="C172" s="29"/>
      <c r="D172" s="29"/>
      <c r="E172" s="29"/>
      <c r="F172" s="29"/>
    </row>
    <row r="173" spans="3:6" x14ac:dyDescent="0.2">
      <c r="C173" s="29"/>
      <c r="D173" s="29"/>
      <c r="E173" s="29"/>
      <c r="F173" s="29"/>
    </row>
    <row r="174" spans="3:6" x14ac:dyDescent="0.2">
      <c r="C174" s="29"/>
      <c r="D174" s="29"/>
      <c r="E174" s="29"/>
      <c r="F174" s="29"/>
    </row>
    <row r="175" spans="3:6" x14ac:dyDescent="0.2">
      <c r="C175" s="29"/>
      <c r="D175" s="29"/>
      <c r="E175" s="29"/>
      <c r="F175" s="29"/>
    </row>
    <row r="176" spans="3:6" x14ac:dyDescent="0.2">
      <c r="C176" s="29"/>
      <c r="D176" s="29"/>
      <c r="E176" s="29"/>
      <c r="F176" s="29"/>
    </row>
    <row r="177" spans="3:6" x14ac:dyDescent="0.2">
      <c r="C177" s="29"/>
      <c r="D177" s="29"/>
      <c r="E177" s="29"/>
      <c r="F177" s="29"/>
    </row>
    <row r="178" spans="3:6" x14ac:dyDescent="0.2">
      <c r="C178" s="29"/>
      <c r="D178" s="29"/>
      <c r="E178" s="29"/>
      <c r="F178" s="29"/>
    </row>
    <row r="179" spans="3:6" x14ac:dyDescent="0.2">
      <c r="C179" s="29"/>
      <c r="D179" s="29"/>
      <c r="E179" s="29"/>
      <c r="F179" s="29"/>
    </row>
    <row r="180" spans="3:6" x14ac:dyDescent="0.2">
      <c r="C180" s="29"/>
      <c r="D180" s="29"/>
      <c r="E180" s="29"/>
      <c r="F180" s="29"/>
    </row>
    <row r="181" spans="3:6" x14ac:dyDescent="0.2">
      <c r="C181" s="29"/>
      <c r="D181" s="29"/>
      <c r="E181" s="29"/>
      <c r="F181" s="29"/>
    </row>
    <row r="182" spans="3:6" x14ac:dyDescent="0.2">
      <c r="C182" s="29"/>
      <c r="D182" s="29"/>
      <c r="E182" s="29"/>
      <c r="F182" s="29"/>
    </row>
    <row r="183" spans="3:6" x14ac:dyDescent="0.2">
      <c r="C183" s="29"/>
      <c r="D183" s="29"/>
      <c r="E183" s="29"/>
      <c r="F183" s="29"/>
    </row>
    <row r="184" spans="3:6" x14ac:dyDescent="0.2">
      <c r="C184" s="29"/>
      <c r="D184" s="29"/>
      <c r="E184" s="29"/>
      <c r="F184" s="29"/>
    </row>
    <row r="185" spans="3:6" x14ac:dyDescent="0.2">
      <c r="C185" s="29"/>
      <c r="D185" s="29"/>
      <c r="E185" s="29"/>
      <c r="F185" s="29"/>
    </row>
    <row r="186" spans="3:6" x14ac:dyDescent="0.2">
      <c r="C186" s="29"/>
      <c r="D186" s="29"/>
      <c r="E186" s="29"/>
      <c r="F186" s="29"/>
    </row>
    <row r="187" spans="3:6" x14ac:dyDescent="0.2">
      <c r="C187" s="29"/>
      <c r="D187" s="29"/>
      <c r="E187" s="29"/>
      <c r="F187" s="29"/>
    </row>
    <row r="188" spans="3:6" x14ac:dyDescent="0.2">
      <c r="C188" s="29"/>
      <c r="D188" s="29"/>
      <c r="E188" s="29"/>
      <c r="F188" s="29"/>
    </row>
    <row r="189" spans="3:6" x14ac:dyDescent="0.2">
      <c r="C189" s="29"/>
      <c r="D189" s="29"/>
      <c r="E189" s="29"/>
      <c r="F189" s="29"/>
    </row>
    <row r="190" spans="3:6" x14ac:dyDescent="0.2">
      <c r="C190" s="29"/>
      <c r="D190" s="29"/>
      <c r="E190" s="29"/>
      <c r="F190" s="29"/>
    </row>
    <row r="191" spans="3:6" x14ac:dyDescent="0.2">
      <c r="C191" s="29"/>
      <c r="D191" s="29"/>
      <c r="E191" s="29"/>
      <c r="F191" s="29"/>
    </row>
    <row r="192" spans="3:6" x14ac:dyDescent="0.2">
      <c r="C192" s="29"/>
      <c r="D192" s="29"/>
      <c r="E192" s="29"/>
      <c r="F192" s="29"/>
    </row>
    <row r="193" spans="3:6" x14ac:dyDescent="0.2">
      <c r="C193" s="29"/>
      <c r="D193" s="29"/>
      <c r="E193" s="29"/>
      <c r="F193" s="29"/>
    </row>
    <row r="194" spans="3:6" x14ac:dyDescent="0.2">
      <c r="C194" s="29"/>
      <c r="D194" s="29"/>
      <c r="E194" s="29"/>
      <c r="F194" s="29"/>
    </row>
    <row r="195" spans="3:6" x14ac:dyDescent="0.2">
      <c r="C195" s="29"/>
      <c r="D195" s="29"/>
      <c r="E195" s="29"/>
      <c r="F195" s="29"/>
    </row>
    <row r="196" spans="3:6" x14ac:dyDescent="0.2">
      <c r="C196" s="29"/>
      <c r="D196" s="29"/>
      <c r="E196" s="29"/>
      <c r="F196" s="29"/>
    </row>
    <row r="197" spans="3:6" x14ac:dyDescent="0.2">
      <c r="C197" s="29"/>
      <c r="D197" s="29"/>
      <c r="E197" s="29"/>
      <c r="F197" s="29"/>
    </row>
    <row r="198" spans="3:6" x14ac:dyDescent="0.2">
      <c r="C198" s="29"/>
      <c r="D198" s="29"/>
      <c r="E198" s="29"/>
      <c r="F198" s="29"/>
    </row>
    <row r="199" spans="3:6" x14ac:dyDescent="0.2">
      <c r="C199" s="29"/>
      <c r="D199" s="29"/>
      <c r="E199" s="29"/>
      <c r="F199" s="29"/>
    </row>
    <row r="200" spans="3:6" x14ac:dyDescent="0.2">
      <c r="C200" s="29"/>
      <c r="D200" s="29"/>
      <c r="E200" s="29"/>
      <c r="F200" s="29"/>
    </row>
    <row r="201" spans="3:6" x14ac:dyDescent="0.2">
      <c r="C201" s="29"/>
      <c r="D201" s="29"/>
      <c r="E201" s="29"/>
      <c r="F201" s="29"/>
    </row>
    <row r="202" spans="3:6" x14ac:dyDescent="0.2">
      <c r="C202" s="29"/>
      <c r="D202" s="29"/>
      <c r="E202" s="29"/>
      <c r="F202" s="29"/>
    </row>
    <row r="203" spans="3:6" x14ac:dyDescent="0.2">
      <c r="C203" s="29"/>
      <c r="D203" s="29"/>
      <c r="E203" s="29"/>
      <c r="F203" s="29"/>
    </row>
    <row r="204" spans="3:6" x14ac:dyDescent="0.2">
      <c r="C204" s="29"/>
      <c r="D204" s="29"/>
      <c r="E204" s="29"/>
      <c r="F204" s="29"/>
    </row>
    <row r="205" spans="3:6" x14ac:dyDescent="0.2">
      <c r="C205" s="29"/>
      <c r="D205" s="29"/>
      <c r="E205" s="29"/>
      <c r="F205" s="29"/>
    </row>
    <row r="206" spans="3:6" x14ac:dyDescent="0.2">
      <c r="C206" s="29"/>
      <c r="D206" s="29"/>
      <c r="E206" s="29"/>
      <c r="F206" s="29"/>
    </row>
    <row r="207" spans="3:6" x14ac:dyDescent="0.2">
      <c r="C207" s="29"/>
      <c r="D207" s="29"/>
      <c r="E207" s="29"/>
      <c r="F207" s="29"/>
    </row>
    <row r="208" spans="3:6" x14ac:dyDescent="0.2">
      <c r="C208" s="29"/>
      <c r="D208" s="29"/>
      <c r="E208" s="29"/>
      <c r="F208" s="29"/>
    </row>
    <row r="209" spans="3:6" x14ac:dyDescent="0.2">
      <c r="C209" s="29"/>
      <c r="D209" s="29"/>
      <c r="E209" s="29"/>
      <c r="F209" s="29"/>
    </row>
    <row r="210" spans="3:6" x14ac:dyDescent="0.2">
      <c r="C210" s="29"/>
      <c r="D210" s="29"/>
      <c r="E210" s="29"/>
      <c r="F210" s="29"/>
    </row>
    <row r="211" spans="3:6" x14ac:dyDescent="0.2">
      <c r="C211" s="29"/>
      <c r="D211" s="29"/>
      <c r="E211" s="29"/>
      <c r="F211" s="29"/>
    </row>
    <row r="212" spans="3:6" x14ac:dyDescent="0.2">
      <c r="C212" s="29"/>
      <c r="D212" s="29"/>
      <c r="E212" s="29"/>
      <c r="F212" s="29"/>
    </row>
    <row r="213" spans="3:6" x14ac:dyDescent="0.2">
      <c r="C213" s="29"/>
      <c r="D213" s="29"/>
      <c r="E213" s="29"/>
      <c r="F213" s="29"/>
    </row>
    <row r="214" spans="3:6" x14ac:dyDescent="0.2">
      <c r="C214" s="29"/>
      <c r="D214" s="29"/>
      <c r="E214" s="29"/>
      <c r="F214" s="29"/>
    </row>
    <row r="215" spans="3:6" x14ac:dyDescent="0.2">
      <c r="C215" s="29"/>
      <c r="D215" s="29"/>
      <c r="E215" s="29"/>
      <c r="F215" s="29"/>
    </row>
    <row r="216" spans="3:6" x14ac:dyDescent="0.2">
      <c r="C216" s="29"/>
      <c r="D216" s="29"/>
      <c r="E216" s="29"/>
      <c r="F216" s="29"/>
    </row>
    <row r="217" spans="3:6" x14ac:dyDescent="0.2">
      <c r="C217" s="29"/>
      <c r="D217" s="29"/>
      <c r="E217" s="29"/>
      <c r="F217" s="29"/>
    </row>
    <row r="218" spans="3:6" x14ac:dyDescent="0.2">
      <c r="C218" s="29"/>
      <c r="D218" s="29"/>
      <c r="E218" s="29"/>
      <c r="F218" s="29"/>
    </row>
    <row r="219" spans="3:6" x14ac:dyDescent="0.2">
      <c r="C219" s="29"/>
      <c r="D219" s="29"/>
      <c r="E219" s="29"/>
      <c r="F219" s="29"/>
    </row>
    <row r="220" spans="3:6" x14ac:dyDescent="0.2">
      <c r="C220" s="29"/>
      <c r="D220" s="29"/>
      <c r="E220" s="29"/>
      <c r="F220" s="29"/>
    </row>
    <row r="221" spans="3:6" x14ac:dyDescent="0.2">
      <c r="C221" s="29"/>
      <c r="D221" s="29"/>
      <c r="E221" s="29"/>
      <c r="F221" s="29"/>
    </row>
    <row r="222" spans="3:6" x14ac:dyDescent="0.2">
      <c r="C222" s="29"/>
      <c r="D222" s="29"/>
      <c r="E222" s="29"/>
      <c r="F222" s="29"/>
    </row>
    <row r="223" spans="3:6" x14ac:dyDescent="0.2">
      <c r="C223" s="29"/>
      <c r="D223" s="29"/>
      <c r="E223" s="29"/>
      <c r="F223" s="29"/>
    </row>
    <row r="224" spans="3:6" x14ac:dyDescent="0.2">
      <c r="C224" s="29"/>
      <c r="D224" s="29"/>
      <c r="E224" s="29"/>
      <c r="F224" s="29"/>
    </row>
    <row r="225" spans="3:6" x14ac:dyDescent="0.2">
      <c r="C225" s="29"/>
      <c r="D225" s="29"/>
      <c r="E225" s="29"/>
      <c r="F225" s="29"/>
    </row>
    <row r="226" spans="3:6" x14ac:dyDescent="0.2">
      <c r="C226" s="29"/>
      <c r="D226" s="29"/>
      <c r="E226" s="29"/>
      <c r="F226" s="29"/>
    </row>
    <row r="227" spans="3:6" x14ac:dyDescent="0.2">
      <c r="C227" s="29"/>
      <c r="D227" s="29"/>
      <c r="E227" s="29"/>
      <c r="F227" s="29"/>
    </row>
    <row r="228" spans="3:6" x14ac:dyDescent="0.2">
      <c r="C228" s="29"/>
      <c r="D228" s="29"/>
      <c r="E228" s="29"/>
      <c r="F228" s="29"/>
    </row>
    <row r="229" spans="3:6" x14ac:dyDescent="0.2">
      <c r="C229" s="29"/>
      <c r="D229" s="29"/>
      <c r="E229" s="29"/>
      <c r="F229" s="29"/>
    </row>
    <row r="230" spans="3:6" x14ac:dyDescent="0.2">
      <c r="C230" s="29"/>
      <c r="D230" s="29"/>
      <c r="E230" s="29"/>
      <c r="F230" s="29"/>
    </row>
    <row r="231" spans="3:6" x14ac:dyDescent="0.2">
      <c r="C231" s="29"/>
      <c r="D231" s="29"/>
      <c r="E231" s="29"/>
      <c r="F231" s="29"/>
    </row>
    <row r="232" spans="3:6" x14ac:dyDescent="0.2">
      <c r="C232" s="29"/>
      <c r="D232" s="29"/>
      <c r="E232" s="29"/>
      <c r="F232" s="29"/>
    </row>
    <row r="233" spans="3:6" x14ac:dyDescent="0.2">
      <c r="C233" s="29"/>
      <c r="D233" s="29"/>
      <c r="E233" s="29"/>
      <c r="F233" s="29"/>
    </row>
    <row r="234" spans="3:6" x14ac:dyDescent="0.2">
      <c r="C234" s="29"/>
      <c r="D234" s="29"/>
      <c r="E234" s="29"/>
      <c r="F234" s="29"/>
    </row>
    <row r="235" spans="3:6" x14ac:dyDescent="0.2">
      <c r="C235" s="29"/>
      <c r="D235" s="29"/>
      <c r="E235" s="29"/>
      <c r="F235" s="29"/>
    </row>
    <row r="236" spans="3:6" x14ac:dyDescent="0.2">
      <c r="C236" s="29"/>
      <c r="D236" s="29"/>
      <c r="E236" s="29"/>
      <c r="F236" s="29"/>
    </row>
    <row r="237" spans="3:6" x14ac:dyDescent="0.2">
      <c r="C237" s="29"/>
      <c r="D237" s="29"/>
      <c r="E237" s="29"/>
      <c r="F237" s="29"/>
    </row>
    <row r="238" spans="3:6" x14ac:dyDescent="0.2">
      <c r="C238" s="29"/>
      <c r="D238" s="29"/>
      <c r="E238" s="29"/>
      <c r="F238" s="29"/>
    </row>
    <row r="239" spans="3:6" x14ac:dyDescent="0.2">
      <c r="C239" s="29"/>
      <c r="D239" s="29"/>
      <c r="E239" s="29"/>
      <c r="F239" s="29"/>
    </row>
    <row r="240" spans="3:6" x14ac:dyDescent="0.2">
      <c r="C240" s="29"/>
      <c r="D240" s="29"/>
      <c r="E240" s="29"/>
      <c r="F240" s="29"/>
    </row>
    <row r="241" spans="3:6" x14ac:dyDescent="0.2">
      <c r="C241" s="29"/>
      <c r="D241" s="29"/>
      <c r="E241" s="29"/>
      <c r="F241" s="29"/>
    </row>
    <row r="242" spans="3:6" x14ac:dyDescent="0.2">
      <c r="C242" s="29"/>
      <c r="D242" s="29"/>
      <c r="E242" s="29"/>
      <c r="F242" s="29"/>
    </row>
    <row r="243" spans="3:6" x14ac:dyDescent="0.2">
      <c r="C243" s="29"/>
      <c r="D243" s="29"/>
      <c r="E243" s="29"/>
      <c r="F243" s="29"/>
    </row>
    <row r="244" spans="3:6" x14ac:dyDescent="0.2">
      <c r="C244" s="29"/>
      <c r="D244" s="29"/>
      <c r="E244" s="29"/>
      <c r="F244" s="29"/>
    </row>
    <row r="245" spans="3:6" x14ac:dyDescent="0.2">
      <c r="C245" s="29"/>
      <c r="D245" s="29"/>
      <c r="E245" s="29"/>
      <c r="F245" s="29"/>
    </row>
    <row r="246" spans="3:6" x14ac:dyDescent="0.2">
      <c r="C246" s="29"/>
      <c r="D246" s="29"/>
      <c r="E246" s="29"/>
      <c r="F246" s="29"/>
    </row>
    <row r="247" spans="3:6" x14ac:dyDescent="0.2">
      <c r="C247" s="29"/>
      <c r="D247" s="29"/>
      <c r="E247" s="29"/>
      <c r="F247" s="29"/>
    </row>
    <row r="248" spans="3:6" x14ac:dyDescent="0.2">
      <c r="C248" s="29"/>
      <c r="D248" s="29"/>
      <c r="E248" s="29"/>
      <c r="F248" s="29"/>
    </row>
    <row r="249" spans="3:6" x14ac:dyDescent="0.2">
      <c r="C249" s="29"/>
      <c r="D249" s="29"/>
      <c r="E249" s="29"/>
      <c r="F249" s="29"/>
    </row>
    <row r="250" spans="3:6" x14ac:dyDescent="0.2">
      <c r="C250" s="29"/>
      <c r="D250" s="29"/>
      <c r="E250" s="29"/>
      <c r="F250" s="29"/>
    </row>
    <row r="251" spans="3:6" x14ac:dyDescent="0.2">
      <c r="C251" s="29"/>
      <c r="D251" s="29"/>
      <c r="E251" s="29"/>
      <c r="F251" s="29"/>
    </row>
    <row r="252" spans="3:6" x14ac:dyDescent="0.2">
      <c r="C252" s="29"/>
      <c r="D252" s="29"/>
      <c r="E252" s="29"/>
      <c r="F252" s="29"/>
    </row>
    <row r="253" spans="3:6" x14ac:dyDescent="0.2">
      <c r="C253" s="29"/>
      <c r="D253" s="29"/>
      <c r="E253" s="29"/>
      <c r="F253" s="29"/>
    </row>
  </sheetData>
  <customSheetViews>
    <customSheetView guid="{A7BD13BF-7E57-44D7-9B02-43E2FA430390}" scale="90" showPageBreaks="1" showGridLines="0" fitToPage="1" printArea="1" topLeftCell="A4">
      <selection activeCell="D37" sqref="D37"/>
      <pageMargins left="0.5" right="0.5" top="0.5" bottom="0.5" header="0.25" footer="0.25"/>
      <printOptions horizontalCentered="1"/>
      <pageSetup scale="97" orientation="landscape" r:id="rId1"/>
      <headerFooter alignWithMargins="0"/>
    </customSheetView>
    <customSheetView guid="{C29552AC-6B79-447F-B962-713ED43BDF1A}" scale="90" showPageBreaks="1" fitToPage="1" printArea="1" topLeftCell="F16">
      <selection activeCell="H36" sqref="H36"/>
      <pageMargins left="0.5" right="0.5" top="0.5" bottom="0.5" header="0.25" footer="0.25"/>
      <printOptions horizontalCentered="1"/>
      <pageSetup scale="96" orientation="landscape" r:id="rId2"/>
      <headerFooter alignWithMargins="0"/>
    </customSheetView>
    <customSheetView guid="{6ED201AA-AB2E-4FE7-B06B-B07932512C4D}" scale="90" showPageBreaks="1" fitToPage="1" printArea="1" topLeftCell="A4">
      <selection activeCell="G11" sqref="G11"/>
      <pageMargins left="0.5" right="0.5" top="0.5" bottom="0.5" header="0.25" footer="0.25"/>
      <printOptions horizontalCentered="1"/>
      <pageSetup scale="97" orientation="landscape" r:id="rId3"/>
      <headerFooter alignWithMargins="0"/>
    </customSheetView>
    <customSheetView guid="{D711E10B-9441-4991-A2CB-ED400E35790D}" scale="90" showGridLines="0" fitToPage="1" topLeftCell="A4">
      <selection activeCell="E36" sqref="E36"/>
      <pageMargins left="0.5" right="0.5" top="0.5" bottom="0.5" header="0.25" footer="0.25"/>
      <printOptions horizontalCentered="1"/>
      <pageSetup scale="97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theme="4" tint="0.59999389629810485"/>
    <pageSetUpPr fitToPage="1"/>
  </sheetPr>
  <dimension ref="A1:Q36"/>
  <sheetViews>
    <sheetView showGridLines="0" zoomScale="90" zoomScaleNormal="90" workbookViewId="0">
      <selection activeCell="L32" sqref="L32"/>
    </sheetView>
  </sheetViews>
  <sheetFormatPr defaultColWidth="9.140625" defaultRowHeight="15" x14ac:dyDescent="0.2"/>
  <cols>
    <col min="1" max="1" width="5.7109375" style="1" customWidth="1"/>
    <col min="2" max="2" width="41.7109375" style="1" customWidth="1"/>
    <col min="3" max="5" width="13.7109375" style="8" customWidth="1"/>
    <col min="6" max="6" width="16.5703125" style="8" customWidth="1"/>
    <col min="7" max="8" width="13.7109375" style="8" customWidth="1"/>
    <col min="9" max="10" width="9.140625" style="8"/>
    <col min="11" max="11" width="15.140625" style="8" customWidth="1"/>
    <col min="12" max="12" width="18.140625" style="8" customWidth="1"/>
    <col min="13" max="13" width="12.85546875" style="8" customWidth="1"/>
    <col min="14" max="14" width="14.5703125" style="8" customWidth="1"/>
    <col min="15" max="16" width="12.85546875" style="8" customWidth="1"/>
    <col min="17" max="17" width="13.85546875" style="8" customWidth="1"/>
    <col min="18" max="18" width="9.140625" style="8"/>
    <col min="19" max="19" width="12.85546875" style="8" customWidth="1"/>
    <col min="20" max="16384" width="9.140625" style="8"/>
  </cols>
  <sheetData>
    <row r="1" spans="1:17" x14ac:dyDescent="0.2">
      <c r="A1" s="1" t="s">
        <v>1</v>
      </c>
      <c r="H1" s="499" t="s">
        <v>750</v>
      </c>
      <c r="L1" s="8" t="s">
        <v>802</v>
      </c>
    </row>
    <row r="2" spans="1:17" x14ac:dyDescent="0.2">
      <c r="A2" s="3" t="str">
        <f>+'KTW-4,5,8 p1 - Adjust Issues'!A3</f>
        <v>Test Year Based on Twelve Months Ended September 30, 2020</v>
      </c>
      <c r="H2" s="499" t="s">
        <v>771</v>
      </c>
    </row>
    <row r="3" spans="1:17" x14ac:dyDescent="0.2">
      <c r="A3" s="1" t="s">
        <v>4</v>
      </c>
      <c r="H3" s="23"/>
      <c r="L3" s="8" t="s">
        <v>488</v>
      </c>
      <c r="N3" s="8">
        <v>7302843</v>
      </c>
    </row>
    <row r="4" spans="1:17" x14ac:dyDescent="0.2">
      <c r="G4" s="186"/>
      <c r="L4" s="8" t="s">
        <v>489</v>
      </c>
      <c r="N4" s="8">
        <v>398052.37</v>
      </c>
    </row>
    <row r="5" spans="1:17" x14ac:dyDescent="0.2">
      <c r="C5" s="5"/>
      <c r="D5" s="5"/>
      <c r="E5" s="5"/>
      <c r="G5" s="70"/>
      <c r="L5" s="8" t="s">
        <v>490</v>
      </c>
      <c r="N5" s="8">
        <v>2357299</v>
      </c>
    </row>
    <row r="6" spans="1:17" x14ac:dyDescent="0.2">
      <c r="A6" s="5" t="s">
        <v>15</v>
      </c>
      <c r="C6" s="185" t="s">
        <v>482</v>
      </c>
      <c r="D6" s="185" t="s">
        <v>602</v>
      </c>
      <c r="E6" s="185" t="s">
        <v>618</v>
      </c>
      <c r="F6" s="5" t="s">
        <v>27</v>
      </c>
      <c r="G6" s="5" t="s">
        <v>11</v>
      </c>
      <c r="H6" s="5"/>
      <c r="L6" s="8" t="s">
        <v>491</v>
      </c>
      <c r="N6" s="8">
        <v>1101383</v>
      </c>
    </row>
    <row r="7" spans="1:17" x14ac:dyDescent="0.2">
      <c r="A7" s="572" t="s">
        <v>31</v>
      </c>
      <c r="C7" s="187" t="s">
        <v>481</v>
      </c>
      <c r="D7" s="187" t="s">
        <v>603</v>
      </c>
      <c r="E7" s="187" t="s">
        <v>619</v>
      </c>
      <c r="F7" s="572" t="s">
        <v>37</v>
      </c>
      <c r="G7" s="572" t="s">
        <v>49</v>
      </c>
      <c r="H7" s="572" t="s">
        <v>26</v>
      </c>
      <c r="L7" s="8" t="s">
        <v>492</v>
      </c>
      <c r="N7" s="24">
        <v>52416</v>
      </c>
    </row>
    <row r="8" spans="1:17" x14ac:dyDescent="0.2">
      <c r="C8" s="5" t="s">
        <v>776</v>
      </c>
      <c r="D8" s="5" t="s">
        <v>777</v>
      </c>
      <c r="E8" s="5" t="s">
        <v>778</v>
      </c>
      <c r="F8" s="5" t="s">
        <v>780</v>
      </c>
      <c r="G8" s="5" t="s">
        <v>779</v>
      </c>
      <c r="H8" s="5" t="s">
        <v>781</v>
      </c>
      <c r="N8" s="8">
        <f>SUM(N3:N7)</f>
        <v>11211993.370000001</v>
      </c>
    </row>
    <row r="9" spans="1:17" x14ac:dyDescent="0.2">
      <c r="B9" s="572" t="s">
        <v>504</v>
      </c>
      <c r="L9" s="8" t="s">
        <v>506</v>
      </c>
    </row>
    <row r="10" spans="1:17" x14ac:dyDescent="0.2">
      <c r="B10" s="573"/>
      <c r="M10" s="8" t="s">
        <v>507</v>
      </c>
      <c r="N10" s="200">
        <f>'[11]Test Year Bonus Accrual '!$C$23+'[11]Test Year Bonus Accrual '!$D$23</f>
        <v>9269724.0651998669</v>
      </c>
    </row>
    <row r="11" spans="1:17" x14ac:dyDescent="0.2">
      <c r="A11" s="5">
        <v>1</v>
      </c>
      <c r="B11" s="169" t="s">
        <v>73</v>
      </c>
      <c r="C11" s="65">
        <v>6107412</v>
      </c>
      <c r="D11" s="65">
        <v>6248052.9786258182</v>
      </c>
      <c r="E11" s="65">
        <f>+N22</f>
        <v>6790398.8596917978</v>
      </c>
      <c r="F11" s="35">
        <f>SUM(C11:E11)/3</f>
        <v>6381954.6127725393</v>
      </c>
      <c r="G11" s="35">
        <f>+N27</f>
        <v>5850926.6907064337</v>
      </c>
      <c r="H11" s="35">
        <f>F11-G11</f>
        <v>531027.92206610553</v>
      </c>
      <c r="I11" s="8" t="s">
        <v>801</v>
      </c>
      <c r="M11" s="8" t="s">
        <v>508</v>
      </c>
      <c r="N11" s="200">
        <f>'[11]Test Year Bonus Accrual '!$C$24+'[11]Test Year Bonus Accrual '!$D$24</f>
        <v>245904.05511476949</v>
      </c>
    </row>
    <row r="12" spans="1:17" x14ac:dyDescent="0.2">
      <c r="A12" s="5"/>
      <c r="B12" s="3"/>
      <c r="C12" s="189"/>
      <c r="D12" s="189"/>
      <c r="E12" s="189"/>
      <c r="F12" s="189"/>
      <c r="G12" s="189"/>
      <c r="H12" s="189"/>
    </row>
    <row r="13" spans="1:17" x14ac:dyDescent="0.2">
      <c r="A13" s="5">
        <v>2</v>
      </c>
      <c r="B13" s="169" t="s">
        <v>100</v>
      </c>
      <c r="C13" s="189">
        <v>2952686</v>
      </c>
      <c r="D13" s="189">
        <v>2907512.6813741815</v>
      </c>
      <c r="E13" s="189">
        <f>+O22</f>
        <v>3267795.5103082033</v>
      </c>
      <c r="F13" s="189">
        <f>SUM(C13:E13)/3</f>
        <v>3042664.7305607945</v>
      </c>
      <c r="G13" s="189">
        <f>+O27</f>
        <v>3418797.3744934336</v>
      </c>
      <c r="H13" s="189">
        <f>F13-G13</f>
        <v>-376132.64393263916</v>
      </c>
      <c r="I13" s="8" t="s">
        <v>801</v>
      </c>
      <c r="N13" s="9"/>
      <c r="Q13" s="21"/>
    </row>
    <row r="14" spans="1:17" x14ac:dyDescent="0.2">
      <c r="A14" s="5"/>
      <c r="B14" s="169"/>
      <c r="C14" s="189"/>
      <c r="D14" s="189"/>
      <c r="E14" s="189"/>
      <c r="F14" s="189"/>
      <c r="G14" s="189"/>
      <c r="H14" s="189"/>
      <c r="L14" s="433"/>
      <c r="Q14" s="21"/>
    </row>
    <row r="15" spans="1:17" x14ac:dyDescent="0.2">
      <c r="A15" s="5"/>
      <c r="B15" s="169"/>
      <c r="C15" s="189"/>
      <c r="D15" s="189"/>
      <c r="E15" s="189"/>
      <c r="F15" s="189"/>
      <c r="G15" s="189"/>
      <c r="H15" s="189"/>
      <c r="M15" s="190">
        <v>2019</v>
      </c>
      <c r="N15" s="487"/>
      <c r="O15" s="487"/>
      <c r="Q15" s="487"/>
    </row>
    <row r="16" spans="1:17" x14ac:dyDescent="0.2">
      <c r="A16" s="5"/>
      <c r="B16" s="187" t="s">
        <v>505</v>
      </c>
      <c r="C16" s="189"/>
      <c r="D16" s="189"/>
      <c r="E16" s="189"/>
      <c r="F16" s="189"/>
      <c r="G16" s="189"/>
      <c r="H16" s="189"/>
      <c r="L16" s="8" t="s">
        <v>484</v>
      </c>
      <c r="M16" s="563">
        <f>'[11]Test Year Bonus Accrual '!$C$32</f>
        <v>0.6751111193421685</v>
      </c>
      <c r="N16" s="46"/>
      <c r="O16" s="46"/>
      <c r="Q16" s="587"/>
    </row>
    <row r="17" spans="1:17" x14ac:dyDescent="0.2">
      <c r="A17" s="5"/>
      <c r="B17" s="191"/>
      <c r="C17" s="189"/>
      <c r="D17" s="189"/>
      <c r="E17" s="189"/>
      <c r="F17" s="189"/>
      <c r="G17" s="189"/>
      <c r="H17" s="189"/>
      <c r="L17" s="8" t="s">
        <v>485</v>
      </c>
      <c r="M17" s="9">
        <f>'[11]Test Year Bonus Accrual '!$D$32</f>
        <v>0.32488888065783156</v>
      </c>
      <c r="N17" s="9"/>
      <c r="O17" s="9"/>
      <c r="Q17" s="46"/>
    </row>
    <row r="18" spans="1:17" x14ac:dyDescent="0.25">
      <c r="A18" s="5">
        <v>3</v>
      </c>
      <c r="B18" s="169" t="s">
        <v>697</v>
      </c>
      <c r="C18" s="588" t="s">
        <v>615</v>
      </c>
      <c r="D18" s="588" t="s">
        <v>615</v>
      </c>
      <c r="E18" s="588" t="s">
        <v>615</v>
      </c>
      <c r="F18" s="588" t="s">
        <v>615</v>
      </c>
      <c r="G18" s="189">
        <v>147938</v>
      </c>
      <c r="H18" s="189">
        <f>-G18</f>
        <v>-147938</v>
      </c>
      <c r="L18" s="21"/>
      <c r="M18" s="589"/>
      <c r="N18" s="590"/>
      <c r="O18" s="590"/>
    </row>
    <row r="19" spans="1:17" x14ac:dyDescent="0.2">
      <c r="A19" s="5"/>
      <c r="B19" s="169"/>
      <c r="C19" s="588" t="s">
        <v>615</v>
      </c>
      <c r="D19" s="588" t="s">
        <v>615</v>
      </c>
      <c r="E19" s="588" t="s">
        <v>615</v>
      </c>
      <c r="F19" s="588" t="s">
        <v>615</v>
      </c>
      <c r="G19" s="189"/>
      <c r="H19" s="189"/>
    </row>
    <row r="20" spans="1:17" x14ac:dyDescent="0.2">
      <c r="A20" s="5">
        <v>4</v>
      </c>
      <c r="B20" s="169" t="s">
        <v>700</v>
      </c>
      <c r="C20" s="588" t="s">
        <v>615</v>
      </c>
      <c r="D20" s="588" t="s">
        <v>615</v>
      </c>
      <c r="E20" s="588" t="s">
        <v>615</v>
      </c>
      <c r="F20" s="588" t="s">
        <v>615</v>
      </c>
      <c r="G20" s="189">
        <v>97966</v>
      </c>
      <c r="H20" s="189">
        <f>-G20</f>
        <v>-97966</v>
      </c>
      <c r="N20" s="174" t="s">
        <v>207</v>
      </c>
      <c r="O20" s="174" t="s">
        <v>487</v>
      </c>
    </row>
    <row r="21" spans="1:17" x14ac:dyDescent="0.2">
      <c r="A21" s="5"/>
      <c r="B21" s="169"/>
      <c r="C21" s="16"/>
      <c r="D21" s="16"/>
      <c r="E21" s="16"/>
      <c r="F21" s="16"/>
      <c r="G21" s="16"/>
      <c r="H21" s="16"/>
      <c r="L21" s="24" t="s">
        <v>493</v>
      </c>
    </row>
    <row r="22" spans="1:17" x14ac:dyDescent="0.2">
      <c r="A22" s="5">
        <v>5</v>
      </c>
      <c r="B22" s="169" t="s">
        <v>62</v>
      </c>
      <c r="C22" s="14">
        <f>+C11+C13</f>
        <v>9060098</v>
      </c>
      <c r="D22" s="14">
        <f>+D11+D13</f>
        <v>9155565.6600000001</v>
      </c>
      <c r="E22" s="14">
        <f>+E11+E13</f>
        <v>10058194.370000001</v>
      </c>
      <c r="F22" s="14">
        <f>+F11+F13</f>
        <v>9424619.3433333337</v>
      </c>
      <c r="G22" s="14">
        <f>+G11+G13+G18+G20</f>
        <v>9515628.0651998669</v>
      </c>
      <c r="H22" s="14">
        <f>+H11+H13+H18+H20</f>
        <v>-91008.721866533626</v>
      </c>
      <c r="L22" s="8" t="s">
        <v>486</v>
      </c>
      <c r="M22" s="8">
        <f>+N3+N4+N5</f>
        <v>10058194.370000001</v>
      </c>
      <c r="N22" s="8">
        <f>+M22*M16</f>
        <v>6790398.8596917978</v>
      </c>
      <c r="O22" s="8">
        <f>+M22-N22</f>
        <v>3267795.5103082033</v>
      </c>
    </row>
    <row r="23" spans="1:17" x14ac:dyDescent="0.2">
      <c r="A23" s="5"/>
      <c r="B23" s="169"/>
      <c r="C23" s="192"/>
      <c r="D23" s="192"/>
      <c r="E23" s="192"/>
      <c r="F23" s="192"/>
      <c r="G23" s="192"/>
      <c r="H23" s="192"/>
      <c r="L23" s="8" t="s">
        <v>316</v>
      </c>
      <c r="M23" s="24">
        <f>+N6+N7</f>
        <v>1153799</v>
      </c>
      <c r="N23" s="8">
        <f>+M23*M16</f>
        <v>778942.53438587463</v>
      </c>
      <c r="O23" s="8">
        <f>+M23-N23</f>
        <v>374856.46561412537</v>
      </c>
    </row>
    <row r="24" spans="1:17" x14ac:dyDescent="0.2">
      <c r="A24" s="5">
        <v>6</v>
      </c>
      <c r="B24" s="3" t="s">
        <v>224</v>
      </c>
      <c r="C24" s="192"/>
      <c r="D24" s="192"/>
      <c r="E24" s="192"/>
      <c r="F24" s="192"/>
      <c r="G24" s="192"/>
      <c r="H24" s="193">
        <f>H11+H18</f>
        <v>383089.92206610553</v>
      </c>
      <c r="M24" s="8">
        <f>SUM(M22:M23)</f>
        <v>11211993.370000001</v>
      </c>
    </row>
    <row r="25" spans="1:17" x14ac:dyDescent="0.2">
      <c r="A25" s="5">
        <v>7</v>
      </c>
      <c r="B25" s="169" t="s">
        <v>142</v>
      </c>
      <c r="C25" s="192"/>
      <c r="D25" s="192"/>
      <c r="E25" s="192"/>
      <c r="F25" s="194" t="s">
        <v>149</v>
      </c>
      <c r="H25" s="60">
        <f>'KTW-3 p4 - Factors'!D20</f>
        <v>0.109888</v>
      </c>
    </row>
    <row r="26" spans="1:17" ht="15.75" thickBot="1" x14ac:dyDescent="0.25">
      <c r="A26" s="5">
        <v>8</v>
      </c>
      <c r="B26" s="3" t="s">
        <v>226</v>
      </c>
      <c r="C26" s="192"/>
      <c r="D26" s="192"/>
      <c r="E26" s="192"/>
      <c r="F26" s="194"/>
      <c r="H26" s="388">
        <f>(H24*H25)</f>
        <v>42096.985356000201</v>
      </c>
      <c r="L26" s="24" t="s">
        <v>509</v>
      </c>
    </row>
    <row r="27" spans="1:17" ht="15.75" thickTop="1" x14ac:dyDescent="0.2">
      <c r="A27" s="5"/>
      <c r="B27" s="169"/>
      <c r="C27" s="192"/>
      <c r="D27" s="192"/>
      <c r="E27" s="192"/>
      <c r="F27" s="194"/>
      <c r="H27" s="193"/>
      <c r="L27" s="8" t="s">
        <v>486</v>
      </c>
      <c r="M27" s="8">
        <f>+N10</f>
        <v>9269724.0651998669</v>
      </c>
      <c r="N27" s="8">
        <f>'[11]Test Year Bonus Accrual '!C23</f>
        <v>5850926.6907064337</v>
      </c>
      <c r="O27" s="8">
        <f>'[11]Test Year Bonus Accrual '!D23</f>
        <v>3418797.3744934336</v>
      </c>
    </row>
    <row r="28" spans="1:17" x14ac:dyDescent="0.2">
      <c r="A28" s="5">
        <v>9</v>
      </c>
      <c r="B28" s="3" t="s">
        <v>223</v>
      </c>
      <c r="C28" s="192"/>
      <c r="D28" s="192"/>
      <c r="E28" s="192"/>
      <c r="F28" s="194"/>
      <c r="H28" s="193">
        <f>H13+H20</f>
        <v>-474098.64393263916</v>
      </c>
      <c r="L28" s="8" t="s">
        <v>316</v>
      </c>
      <c r="M28" s="24">
        <f>+N11</f>
        <v>245904.05511476949</v>
      </c>
      <c r="N28" s="8">
        <f>'[11]Test Year Bonus Accrual '!C24</f>
        <v>147938.04453749507</v>
      </c>
      <c r="O28" s="8">
        <f>'[11]Test Year Bonus Accrual '!D24</f>
        <v>97966.010577274428</v>
      </c>
    </row>
    <row r="29" spans="1:17" x14ac:dyDescent="0.2">
      <c r="A29" s="5">
        <v>10</v>
      </c>
      <c r="B29" s="169" t="s">
        <v>142</v>
      </c>
      <c r="C29" s="192"/>
      <c r="D29" s="192"/>
      <c r="E29" s="192"/>
      <c r="F29" s="1" t="s">
        <v>36</v>
      </c>
      <c r="H29" s="60">
        <f>'KTW-3 p4 - Factors'!D25</f>
        <v>0.11970000000000003</v>
      </c>
      <c r="M29" s="8">
        <f>SUM(M27:M28)</f>
        <v>9515628.1203146372</v>
      </c>
    </row>
    <row r="30" spans="1:17" ht="15.75" thickBot="1" x14ac:dyDescent="0.25">
      <c r="A30" s="5">
        <v>11</v>
      </c>
      <c r="B30" s="3" t="s">
        <v>225</v>
      </c>
      <c r="C30" s="192"/>
      <c r="D30" s="192"/>
      <c r="E30" s="192"/>
      <c r="H30" s="19">
        <f>H28*H29</f>
        <v>-56749.607678736924</v>
      </c>
    </row>
    <row r="31" spans="1:17" ht="15.75" thickTop="1" x14ac:dyDescent="0.2">
      <c r="C31" s="192"/>
      <c r="D31" s="192"/>
      <c r="E31" s="192"/>
    </row>
    <row r="32" spans="1:17" x14ac:dyDescent="0.2">
      <c r="C32" s="192"/>
      <c r="D32" s="192"/>
      <c r="E32" s="192"/>
    </row>
    <row r="33" spans="1:8" x14ac:dyDescent="0.2">
      <c r="A33" s="1" t="s">
        <v>166</v>
      </c>
      <c r="H33" s="23"/>
    </row>
    <row r="34" spans="1:8" x14ac:dyDescent="0.2">
      <c r="A34" s="1" t="s">
        <v>703</v>
      </c>
    </row>
    <row r="36" spans="1:8" x14ac:dyDescent="0.2">
      <c r="B36" s="591"/>
    </row>
  </sheetData>
  <customSheetViews>
    <customSheetView guid="{A7BD13BF-7E57-44D7-9B02-43E2FA430390}" scale="90" showPageBreaks="1" fitToPage="1" printArea="1">
      <selection activeCell="G13" sqref="G13"/>
      <pageMargins left="0.5" right="0.5" top="0.5" bottom="0.5" header="0.25" footer="0.25"/>
      <printOptions horizontalCentered="1"/>
      <pageSetup scale="98" orientation="landscape" r:id="rId1"/>
      <headerFooter alignWithMargins="0"/>
    </customSheetView>
    <customSheetView guid="{C29552AC-6B79-447F-B962-713ED43BDF1A}" scale="90" showPageBreaks="1" fitToPage="1" printArea="1" topLeftCell="A3">
      <selection activeCell="K24" sqref="K24"/>
      <pageMargins left="0.5" right="0.5" top="0.5" bottom="0.5" header="0.25" footer="0.25"/>
      <printOptions horizontalCentered="1"/>
      <pageSetup scale="96" orientation="landscape" r:id="rId2"/>
      <headerFooter alignWithMargins="0"/>
    </customSheetView>
    <customSheetView guid="{6ED201AA-AB2E-4FE7-B06B-B07932512C4D}" scale="90" showPageBreaks="1" fitToPage="1" printArea="1">
      <selection activeCell="K24" sqref="K24"/>
      <pageMargins left="0.5" right="0.5" top="0.5" bottom="0.5" header="0.25" footer="0.25"/>
      <printOptions horizontalCentered="1"/>
      <pageSetup scale="98" orientation="landscape" r:id="rId3"/>
      <headerFooter alignWithMargins="0"/>
    </customSheetView>
    <customSheetView guid="{D711E10B-9441-4991-A2CB-ED400E35790D}" scale="90" fitToPage="1" topLeftCell="A7">
      <selection activeCell="N33" sqref="N33"/>
      <pageMargins left="0.5" right="0.5" top="0.5" bottom="0.5" header="0.25" footer="0.25"/>
      <printOptions horizontalCentered="1"/>
      <pageSetup scale="98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98" orientation="landscape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theme="4" tint="0.59999389629810485"/>
    <pageSetUpPr fitToPage="1"/>
  </sheetPr>
  <dimension ref="A1:E18"/>
  <sheetViews>
    <sheetView workbookViewId="0">
      <selection activeCell="H12" sqref="H12"/>
    </sheetView>
  </sheetViews>
  <sheetFormatPr defaultColWidth="9.140625" defaultRowHeight="15" x14ac:dyDescent="0.2"/>
  <cols>
    <col min="1" max="1" width="5.7109375" style="37" customWidth="1"/>
    <col min="2" max="2" width="55" style="37" customWidth="1"/>
    <col min="3" max="3" width="14.85546875" style="37" customWidth="1"/>
    <col min="4" max="16384" width="9.140625" style="37"/>
  </cols>
  <sheetData>
    <row r="1" spans="1:5" x14ac:dyDescent="0.2">
      <c r="A1" s="36" t="str">
        <f>'KTW-4 p7 - Uncollectible'!A1</f>
        <v>NW Natural</v>
      </c>
      <c r="B1" s="36"/>
      <c r="C1" s="499" t="s">
        <v>750</v>
      </c>
    </row>
    <row r="2" spans="1:5" x14ac:dyDescent="0.2">
      <c r="A2" s="36" t="str">
        <f>'KTW-4 p7 - Uncollectible'!A2</f>
        <v>Test Year Based on Twelve Months Ended September 30, 2020</v>
      </c>
      <c r="B2" s="36"/>
      <c r="C2" s="499" t="s">
        <v>772</v>
      </c>
    </row>
    <row r="3" spans="1:5" x14ac:dyDescent="0.2">
      <c r="A3" s="42" t="s">
        <v>285</v>
      </c>
      <c r="B3" s="36"/>
      <c r="C3" s="36"/>
    </row>
    <row r="4" spans="1:5" x14ac:dyDescent="0.2">
      <c r="A4" s="356"/>
      <c r="B4" s="36"/>
      <c r="C4" s="36"/>
    </row>
    <row r="5" spans="1:5" x14ac:dyDescent="0.2">
      <c r="A5" s="36"/>
      <c r="B5" s="36"/>
      <c r="C5" s="36"/>
    </row>
    <row r="6" spans="1:5" x14ac:dyDescent="0.2">
      <c r="A6" s="39" t="s">
        <v>15</v>
      </c>
      <c r="B6" s="36"/>
      <c r="C6" s="36"/>
    </row>
    <row r="7" spans="1:5" x14ac:dyDescent="0.2">
      <c r="A7" s="41" t="s">
        <v>31</v>
      </c>
      <c r="B7" s="36"/>
      <c r="C7" s="41" t="s">
        <v>454</v>
      </c>
      <c r="E7" s="355"/>
    </row>
    <row r="8" spans="1:5" x14ac:dyDescent="0.2">
      <c r="A8" s="39"/>
      <c r="B8" s="36"/>
      <c r="C8" s="39" t="s">
        <v>55</v>
      </c>
    </row>
    <row r="9" spans="1:5" x14ac:dyDescent="0.2">
      <c r="A9" s="39"/>
      <c r="B9" s="36"/>
    </row>
    <row r="10" spans="1:5" x14ac:dyDescent="0.2">
      <c r="A10" s="39"/>
      <c r="B10" s="36"/>
      <c r="E10" s="53"/>
    </row>
    <row r="11" spans="1:5" x14ac:dyDescent="0.2">
      <c r="A11" s="39">
        <v>1</v>
      </c>
      <c r="B11" s="36" t="s">
        <v>286</v>
      </c>
      <c r="C11" s="139">
        <f>+'WP - Other Rev &amp; Tax'!E22</f>
        <v>1671587.02</v>
      </c>
    </row>
    <row r="12" spans="1:5" x14ac:dyDescent="0.2">
      <c r="C12" s="196"/>
    </row>
    <row r="13" spans="1:5" x14ac:dyDescent="0.2">
      <c r="A13" s="39">
        <v>2</v>
      </c>
      <c r="B13" s="36" t="s">
        <v>673</v>
      </c>
      <c r="C13" s="537">
        <f>'[12]Property Taxes'!$B$12</f>
        <v>1584665.0200000009</v>
      </c>
    </row>
    <row r="14" spans="1:5" x14ac:dyDescent="0.2">
      <c r="A14" s="39"/>
      <c r="B14" s="36"/>
      <c r="C14" s="537"/>
    </row>
    <row r="15" spans="1:5" x14ac:dyDescent="0.2">
      <c r="A15" s="39">
        <v>3</v>
      </c>
      <c r="B15" s="36" t="s">
        <v>585</v>
      </c>
      <c r="C15" s="538">
        <f>'[12]Property Taxes'!$B$10</f>
        <v>-36466.9</v>
      </c>
      <c r="E15" s="197"/>
    </row>
    <row r="16" spans="1:5" x14ac:dyDescent="0.2">
      <c r="C16" s="196"/>
    </row>
    <row r="17" spans="1:3" ht="15.75" thickBot="1" x14ac:dyDescent="0.25">
      <c r="A17" s="39">
        <v>4</v>
      </c>
      <c r="B17" s="36" t="s">
        <v>26</v>
      </c>
      <c r="C17" s="198">
        <f>+C13-C11-C15</f>
        <v>-50455.099999999067</v>
      </c>
    </row>
    <row r="18" spans="1:3" ht="15.75" thickTop="1" x14ac:dyDescent="0.2"/>
  </sheetData>
  <customSheetViews>
    <customSheetView guid="{A7BD13BF-7E57-44D7-9B02-43E2FA430390}" fitToPage="1">
      <selection activeCell="H21" sqref="H21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fitToPage="1">
      <selection activeCell="G16" sqref="G16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fitToPage="1">
      <selection activeCell="G16" sqref="G16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>
      <selection activeCell="C11" sqref="C11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phoneticPr fontId="5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theme="4" tint="0.59999389629810485"/>
    <pageSetUpPr fitToPage="1"/>
  </sheetPr>
  <dimension ref="A1:F48"/>
  <sheetViews>
    <sheetView zoomScaleNormal="100" workbookViewId="0">
      <selection activeCell="C42" sqref="C42"/>
    </sheetView>
  </sheetViews>
  <sheetFormatPr defaultColWidth="9.140625" defaultRowHeight="15" x14ac:dyDescent="0.2"/>
  <cols>
    <col min="1" max="1" width="4.7109375" style="1" customWidth="1"/>
    <col min="2" max="2" width="41.7109375" style="1" customWidth="1"/>
    <col min="3" max="6" width="14.7109375" style="8" customWidth="1"/>
    <col min="7" max="16384" width="9.140625" style="8"/>
  </cols>
  <sheetData>
    <row r="1" spans="1:6" x14ac:dyDescent="0.2">
      <c r="A1" s="199" t="s">
        <v>0</v>
      </c>
      <c r="B1" s="199"/>
      <c r="C1" s="200"/>
      <c r="D1" s="200"/>
      <c r="E1" s="200"/>
      <c r="F1" s="499" t="s">
        <v>750</v>
      </c>
    </row>
    <row r="2" spans="1:6" x14ac:dyDescent="0.2">
      <c r="A2" s="199" t="str">
        <f>'KTW-4,5,8 p1 - Adjust Issues'!A3</f>
        <v>Test Year Based on Twelve Months Ended September 30, 2020</v>
      </c>
      <c r="B2" s="199"/>
      <c r="C2" s="200"/>
      <c r="D2" s="200"/>
      <c r="E2" s="200"/>
      <c r="F2" s="499" t="s">
        <v>753</v>
      </c>
    </row>
    <row r="3" spans="1:6" x14ac:dyDescent="0.2">
      <c r="A3" s="199" t="s">
        <v>5</v>
      </c>
      <c r="B3" s="199"/>
      <c r="C3" s="200"/>
      <c r="D3" s="56"/>
      <c r="E3" s="200"/>
      <c r="F3" s="200"/>
    </row>
    <row r="4" spans="1:6" x14ac:dyDescent="0.2">
      <c r="A4" s="199"/>
      <c r="B4" s="199"/>
      <c r="C4" s="200"/>
      <c r="D4" s="200"/>
      <c r="E4" s="200"/>
      <c r="F4" s="200"/>
    </row>
    <row r="5" spans="1:6" x14ac:dyDescent="0.2">
      <c r="A5" s="199"/>
      <c r="B5" s="199"/>
      <c r="C5" s="200"/>
      <c r="D5" s="200"/>
      <c r="E5" s="200"/>
      <c r="F5" s="200"/>
    </row>
    <row r="6" spans="1:6" x14ac:dyDescent="0.2">
      <c r="A6" s="199"/>
      <c r="B6" s="199"/>
      <c r="C6" s="200"/>
      <c r="D6" s="390" t="s">
        <v>736</v>
      </c>
      <c r="E6" s="390"/>
      <c r="F6" s="390"/>
    </row>
    <row r="7" spans="1:6" x14ac:dyDescent="0.2">
      <c r="A7" s="5" t="s">
        <v>15</v>
      </c>
      <c r="B7" s="199"/>
      <c r="C7" s="185" t="s">
        <v>600</v>
      </c>
      <c r="D7" s="201">
        <v>2020</v>
      </c>
      <c r="E7" s="201">
        <f>+D7-1</f>
        <v>2019</v>
      </c>
      <c r="F7" s="201">
        <f>+E7-1</f>
        <v>2018</v>
      </c>
    </row>
    <row r="8" spans="1:6" x14ac:dyDescent="0.2">
      <c r="A8" s="27" t="s">
        <v>31</v>
      </c>
      <c r="B8" s="199"/>
      <c r="C8" s="378" t="s">
        <v>62</v>
      </c>
      <c r="D8" s="378" t="s">
        <v>63</v>
      </c>
      <c r="E8" s="378" t="s">
        <v>63</v>
      </c>
      <c r="F8" s="378" t="s">
        <v>63</v>
      </c>
    </row>
    <row r="9" spans="1:6" x14ac:dyDescent="0.2">
      <c r="A9" s="5"/>
      <c r="B9" s="199"/>
      <c r="C9" s="5" t="s">
        <v>55</v>
      </c>
      <c r="D9" s="5" t="s">
        <v>56</v>
      </c>
      <c r="E9" s="5" t="s">
        <v>57</v>
      </c>
      <c r="F9" s="5" t="s">
        <v>58</v>
      </c>
    </row>
    <row r="10" spans="1:6" x14ac:dyDescent="0.2">
      <c r="A10" s="5"/>
      <c r="B10" s="199" t="s">
        <v>76</v>
      </c>
      <c r="C10" s="200"/>
      <c r="D10" s="200"/>
      <c r="E10" s="200"/>
      <c r="F10" s="200"/>
    </row>
    <row r="11" spans="1:6" x14ac:dyDescent="0.2">
      <c r="A11" s="5">
        <v>1</v>
      </c>
      <c r="B11" s="199" t="s">
        <v>81</v>
      </c>
      <c r="C11" s="202">
        <f>SUM(D11:F11)</f>
        <v>1290516016.9099998</v>
      </c>
      <c r="D11" s="202">
        <f>'[13]Normal Adj'!D11</f>
        <v>439710433.13999993</v>
      </c>
      <c r="E11" s="202">
        <f>'[13]Normal Adj'!E11</f>
        <v>422767445.25999999</v>
      </c>
      <c r="F11" s="202">
        <f>'[13]Normal Adj'!F11</f>
        <v>428038138.50999999</v>
      </c>
    </row>
    <row r="12" spans="1:6" x14ac:dyDescent="0.2">
      <c r="A12" s="5">
        <v>2</v>
      </c>
      <c r="B12" s="199" t="s">
        <v>86</v>
      </c>
      <c r="C12" s="203">
        <f>SUM(D12:F12)</f>
        <v>636582281.76999998</v>
      </c>
      <c r="D12" s="202">
        <f>'[13]Normal Adj'!D12</f>
        <v>214967992.53000003</v>
      </c>
      <c r="E12" s="202">
        <f>'[13]Normal Adj'!E12</f>
        <v>210023076.59</v>
      </c>
      <c r="F12" s="202">
        <f>'[13]Normal Adj'!F12</f>
        <v>211591212.64999998</v>
      </c>
    </row>
    <row r="13" spans="1:6" x14ac:dyDescent="0.2">
      <c r="A13" s="5">
        <v>3</v>
      </c>
      <c r="B13" s="199" t="s">
        <v>90</v>
      </c>
      <c r="C13" s="203">
        <f>SUM(D13:F13)</f>
        <v>63876082.109999999</v>
      </c>
      <c r="D13" s="202">
        <f>'[13]Normal Adj'!D13</f>
        <v>20955144.969999999</v>
      </c>
      <c r="E13" s="202">
        <f>'[13]Normal Adj'!E13</f>
        <v>20816424.960000001</v>
      </c>
      <c r="F13" s="202">
        <f>'[13]Normal Adj'!F13</f>
        <v>22104512.18</v>
      </c>
    </row>
    <row r="14" spans="1:6" x14ac:dyDescent="0.2">
      <c r="A14" s="5">
        <v>4</v>
      </c>
      <c r="B14" s="199" t="s">
        <v>95</v>
      </c>
      <c r="C14" s="204">
        <f>SUM(D14:F14)</f>
        <v>57629241.169999987</v>
      </c>
      <c r="D14" s="480">
        <f>'[13]Normal Adj'!D14</f>
        <v>17053781.699999999</v>
      </c>
      <c r="E14" s="480">
        <f>'[13]Normal Adj'!E14</f>
        <v>18993256.869999997</v>
      </c>
      <c r="F14" s="480">
        <f>'[13]Normal Adj'!F14</f>
        <v>21582202.599999998</v>
      </c>
    </row>
    <row r="15" spans="1:6" x14ac:dyDescent="0.2">
      <c r="A15" s="5">
        <v>5</v>
      </c>
      <c r="B15" s="199" t="s">
        <v>98</v>
      </c>
      <c r="C15" s="203">
        <f>SUM(C11:C14)</f>
        <v>2048603621.9599998</v>
      </c>
      <c r="D15" s="203">
        <f>SUM(D11:D14)</f>
        <v>692687352.34000003</v>
      </c>
      <c r="E15" s="203">
        <f>SUM(E11:E14)</f>
        <v>672600203.68000007</v>
      </c>
      <c r="F15" s="203">
        <f>SUM(F11:F14)</f>
        <v>683316065.93999994</v>
      </c>
    </row>
    <row r="16" spans="1:6" x14ac:dyDescent="0.2">
      <c r="A16" s="5"/>
      <c r="B16" s="199"/>
      <c r="C16" s="129"/>
      <c r="D16" s="205"/>
      <c r="E16" s="205"/>
      <c r="F16" s="205"/>
    </row>
    <row r="17" spans="1:6" x14ac:dyDescent="0.2">
      <c r="A17" s="5"/>
      <c r="B17" s="199" t="s">
        <v>104</v>
      </c>
      <c r="C17" s="129"/>
      <c r="D17" s="129"/>
      <c r="E17" s="129"/>
      <c r="F17" s="129"/>
    </row>
    <row r="18" spans="1:6" x14ac:dyDescent="0.2">
      <c r="A18" s="5">
        <v>6</v>
      </c>
      <c r="B18" s="199" t="s">
        <v>81</v>
      </c>
      <c r="C18" s="203">
        <f>SUM(D18:F18)</f>
        <v>1745733.6999999997</v>
      </c>
      <c r="D18" s="203">
        <f>'[13]Normal Adj'!D18</f>
        <v>535511.22</v>
      </c>
      <c r="E18" s="203">
        <f>'[13]Normal Adj'!E18</f>
        <v>478158.56999999989</v>
      </c>
      <c r="F18" s="203">
        <f>'[13]Normal Adj'!F18</f>
        <v>732063.91</v>
      </c>
    </row>
    <row r="19" spans="1:6" x14ac:dyDescent="0.2">
      <c r="A19" s="5">
        <v>7</v>
      </c>
      <c r="B19" s="199" t="s">
        <v>86</v>
      </c>
      <c r="C19" s="203">
        <f>SUM(D19:F19)</f>
        <v>338788.4</v>
      </c>
      <c r="D19" s="203">
        <f>'[13]Normal Adj'!D19</f>
        <v>109012.04</v>
      </c>
      <c r="E19" s="203">
        <f>'[13]Normal Adj'!E19</f>
        <v>130972.45000000006</v>
      </c>
      <c r="F19" s="203">
        <f>'[13]Normal Adj'!F19</f>
        <v>98803.91</v>
      </c>
    </row>
    <row r="20" spans="1:6" x14ac:dyDescent="0.2">
      <c r="A20" s="5">
        <v>8</v>
      </c>
      <c r="B20" s="199" t="s">
        <v>90</v>
      </c>
      <c r="C20" s="203">
        <f>SUM(D20:F20)</f>
        <v>43857.39</v>
      </c>
      <c r="D20" s="203">
        <f>'[13]Normal Adj'!D20</f>
        <v>15963.660000000002</v>
      </c>
      <c r="E20" s="203">
        <f>'[13]Normal Adj'!E20</f>
        <v>1301.9499999999978</v>
      </c>
      <c r="F20" s="203">
        <f>'[13]Normal Adj'!F20</f>
        <v>26591.780000000002</v>
      </c>
    </row>
    <row r="21" spans="1:6" x14ac:dyDescent="0.2">
      <c r="A21" s="5">
        <v>9</v>
      </c>
      <c r="B21" s="199" t="s">
        <v>95</v>
      </c>
      <c r="C21" s="206">
        <f>SUM(D21:F21)</f>
        <v>20000</v>
      </c>
      <c r="D21" s="206">
        <f>'[13]Normal Adj'!D21</f>
        <v>20000</v>
      </c>
      <c r="E21" s="206">
        <f>'[13]Normal Adj'!E21</f>
        <v>0</v>
      </c>
      <c r="F21" s="206">
        <f>'[13]Normal Adj'!F21</f>
        <v>0</v>
      </c>
    </row>
    <row r="22" spans="1:6" x14ac:dyDescent="0.2">
      <c r="A22" s="5">
        <v>10</v>
      </c>
      <c r="B22" s="199" t="s">
        <v>98</v>
      </c>
      <c r="C22" s="203">
        <f>SUM(C18:C21)</f>
        <v>2148379.4899999998</v>
      </c>
      <c r="D22" s="203">
        <f>SUM(D18:D21)</f>
        <v>680486.92</v>
      </c>
      <c r="E22" s="203">
        <f>SUM(E18:E21)</f>
        <v>610432.96999999986</v>
      </c>
      <c r="F22" s="203">
        <f>SUM(F18:F21)</f>
        <v>857459.60000000009</v>
      </c>
    </row>
    <row r="23" spans="1:6" x14ac:dyDescent="0.2">
      <c r="A23" s="5"/>
      <c r="B23" s="199"/>
      <c r="C23" s="200"/>
      <c r="D23" s="200"/>
      <c r="E23" s="200"/>
      <c r="F23" s="200"/>
    </row>
    <row r="24" spans="1:6" x14ac:dyDescent="0.2">
      <c r="A24" s="5"/>
      <c r="B24" s="199" t="s">
        <v>123</v>
      </c>
      <c r="C24" s="200"/>
      <c r="D24" s="200"/>
      <c r="E24" s="200"/>
      <c r="F24" s="200"/>
    </row>
    <row r="25" spans="1:6" x14ac:dyDescent="0.2">
      <c r="A25" s="5">
        <v>11</v>
      </c>
      <c r="B25" s="199" t="s">
        <v>81</v>
      </c>
      <c r="C25" s="207">
        <f t="shared" ref="C25:F29" si="0">C18/C11</f>
        <v>1.3527408239224874E-3</v>
      </c>
      <c r="D25" s="207">
        <f t="shared" si="0"/>
        <v>1.2178724443172308E-3</v>
      </c>
      <c r="E25" s="207">
        <f t="shared" si="0"/>
        <v>1.1310203171058608E-3</v>
      </c>
      <c r="F25" s="207">
        <f t="shared" si="0"/>
        <v>1.7102772957295657E-3</v>
      </c>
    </row>
    <row r="26" spans="1:6" x14ac:dyDescent="0.2">
      <c r="A26" s="5">
        <v>12</v>
      </c>
      <c r="B26" s="199" t="s">
        <v>86</v>
      </c>
      <c r="C26" s="207">
        <f t="shared" si="0"/>
        <v>5.3219891552433408E-4</v>
      </c>
      <c r="D26" s="207">
        <f t="shared" si="0"/>
        <v>5.0710823838012405E-4</v>
      </c>
      <c r="E26" s="207">
        <f t="shared" si="0"/>
        <v>6.2360980577234415E-4</v>
      </c>
      <c r="F26" s="207">
        <f t="shared" si="0"/>
        <v>4.6695658464529347E-4</v>
      </c>
    </row>
    <row r="27" spans="1:6" x14ac:dyDescent="0.2">
      <c r="A27" s="5">
        <v>13</v>
      </c>
      <c r="B27" s="199" t="s">
        <v>90</v>
      </c>
      <c r="C27" s="208">
        <f t="shared" si="0"/>
        <v>6.8660112754683161E-4</v>
      </c>
      <c r="D27" s="208">
        <f t="shared" si="0"/>
        <v>7.6180145844154481E-4</v>
      </c>
      <c r="E27" s="208">
        <f t="shared" si="0"/>
        <v>6.2544361123572956E-5</v>
      </c>
      <c r="F27" s="208">
        <f t="shared" si="0"/>
        <v>1.2030023455600186E-3</v>
      </c>
    </row>
    <row r="28" spans="1:6" x14ac:dyDescent="0.2">
      <c r="A28" s="5">
        <v>14</v>
      </c>
      <c r="B28" s="199" t="s">
        <v>95</v>
      </c>
      <c r="C28" s="209">
        <f t="shared" si="0"/>
        <v>3.4704604110614919E-4</v>
      </c>
      <c r="D28" s="209">
        <f t="shared" si="0"/>
        <v>1.1727604089127048E-3</v>
      </c>
      <c r="E28" s="209">
        <f t="shared" si="0"/>
        <v>0</v>
      </c>
      <c r="F28" s="209">
        <f t="shared" si="0"/>
        <v>0</v>
      </c>
    </row>
    <row r="29" spans="1:6" x14ac:dyDescent="0.2">
      <c r="A29" s="5">
        <v>15</v>
      </c>
      <c r="B29" s="199" t="s">
        <v>735</v>
      </c>
      <c r="C29" s="207">
        <f t="shared" si="0"/>
        <v>1.0487043305842344E-3</v>
      </c>
      <c r="D29" s="207">
        <f t="shared" si="0"/>
        <v>9.8238681232047176E-4</v>
      </c>
      <c r="E29" s="207">
        <f t="shared" si="0"/>
        <v>9.075717887983614E-4</v>
      </c>
      <c r="F29" s="207">
        <f t="shared" si="0"/>
        <v>1.2548506360968413E-3</v>
      </c>
    </row>
    <row r="30" spans="1:6" x14ac:dyDescent="0.2">
      <c r="A30" s="5"/>
      <c r="B30" s="199"/>
      <c r="C30" s="207"/>
      <c r="D30" s="207"/>
      <c r="E30" s="207"/>
      <c r="F30" s="207"/>
    </row>
    <row r="31" spans="1:6" x14ac:dyDescent="0.2">
      <c r="A31" s="5"/>
      <c r="B31" s="199" t="s">
        <v>136</v>
      </c>
      <c r="C31" s="129"/>
      <c r="D31" s="200"/>
      <c r="E31" s="200"/>
      <c r="F31" s="200"/>
    </row>
    <row r="32" spans="1:6" x14ac:dyDescent="0.2">
      <c r="A32" s="5">
        <v>16</v>
      </c>
      <c r="B32" s="199" t="s">
        <v>81</v>
      </c>
      <c r="C32" s="129">
        <f>C25*D11</f>
        <v>594814.25361311727</v>
      </c>
      <c r="D32" s="200"/>
      <c r="E32" s="200"/>
      <c r="F32" s="200"/>
    </row>
    <row r="33" spans="1:6" x14ac:dyDescent="0.2">
      <c r="A33" s="5">
        <v>17</v>
      </c>
      <c r="B33" s="199" t="s">
        <v>86</v>
      </c>
      <c r="C33" s="128">
        <f>C26*D12</f>
        <v>114405.73249690917</v>
      </c>
      <c r="D33" s="200"/>
      <c r="E33" s="200"/>
      <c r="F33" s="200"/>
    </row>
    <row r="34" spans="1:6" x14ac:dyDescent="0.2">
      <c r="A34" s="5">
        <v>18</v>
      </c>
      <c r="B34" s="199" t="s">
        <v>90</v>
      </c>
      <c r="C34" s="128">
        <f>C27*D13</f>
        <v>14387.826164309316</v>
      </c>
      <c r="D34" s="200"/>
      <c r="E34" s="200"/>
      <c r="F34" s="200"/>
    </row>
    <row r="35" spans="1:6" x14ac:dyDescent="0.2">
      <c r="A35" s="5">
        <v>19</v>
      </c>
      <c r="B35" s="199" t="s">
        <v>95</v>
      </c>
      <c r="C35" s="120">
        <f>C28*D14</f>
        <v>5918.4474248734941</v>
      </c>
      <c r="D35" s="200"/>
      <c r="E35" s="129"/>
      <c r="F35" s="200"/>
    </row>
    <row r="36" spans="1:6" x14ac:dyDescent="0.2">
      <c r="A36" s="5">
        <v>20</v>
      </c>
      <c r="B36" s="199" t="s">
        <v>98</v>
      </c>
      <c r="C36" s="129">
        <f>SUM(C32:C35)</f>
        <v>729526.25969920924</v>
      </c>
      <c r="D36" s="129"/>
      <c r="E36" s="200"/>
      <c r="F36" s="200"/>
    </row>
    <row r="37" spans="1:6" x14ac:dyDescent="0.2">
      <c r="A37" s="5"/>
      <c r="B37" s="199"/>
      <c r="C37" s="200"/>
      <c r="D37" s="200"/>
      <c r="E37" s="200"/>
      <c r="F37" s="200"/>
    </row>
    <row r="38" spans="1:6" x14ac:dyDescent="0.2">
      <c r="A38" s="5">
        <v>21</v>
      </c>
      <c r="B38" s="199" t="s">
        <v>452</v>
      </c>
      <c r="C38" s="389">
        <f>'KTW-3 p4 - Factors'!D8</f>
        <v>0.11529999999999996</v>
      </c>
      <c r="D38" s="210"/>
      <c r="E38" s="210"/>
      <c r="F38" s="200"/>
    </row>
    <row r="39" spans="1:6" x14ac:dyDescent="0.2">
      <c r="A39" s="5"/>
      <c r="B39" s="199"/>
      <c r="C39" s="129"/>
      <c r="D39" s="129"/>
      <c r="E39" s="200"/>
      <c r="F39" s="200"/>
    </row>
    <row r="40" spans="1:6" x14ac:dyDescent="0.2">
      <c r="A40" s="5">
        <v>22</v>
      </c>
      <c r="B40" s="199" t="s">
        <v>451</v>
      </c>
      <c r="C40" s="129">
        <f>C36*C38</f>
        <v>84114.377743318793</v>
      </c>
      <c r="D40" s="129"/>
      <c r="E40" s="200"/>
      <c r="F40" s="200"/>
    </row>
    <row r="41" spans="1:6" x14ac:dyDescent="0.2">
      <c r="A41" s="5"/>
      <c r="B41" s="199"/>
      <c r="C41" s="129"/>
      <c r="D41" s="129"/>
      <c r="E41" s="200"/>
      <c r="F41" s="200"/>
    </row>
    <row r="42" spans="1:6" x14ac:dyDescent="0.2">
      <c r="A42" s="5">
        <v>23</v>
      </c>
      <c r="B42" s="199" t="s">
        <v>152</v>
      </c>
      <c r="C42" s="121">
        <f>+'KTW-2 - Rev Req'!C20</f>
        <v>110387.16508799998</v>
      </c>
      <c r="D42" s="129"/>
      <c r="E42" s="200"/>
      <c r="F42" s="200"/>
    </row>
    <row r="43" spans="1:6" x14ac:dyDescent="0.2">
      <c r="A43" s="5"/>
      <c r="B43" s="199"/>
      <c r="C43" s="200"/>
      <c r="D43" s="129"/>
      <c r="E43" s="200"/>
      <c r="F43" s="200"/>
    </row>
    <row r="44" spans="1:6" ht="15.75" thickBot="1" x14ac:dyDescent="0.25">
      <c r="A44" s="5">
        <v>24</v>
      </c>
      <c r="B44" s="199" t="s">
        <v>157</v>
      </c>
      <c r="C44" s="211">
        <f>C40-C42</f>
        <v>-26272.787344681186</v>
      </c>
      <c r="D44" s="129"/>
      <c r="E44" s="200"/>
      <c r="F44" s="200"/>
    </row>
    <row r="45" spans="1:6" ht="15.75" thickTop="1" x14ac:dyDescent="0.2">
      <c r="A45" s="199"/>
      <c r="B45" s="199"/>
      <c r="C45" s="129"/>
      <c r="D45" s="200"/>
      <c r="E45" s="200"/>
      <c r="F45" s="200"/>
    </row>
    <row r="46" spans="1:6" x14ac:dyDescent="0.2">
      <c r="A46" s="199"/>
      <c r="B46" s="199"/>
      <c r="C46" s="129"/>
      <c r="D46" s="129"/>
      <c r="E46" s="200"/>
      <c r="F46" s="200"/>
    </row>
    <row r="47" spans="1:6" x14ac:dyDescent="0.2">
      <c r="A47" s="199"/>
      <c r="B47" s="199" t="s">
        <v>733</v>
      </c>
      <c r="C47" s="129"/>
      <c r="D47" s="129"/>
      <c r="E47" s="200"/>
      <c r="F47" s="200"/>
    </row>
    <row r="48" spans="1:6" x14ac:dyDescent="0.2">
      <c r="A48" s="199"/>
      <c r="B48" s="199" t="s">
        <v>734</v>
      </c>
      <c r="C48" s="207">
        <f>+C29</f>
        <v>1.0487043305842344E-3</v>
      </c>
      <c r="D48" s="200" t="s">
        <v>163</v>
      </c>
      <c r="E48" s="200"/>
      <c r="F48" s="200"/>
    </row>
  </sheetData>
  <customSheetViews>
    <customSheetView guid="{A7BD13BF-7E57-44D7-9B02-43E2FA430390}" showPageBreaks="1" fitToPage="1" printArea="1" topLeftCell="A34">
      <selection activeCell="B50" sqref="B50"/>
      <pageMargins left="0.5" right="0.5" top="0.5" bottom="0.5" header="0.25" footer="0.25"/>
      <printOptions horizontalCentered="1"/>
      <pageSetup scale="77" orientation="landscape" r:id="rId1"/>
      <headerFooter alignWithMargins="0"/>
    </customSheetView>
    <customSheetView guid="{C29552AC-6B79-447F-B962-713ED43BDF1A}" showPageBreaks="1" fitToPage="1" printArea="1">
      <selection sqref="A1:A3"/>
      <pageMargins left="0.5" right="0.5" top="0.5" bottom="0.5" header="0.25" footer="0.25"/>
      <printOptions horizontalCentered="1"/>
      <pageSetup scale="77" orientation="landscape" r:id="rId2"/>
      <headerFooter alignWithMargins="0"/>
    </customSheetView>
    <customSheetView guid="{6ED201AA-AB2E-4FE7-B06B-B07932512C4D}" showPageBreaks="1" fitToPage="1" printArea="1">
      <selection sqref="A1:A3"/>
      <pageMargins left="0.5" right="0.5" top="0.5" bottom="0.5" header="0.25" footer="0.25"/>
      <printOptions horizontalCentered="1"/>
      <pageSetup scale="77" orientation="landscape" r:id="rId3"/>
      <headerFooter alignWithMargins="0"/>
    </customSheetView>
    <customSheetView guid="{D711E10B-9441-4991-A2CB-ED400E35790D}" fitToPage="1" topLeftCell="A34">
      <selection activeCell="B50" sqref="B50"/>
      <pageMargins left="0.5" right="0.5" top="0.5" bottom="0.5" header="0.25" footer="0.25"/>
      <printOptions horizontalCentered="1"/>
      <pageSetup scale="77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81" orientation="landscape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4" tint="0.59999389629810485"/>
    <pageSetUpPr fitToPage="1"/>
  </sheetPr>
  <dimension ref="A1:E15"/>
  <sheetViews>
    <sheetView zoomScaleNormal="100" workbookViewId="0">
      <selection activeCell="D14" sqref="D14"/>
    </sheetView>
  </sheetViews>
  <sheetFormatPr defaultColWidth="9.140625" defaultRowHeight="15" x14ac:dyDescent="0.25"/>
  <cols>
    <col min="1" max="1" width="8" style="212" customWidth="1"/>
    <col min="2" max="2" width="32" style="212" bestFit="1" customWidth="1"/>
    <col min="3" max="3" width="17.140625" style="212" customWidth="1"/>
    <col min="4" max="4" width="20.140625" style="212" customWidth="1"/>
    <col min="5" max="5" width="14.7109375" style="213" customWidth="1"/>
    <col min="6" max="16384" width="9.140625" style="8"/>
  </cols>
  <sheetData>
    <row r="1" spans="1:4" x14ac:dyDescent="0.25">
      <c r="A1" s="199" t="s">
        <v>0</v>
      </c>
      <c r="D1" s="499" t="s">
        <v>750</v>
      </c>
    </row>
    <row r="2" spans="1:4" x14ac:dyDescent="0.25">
      <c r="A2" s="199" t="str">
        <f>'KTW-4,5,8 p1 - Adjust Issues'!A3</f>
        <v>Test Year Based on Twelve Months Ended September 30, 2020</v>
      </c>
      <c r="D2" s="499" t="s">
        <v>755</v>
      </c>
    </row>
    <row r="3" spans="1:4" x14ac:dyDescent="0.25">
      <c r="A3" s="199" t="s">
        <v>677</v>
      </c>
    </row>
    <row r="4" spans="1:4" x14ac:dyDescent="0.25">
      <c r="A4" s="370"/>
    </row>
    <row r="8" spans="1:4" x14ac:dyDescent="0.25">
      <c r="A8" s="313">
        <v>1</v>
      </c>
      <c r="B8" s="212" t="s">
        <v>678</v>
      </c>
      <c r="D8" s="407">
        <f>'[14]WC Model'!$W$610</f>
        <v>175419634.73458335</v>
      </c>
    </row>
    <row r="9" spans="1:4" x14ac:dyDescent="0.25">
      <c r="A9" s="313">
        <f t="shared" ref="A9:A14" si="0">A8+1</f>
        <v>2</v>
      </c>
      <c r="B9" s="212" t="s">
        <v>679</v>
      </c>
      <c r="D9" s="408">
        <f>'[14]WC Model'!$W$611</f>
        <v>-140739150.3520833</v>
      </c>
    </row>
    <row r="10" spans="1:4" x14ac:dyDescent="0.25">
      <c r="A10" s="313">
        <f t="shared" si="0"/>
        <v>3</v>
      </c>
      <c r="B10" s="212" t="s">
        <v>680</v>
      </c>
      <c r="D10" s="403">
        <f>SUM(D8:D9)</f>
        <v>34680484.382500052</v>
      </c>
    </row>
    <row r="11" spans="1:4" x14ac:dyDescent="0.25">
      <c r="A11" s="313">
        <f t="shared" si="0"/>
        <v>4</v>
      </c>
    </row>
    <row r="12" spans="1:4" x14ac:dyDescent="0.25">
      <c r="A12" s="313">
        <f t="shared" si="0"/>
        <v>5</v>
      </c>
      <c r="B12" s="212" t="s">
        <v>681</v>
      </c>
      <c r="D12" s="402">
        <f>'[14]WC Model'!$W$614</f>
        <v>0.10168462954022484</v>
      </c>
    </row>
    <row r="13" spans="1:4" x14ac:dyDescent="0.25">
      <c r="A13" s="313">
        <f t="shared" si="0"/>
        <v>6</v>
      </c>
    </row>
    <row r="14" spans="1:4" ht="15.75" thickBot="1" x14ac:dyDescent="0.3">
      <c r="A14" s="313">
        <f t="shared" si="0"/>
        <v>7</v>
      </c>
      <c r="B14" s="212" t="s">
        <v>682</v>
      </c>
      <c r="D14" s="405">
        <f>D10*D12</f>
        <v>3526472.2067100708</v>
      </c>
    </row>
    <row r="15" spans="1:4" ht="15.75" thickTop="1" x14ac:dyDescent="0.25">
      <c r="A15" s="401"/>
      <c r="B15" s="400"/>
      <c r="C15" s="400"/>
      <c r="D15" s="404"/>
    </row>
  </sheetData>
  <customSheetViews>
    <customSheetView guid="{A7BD13BF-7E57-44D7-9B02-43E2FA430390}" fitToPage="1">
      <selection activeCell="G22" sqref="G22"/>
      <pageMargins left="0.5" right="0.5" top="0.5" bottom="0.5" header="0.25" footer="0.25"/>
      <printOptions horizontalCentered="1"/>
      <pageSetup scale="83" orientation="portrait" r:id="rId1"/>
      <headerFooter alignWithMargins="0"/>
    </customSheetView>
    <customSheetView guid="{C29552AC-6B79-447F-B962-713ED43BDF1A}" fitToPage="1">
      <selection activeCell="J29" sqref="J29"/>
      <pageMargins left="0.5" right="0.5" top="0.5" bottom="0.5" header="0.25" footer="0.25"/>
      <printOptions horizontalCentered="1"/>
      <pageSetup orientation="portrait" r:id="rId2"/>
      <headerFooter alignWithMargins="0"/>
    </customSheetView>
    <customSheetView guid="{6ED201AA-AB2E-4FE7-B06B-B07932512C4D}" fitToPage="1">
      <selection activeCell="G15" sqref="G15"/>
      <pageMargins left="0.5" right="0.5" top="0.5" bottom="0.5" header="0.25" footer="0.25"/>
      <printOptions horizontalCentered="1"/>
      <pageSetup orientation="portrait" r:id="rId3"/>
      <headerFooter alignWithMargins="0"/>
    </customSheetView>
    <customSheetView guid="{D711E10B-9441-4991-A2CB-ED400E35790D}" fitToPage="1">
      <selection activeCell="A20" sqref="A20"/>
      <pageMargins left="0.5" right="0.5" top="0.5" bottom="0.5" header="0.25" footer="0.25"/>
      <printOptions horizontalCentered="1"/>
      <pageSetup scale="83" orientation="portrait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83"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4" tint="0.59999389629810485"/>
    <pageSetUpPr fitToPage="1"/>
  </sheetPr>
  <dimension ref="A1:G28"/>
  <sheetViews>
    <sheetView zoomScale="90" zoomScaleNormal="90" workbookViewId="0">
      <selection activeCell="C20" sqref="C20"/>
    </sheetView>
  </sheetViews>
  <sheetFormatPr defaultColWidth="9.140625" defaultRowHeight="15" x14ac:dyDescent="0.2"/>
  <cols>
    <col min="1" max="1" width="4.7109375" style="1" customWidth="1"/>
    <col min="2" max="2" width="51.140625" style="1" customWidth="1"/>
    <col min="3" max="5" width="13.7109375" style="8" customWidth="1"/>
    <col min="6" max="16384" width="9.140625" style="8"/>
  </cols>
  <sheetData>
    <row r="1" spans="1:7" x14ac:dyDescent="0.2">
      <c r="A1" s="1" t="s">
        <v>0</v>
      </c>
      <c r="E1" s="499" t="s">
        <v>750</v>
      </c>
    </row>
    <row r="2" spans="1:7" x14ac:dyDescent="0.2">
      <c r="A2" s="1" t="str">
        <f>+'KTW-3 p5 - Taxes'!A2</f>
        <v>Test Year Based on Twelve Months Ended September 30, 2020</v>
      </c>
      <c r="E2" s="499" t="s">
        <v>760</v>
      </c>
    </row>
    <row r="3" spans="1:7" x14ac:dyDescent="0.2">
      <c r="A3" s="1" t="s">
        <v>318</v>
      </c>
    </row>
    <row r="5" spans="1:7" x14ac:dyDescent="0.2">
      <c r="C5" s="155" t="s">
        <v>8</v>
      </c>
      <c r="D5" s="155"/>
      <c r="E5" s="155"/>
    </row>
    <row r="6" spans="1:7" x14ac:dyDescent="0.2">
      <c r="A6" s="5" t="s">
        <v>15</v>
      </c>
      <c r="C6" s="155" t="s">
        <v>313</v>
      </c>
      <c r="D6" s="155" t="s">
        <v>29</v>
      </c>
      <c r="E6" s="155" t="s">
        <v>30</v>
      </c>
    </row>
    <row r="7" spans="1:7" x14ac:dyDescent="0.2">
      <c r="A7" s="7" t="s">
        <v>31</v>
      </c>
      <c r="B7" s="7" t="s">
        <v>314</v>
      </c>
      <c r="C7" s="7" t="s">
        <v>50</v>
      </c>
      <c r="D7" s="7" t="s">
        <v>51</v>
      </c>
      <c r="E7" s="7" t="s">
        <v>50</v>
      </c>
    </row>
    <row r="8" spans="1:7" x14ac:dyDescent="0.2">
      <c r="A8" s="5"/>
      <c r="C8" s="5" t="s">
        <v>55</v>
      </c>
      <c r="D8" s="5" t="s">
        <v>56</v>
      </c>
      <c r="E8" s="5" t="s">
        <v>57</v>
      </c>
    </row>
    <row r="9" spans="1:7" x14ac:dyDescent="0.2">
      <c r="A9" s="5"/>
      <c r="B9" s="155"/>
    </row>
    <row r="10" spans="1:7" ht="15.75" thickBot="1" x14ac:dyDescent="0.25">
      <c r="A10" s="5">
        <v>1</v>
      </c>
      <c r="B10" s="1" t="s">
        <v>524</v>
      </c>
      <c r="C10" s="215">
        <f>'[2]2020 Short Report'!$G$86</f>
        <v>227068.88832259961</v>
      </c>
      <c r="D10" s="478">
        <v>1</v>
      </c>
      <c r="E10" s="215">
        <f>-C10*D10</f>
        <v>-227068.88832259961</v>
      </c>
      <c r="G10" s="67"/>
    </row>
    <row r="11" spans="1:7" ht="15.75" thickTop="1" x14ac:dyDescent="0.2">
      <c r="A11" s="5"/>
      <c r="B11" s="391"/>
      <c r="C11" s="217"/>
      <c r="D11" s="216"/>
      <c r="E11" s="217"/>
    </row>
    <row r="12" spans="1:7" x14ac:dyDescent="0.2">
      <c r="A12" s="5"/>
      <c r="E12" s="59"/>
    </row>
    <row r="13" spans="1:7" x14ac:dyDescent="0.2">
      <c r="A13" s="5"/>
      <c r="E13" s="59"/>
    </row>
    <row r="14" spans="1:7" x14ac:dyDescent="0.2">
      <c r="C14" s="5"/>
      <c r="D14" s="155" t="s">
        <v>48</v>
      </c>
      <c r="E14" s="155" t="s">
        <v>30</v>
      </c>
    </row>
    <row r="15" spans="1:7" x14ac:dyDescent="0.2">
      <c r="C15" s="155" t="s">
        <v>7</v>
      </c>
      <c r="D15" s="155" t="s">
        <v>310</v>
      </c>
      <c r="E15" s="155" t="s">
        <v>8</v>
      </c>
    </row>
    <row r="16" spans="1:7" x14ac:dyDescent="0.2">
      <c r="A16" s="5"/>
      <c r="C16" s="155" t="s">
        <v>28</v>
      </c>
      <c r="D16" s="155" t="s">
        <v>311</v>
      </c>
      <c r="E16" s="155" t="s">
        <v>313</v>
      </c>
    </row>
    <row r="17" spans="1:7" x14ac:dyDescent="0.2">
      <c r="A17" s="5"/>
      <c r="B17" s="7" t="s">
        <v>409</v>
      </c>
      <c r="C17" s="7" t="s">
        <v>50</v>
      </c>
      <c r="D17" s="7" t="s">
        <v>312</v>
      </c>
      <c r="E17" s="7" t="s">
        <v>50</v>
      </c>
    </row>
    <row r="18" spans="1:7" x14ac:dyDescent="0.2">
      <c r="A18" s="5"/>
      <c r="B18" s="5"/>
      <c r="C18" s="5" t="s">
        <v>55</v>
      </c>
      <c r="D18" s="5" t="s">
        <v>56</v>
      </c>
      <c r="E18" s="5" t="s">
        <v>57</v>
      </c>
    </row>
    <row r="19" spans="1:7" x14ac:dyDescent="0.2">
      <c r="A19" s="5"/>
      <c r="B19" s="8"/>
      <c r="C19" s="5"/>
      <c r="D19" s="1"/>
      <c r="E19" s="1"/>
    </row>
    <row r="20" spans="1:7" ht="15.75" thickBot="1" x14ac:dyDescent="0.25">
      <c r="A20" s="5">
        <v>2</v>
      </c>
      <c r="B20" s="1" t="s">
        <v>601</v>
      </c>
      <c r="C20" s="215">
        <f>'[2]2020 Short Report'!$E$87</f>
        <v>490926.62</v>
      </c>
      <c r="D20" s="479">
        <f>'KTW-3 p4 - Factors'!D9</f>
        <v>0.11639999999999995</v>
      </c>
      <c r="E20" s="215">
        <f>-+C20*D20</f>
        <v>-57143.858567999974</v>
      </c>
      <c r="G20" s="67"/>
    </row>
    <row r="21" spans="1:7" ht="15.75" thickTop="1" x14ac:dyDescent="0.2">
      <c r="A21" s="5"/>
      <c r="B21" s="391"/>
      <c r="E21" s="29"/>
    </row>
    <row r="22" spans="1:7" x14ac:dyDescent="0.2">
      <c r="A22" s="5"/>
      <c r="E22" s="29"/>
    </row>
    <row r="25" spans="1:7" x14ac:dyDescent="0.2">
      <c r="A25" s="8"/>
      <c r="B25" s="7" t="s">
        <v>559</v>
      </c>
    </row>
    <row r="26" spans="1:7" x14ac:dyDescent="0.2">
      <c r="A26" s="8"/>
      <c r="B26" s="8"/>
    </row>
    <row r="27" spans="1:7" ht="15.75" thickBot="1" x14ac:dyDescent="0.25">
      <c r="A27" s="5">
        <v>3</v>
      </c>
      <c r="B27" s="1" t="s">
        <v>525</v>
      </c>
      <c r="E27" s="218">
        <f>+E10+E20</f>
        <v>-284212.74689059961</v>
      </c>
    </row>
    <row r="28" spans="1:7" ht="15.75" thickTop="1" x14ac:dyDescent="0.2"/>
  </sheetData>
  <customSheetViews>
    <customSheetView guid="{A7BD13BF-7E57-44D7-9B02-43E2FA430390}" fitToPage="1" topLeftCell="B1">
      <selection activeCell="H19" sqref="H19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fitToPage="1">
      <selection activeCell="I22" sqref="I22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fitToPage="1">
      <selection activeCell="I22" sqref="I22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 topLeftCell="B1">
      <selection activeCell="H19" sqref="H19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tabColor theme="4" tint="0.59999389629810485"/>
    <pageSetUpPr fitToPage="1"/>
  </sheetPr>
  <dimension ref="A1:G36"/>
  <sheetViews>
    <sheetView workbookViewId="0">
      <selection activeCell="J16" sqref="J16:J17"/>
    </sheetView>
  </sheetViews>
  <sheetFormatPr defaultColWidth="9.140625" defaultRowHeight="15" x14ac:dyDescent="0.2"/>
  <cols>
    <col min="1" max="1" width="4.7109375" style="1" customWidth="1"/>
    <col min="2" max="2" width="40.7109375" style="1" customWidth="1"/>
    <col min="3" max="3" width="13.5703125" style="8" customWidth="1"/>
    <col min="4" max="5" width="14.7109375" style="8" customWidth="1"/>
    <col min="6" max="16384" width="9.140625" style="8"/>
  </cols>
  <sheetData>
    <row r="1" spans="1:7" x14ac:dyDescent="0.2">
      <c r="A1" s="1" t="str">
        <f>'KTW-4 p7 - Uncollectible'!A1</f>
        <v>NW Natural</v>
      </c>
      <c r="D1" s="1"/>
      <c r="E1" s="499" t="s">
        <v>750</v>
      </c>
    </row>
    <row r="2" spans="1:7" x14ac:dyDescent="0.2">
      <c r="A2" s="1" t="str">
        <f>'KTW-4 p7 - Uncollectible'!A2</f>
        <v>Test Year Based on Twelve Months Ended September 30, 2020</v>
      </c>
      <c r="D2" s="1"/>
      <c r="E2" s="499" t="s">
        <v>766</v>
      </c>
    </row>
    <row r="3" spans="1:7" x14ac:dyDescent="0.2">
      <c r="A3" s="1" t="s">
        <v>6</v>
      </c>
      <c r="D3" s="1"/>
      <c r="E3" s="1"/>
    </row>
    <row r="4" spans="1:7" x14ac:dyDescent="0.2">
      <c r="D4" s="1"/>
      <c r="E4" s="1"/>
    </row>
    <row r="5" spans="1:7" x14ac:dyDescent="0.2">
      <c r="D5" s="1"/>
      <c r="E5" s="1"/>
    </row>
    <row r="6" spans="1:7" x14ac:dyDescent="0.2">
      <c r="A6" s="5" t="s">
        <v>15</v>
      </c>
      <c r="D6" s="1"/>
      <c r="E6" s="1"/>
    </row>
    <row r="7" spans="1:7" x14ac:dyDescent="0.2">
      <c r="A7" s="7" t="s">
        <v>31</v>
      </c>
      <c r="D7" s="7" t="s">
        <v>53</v>
      </c>
      <c r="E7" s="7" t="s">
        <v>54</v>
      </c>
    </row>
    <row r="8" spans="1:7" x14ac:dyDescent="0.2">
      <c r="A8" s="5"/>
      <c r="D8" s="5" t="s">
        <v>55</v>
      </c>
      <c r="E8" s="5" t="s">
        <v>56</v>
      </c>
    </row>
    <row r="9" spans="1:7" x14ac:dyDescent="0.2">
      <c r="A9" s="5"/>
    </row>
    <row r="10" spans="1:7" x14ac:dyDescent="0.2">
      <c r="A10" s="5"/>
    </row>
    <row r="11" spans="1:7" x14ac:dyDescent="0.2">
      <c r="A11" s="5">
        <v>1</v>
      </c>
      <c r="B11" s="1" t="s">
        <v>82</v>
      </c>
      <c r="D11" s="59">
        <f>'[15]Actual Ord. Claims - 2019-20'!$G$17</f>
        <v>123746.41</v>
      </c>
      <c r="E11" s="59">
        <f>'[15]Actual Ord. Claims - 2019-20'!$G$20</f>
        <v>79360.45</v>
      </c>
      <c r="G11" s="31"/>
    </row>
    <row r="12" spans="1:7" x14ac:dyDescent="0.2">
      <c r="A12" s="5"/>
      <c r="G12" s="31"/>
    </row>
    <row r="13" spans="1:7" x14ac:dyDescent="0.2">
      <c r="A13" s="5"/>
      <c r="B13" s="1" t="s">
        <v>91</v>
      </c>
      <c r="G13" s="31"/>
    </row>
    <row r="14" spans="1:7" x14ac:dyDescent="0.2">
      <c r="A14" s="5">
        <v>2</v>
      </c>
      <c r="B14" s="1" t="s">
        <v>483</v>
      </c>
      <c r="D14" s="29">
        <f>'[15]Actual Ord. Claims - 2019-20'!$H$13</f>
        <v>148746.41</v>
      </c>
      <c r="E14" s="29">
        <f>'[15]Actual Ord. Claims - 2019-20'!$H$20</f>
        <v>66360.450000000012</v>
      </c>
      <c r="G14" s="31"/>
    </row>
    <row r="15" spans="1:7" x14ac:dyDescent="0.2">
      <c r="A15" s="5">
        <v>3</v>
      </c>
      <c r="B15" s="1" t="s">
        <v>495</v>
      </c>
      <c r="D15" s="49">
        <f>C32</f>
        <v>12101.416666666666</v>
      </c>
      <c r="E15" s="49">
        <v>0</v>
      </c>
    </row>
    <row r="16" spans="1:7" x14ac:dyDescent="0.2">
      <c r="A16" s="5">
        <v>4</v>
      </c>
      <c r="B16" s="1" t="s">
        <v>102</v>
      </c>
      <c r="D16" s="29">
        <f>D14+D15</f>
        <v>160847.82666666666</v>
      </c>
      <c r="E16" s="29">
        <f>E14+E15</f>
        <v>66360.450000000012</v>
      </c>
    </row>
    <row r="17" spans="1:7" x14ac:dyDescent="0.2">
      <c r="A17" s="5"/>
      <c r="D17" s="29"/>
      <c r="E17" s="29"/>
    </row>
    <row r="18" spans="1:7" x14ac:dyDescent="0.2">
      <c r="A18" s="5">
        <v>5</v>
      </c>
      <c r="B18" s="1" t="s">
        <v>109</v>
      </c>
      <c r="D18" s="29">
        <f>D16-D11</f>
        <v>37101.416666666657</v>
      </c>
      <c r="E18" s="29">
        <f>E16-E11</f>
        <v>-12999.999999999985</v>
      </c>
    </row>
    <row r="19" spans="1:7" x14ac:dyDescent="0.2">
      <c r="A19" s="5"/>
    </row>
    <row r="20" spans="1:7" x14ac:dyDescent="0.2">
      <c r="A20" s="5">
        <v>6</v>
      </c>
      <c r="B20" s="1" t="s">
        <v>114</v>
      </c>
      <c r="C20" s="77"/>
    </row>
    <row r="21" spans="1:7" x14ac:dyDescent="0.2">
      <c r="A21" s="5"/>
      <c r="B21" s="1" t="s">
        <v>118</v>
      </c>
      <c r="D21" s="60">
        <f>+'KTW-3 p4 - Factors'!D13</f>
        <v>0.10960000000000003</v>
      </c>
      <c r="E21" s="60">
        <f>+'KTW-3 p4 - Factors'!D25</f>
        <v>0.11970000000000003</v>
      </c>
      <c r="G21" s="31"/>
    </row>
    <row r="22" spans="1:7" x14ac:dyDescent="0.2">
      <c r="A22" s="5"/>
    </row>
    <row r="23" spans="1:7" ht="15.75" thickBot="1" x14ac:dyDescent="0.25">
      <c r="A23" s="5">
        <v>7</v>
      </c>
      <c r="B23" s="1" t="s">
        <v>26</v>
      </c>
      <c r="D23" s="62">
        <f>D18*D21</f>
        <v>4066.315266666667</v>
      </c>
      <c r="E23" s="62">
        <f>E18*E21</f>
        <v>-1556.0999999999985</v>
      </c>
    </row>
    <row r="24" spans="1:7" ht="15.75" thickTop="1" x14ac:dyDescent="0.2">
      <c r="A24" s="5"/>
    </row>
    <row r="25" spans="1:7" x14ac:dyDescent="0.2">
      <c r="A25" s="5"/>
    </row>
    <row r="27" spans="1:7" x14ac:dyDescent="0.2">
      <c r="A27" s="1" t="s">
        <v>242</v>
      </c>
      <c r="B27" s="1" t="s">
        <v>154</v>
      </c>
      <c r="C27" s="24" t="s">
        <v>630</v>
      </c>
    </row>
    <row r="29" spans="1:7" x14ac:dyDescent="0.2">
      <c r="B29" s="219" t="s">
        <v>494</v>
      </c>
      <c r="C29" s="29">
        <f>'[15]Actual Ord. Claims - 2017-18'!$H$15</f>
        <v>21304.25</v>
      </c>
      <c r="D29" s="29"/>
    </row>
    <row r="30" spans="1:7" x14ac:dyDescent="0.2">
      <c r="B30" s="219" t="s">
        <v>610</v>
      </c>
      <c r="C30" s="29">
        <f>'[15]Actual Ord. Claims - 2018-19'!$H$15</f>
        <v>-35000</v>
      </c>
      <c r="D30" s="29"/>
    </row>
    <row r="31" spans="1:7" x14ac:dyDescent="0.2">
      <c r="B31" s="219" t="s">
        <v>611</v>
      </c>
      <c r="C31" s="49">
        <f>'[15]Actual Ord. Claims - 2019-20'!$H$15</f>
        <v>50000</v>
      </c>
      <c r="D31" s="31"/>
    </row>
    <row r="32" spans="1:7" x14ac:dyDescent="0.2">
      <c r="B32" s="1" t="s">
        <v>433</v>
      </c>
      <c r="C32" s="29">
        <f>AVERAGE(C29:C31)</f>
        <v>12101.416666666666</v>
      </c>
    </row>
    <row r="36" spans="2:2" x14ac:dyDescent="0.2">
      <c r="B36" s="219"/>
    </row>
  </sheetData>
  <customSheetViews>
    <customSheetView guid="{A7BD13BF-7E57-44D7-9B02-43E2FA430390}" showPageBreaks="1" fitToPage="1" printArea="1">
      <selection activeCell="H26" sqref="H26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showPageBreaks="1" fitToPage="1" printArea="1">
      <selection activeCell="J20" sqref="J20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showPageBreaks="1" fitToPage="1" printArea="1">
      <selection activeCell="J20" sqref="J20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>
      <selection activeCell="H26" sqref="H26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>
    <tabColor theme="4" tint="0.59999389629810485"/>
    <pageSetUpPr fitToPage="1"/>
  </sheetPr>
  <dimension ref="A1:E20"/>
  <sheetViews>
    <sheetView workbookViewId="0">
      <selection activeCell="E4" sqref="E4:E22"/>
    </sheetView>
  </sheetViews>
  <sheetFormatPr defaultColWidth="9.140625" defaultRowHeight="15" x14ac:dyDescent="0.2"/>
  <cols>
    <col min="1" max="1" width="4.7109375" style="8" customWidth="1"/>
    <col min="2" max="2" width="52.28515625" style="8" customWidth="1"/>
    <col min="3" max="3" width="14.85546875" style="8" customWidth="1"/>
    <col min="4" max="16384" width="9.140625" style="8"/>
  </cols>
  <sheetData>
    <row r="1" spans="1:5" x14ac:dyDescent="0.2">
      <c r="A1" s="1" t="str">
        <f>'KTW-4 p7 - Uncollectible'!A1</f>
        <v>NW Natural</v>
      </c>
      <c r="B1" s="1"/>
      <c r="C1" s="499" t="s">
        <v>750</v>
      </c>
    </row>
    <row r="2" spans="1:5" x14ac:dyDescent="0.2">
      <c r="A2" s="1" t="str">
        <f>'KTW-4 p7 - Uncollectible'!A2</f>
        <v>Test Year Based on Twelve Months Ended September 30, 2020</v>
      </c>
      <c r="B2" s="1"/>
      <c r="C2" s="499" t="s">
        <v>773</v>
      </c>
    </row>
    <row r="3" spans="1:5" x14ac:dyDescent="0.2">
      <c r="A3" s="169" t="s">
        <v>280</v>
      </c>
      <c r="B3" s="1"/>
      <c r="C3" s="1"/>
    </row>
    <row r="4" spans="1:5" x14ac:dyDescent="0.2">
      <c r="A4" s="1"/>
      <c r="B4" s="1"/>
      <c r="C4" s="1"/>
    </row>
    <row r="5" spans="1:5" x14ac:dyDescent="0.2">
      <c r="A5" s="1"/>
      <c r="B5" s="1"/>
      <c r="C5" s="1"/>
    </row>
    <row r="6" spans="1:5" x14ac:dyDescent="0.2">
      <c r="A6" s="5" t="s">
        <v>15</v>
      </c>
      <c r="B6" s="1"/>
      <c r="C6" s="1"/>
    </row>
    <row r="7" spans="1:5" x14ac:dyDescent="0.2">
      <c r="A7" s="572" t="s">
        <v>31</v>
      </c>
      <c r="B7" s="1"/>
      <c r="C7" s="572" t="s">
        <v>53</v>
      </c>
      <c r="E7" s="342"/>
    </row>
    <row r="8" spans="1:5" x14ac:dyDescent="0.2">
      <c r="A8" s="5"/>
      <c r="B8" s="1"/>
      <c r="C8" s="5" t="s">
        <v>55</v>
      </c>
    </row>
    <row r="9" spans="1:5" x14ac:dyDescent="0.2">
      <c r="A9" s="5"/>
      <c r="B9" s="1"/>
    </row>
    <row r="10" spans="1:5" x14ac:dyDescent="0.2">
      <c r="A10" s="5"/>
      <c r="B10" s="1"/>
    </row>
    <row r="11" spans="1:5" ht="15.75" thickBot="1" x14ac:dyDescent="0.25">
      <c r="A11" s="5">
        <v>1</v>
      </c>
      <c r="B11" s="1" t="s">
        <v>279</v>
      </c>
      <c r="C11" s="220">
        <f>+C20</f>
        <v>330000</v>
      </c>
    </row>
    <row r="12" spans="1:5" ht="15.75" thickTop="1" x14ac:dyDescent="0.2"/>
    <row r="13" spans="1:5" ht="15.75" thickBot="1" x14ac:dyDescent="0.25">
      <c r="A13" s="5">
        <v>2</v>
      </c>
      <c r="B13" s="1" t="s">
        <v>281</v>
      </c>
      <c r="C13" s="62">
        <f>+C11/3</f>
        <v>110000</v>
      </c>
    </row>
    <row r="14" spans="1:5" ht="15.75" thickTop="1" x14ac:dyDescent="0.2"/>
    <row r="18" spans="2:5" x14ac:dyDescent="0.2">
      <c r="B18" s="1" t="s">
        <v>547</v>
      </c>
      <c r="C18" s="59">
        <v>130000</v>
      </c>
      <c r="E18" s="330"/>
    </row>
    <row r="19" spans="2:5" x14ac:dyDescent="0.2">
      <c r="B19" s="1" t="s">
        <v>548</v>
      </c>
      <c r="C19" s="592">
        <v>200000</v>
      </c>
      <c r="E19" s="330"/>
    </row>
    <row r="20" spans="2:5" x14ac:dyDescent="0.2">
      <c r="B20" s="221" t="s">
        <v>549</v>
      </c>
      <c r="C20" s="59">
        <f>C18+C19</f>
        <v>330000</v>
      </c>
    </row>
  </sheetData>
  <customSheetViews>
    <customSheetView guid="{A7BD13BF-7E57-44D7-9B02-43E2FA430390}" showPageBreaks="1" fitToPage="1" printArea="1">
      <selection activeCell="K32" sqref="K32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showPageBreaks="1" fitToPage="1" printArea="1">
      <selection activeCell="K22" sqref="K22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showPageBreaks="1" fitToPage="1" printArea="1">
      <selection activeCell="K22" sqref="K22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>
      <selection activeCell="K32" sqref="K32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phoneticPr fontId="5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4" tint="0.59999389629810485"/>
    <pageSetUpPr fitToPage="1"/>
  </sheetPr>
  <dimension ref="A1:L61"/>
  <sheetViews>
    <sheetView zoomScaleNormal="90" workbookViewId="0">
      <selection activeCell="D23" sqref="D23"/>
    </sheetView>
  </sheetViews>
  <sheetFormatPr defaultColWidth="8.85546875" defaultRowHeight="15" x14ac:dyDescent="0.2"/>
  <cols>
    <col min="1" max="1" width="4.7109375" style="36" customWidth="1"/>
    <col min="2" max="2" width="37.42578125" style="36" customWidth="1"/>
    <col min="3" max="3" width="14.42578125" style="37" customWidth="1"/>
    <col min="4" max="4" width="14.7109375" style="37" customWidth="1"/>
    <col min="5" max="5" width="8.85546875" style="37"/>
    <col min="6" max="6" width="28.42578125" style="37" bestFit="1" customWidth="1"/>
    <col min="7" max="7" width="16.42578125" style="37" customWidth="1"/>
    <col min="8" max="11" width="13.7109375" style="37" customWidth="1"/>
    <col min="12" max="16384" width="8.85546875" style="37"/>
  </cols>
  <sheetData>
    <row r="1" spans="1:11" x14ac:dyDescent="0.2">
      <c r="A1" s="36" t="str">
        <f>'KTW-2 - Rev Req'!A1</f>
        <v>NW Natural</v>
      </c>
      <c r="D1" s="499" t="s">
        <v>750</v>
      </c>
      <c r="F1" s="36" t="s">
        <v>565</v>
      </c>
    </row>
    <row r="2" spans="1:11" x14ac:dyDescent="0.2">
      <c r="A2" s="36" t="str">
        <f>+'KTW-4 p9 - Marketing'!A2</f>
        <v>Test Year Based on Twelve Months Ended September 30, 2020</v>
      </c>
      <c r="D2" s="499" t="s">
        <v>774</v>
      </c>
      <c r="F2" s="38"/>
      <c r="G2" s="489" t="s">
        <v>744</v>
      </c>
      <c r="H2" s="488" t="s">
        <v>612</v>
      </c>
      <c r="I2" s="488" t="s">
        <v>11</v>
      </c>
    </row>
    <row r="3" spans="1:11" ht="15.75" thickBot="1" x14ac:dyDescent="0.25">
      <c r="A3" s="36" t="s">
        <v>210</v>
      </c>
      <c r="F3" s="38"/>
      <c r="G3" s="492" t="s">
        <v>532</v>
      </c>
      <c r="H3" s="493" t="s">
        <v>532</v>
      </c>
      <c r="I3" s="493" t="s">
        <v>532</v>
      </c>
    </row>
    <row r="4" spans="1:11" x14ac:dyDescent="0.2">
      <c r="F4" s="38"/>
      <c r="H4" s="490"/>
      <c r="I4" s="490"/>
    </row>
    <row r="5" spans="1:11" x14ac:dyDescent="0.2">
      <c r="F5" s="38" t="s">
        <v>534</v>
      </c>
      <c r="G5" s="226">
        <f>'[16]2020 vs 2019 Clearing Adj'!B9</f>
        <v>-264490.42999999988</v>
      </c>
      <c r="H5" s="226">
        <f>'[16]2020 vs 2019 Clearing Adj'!D9</f>
        <v>142442.62</v>
      </c>
      <c r="I5" s="491">
        <f t="shared" ref="I5:I13" si="0">+H5-G5</f>
        <v>406933.04999999987</v>
      </c>
    </row>
    <row r="6" spans="1:11" x14ac:dyDescent="0.2">
      <c r="A6" s="39" t="s">
        <v>15</v>
      </c>
      <c r="F6" s="38" t="s">
        <v>535</v>
      </c>
      <c r="G6" s="226">
        <f>'[16]2020 vs 2019 Clearing Adj'!B10</f>
        <v>412416.52999999933</v>
      </c>
      <c r="H6" s="226">
        <f>'[16]2020 vs 2019 Clearing Adj'!D10</f>
        <v>-62145.67</v>
      </c>
      <c r="I6" s="491">
        <f t="shared" si="0"/>
        <v>-474562.19999999931</v>
      </c>
    </row>
    <row r="7" spans="1:11" x14ac:dyDescent="0.2">
      <c r="A7" s="229" t="s">
        <v>31</v>
      </c>
      <c r="D7" s="41" t="s">
        <v>50</v>
      </c>
      <c r="F7" s="38" t="s">
        <v>536</v>
      </c>
      <c r="G7" s="226">
        <f>'[16]2020 vs 2019 Clearing Adj'!B11</f>
        <v>87233.299999999901</v>
      </c>
      <c r="H7" s="226">
        <f>'[16]2020 vs 2019 Clearing Adj'!D11</f>
        <v>0</v>
      </c>
      <c r="I7" s="491">
        <f t="shared" si="0"/>
        <v>-87233.299999999901</v>
      </c>
    </row>
    <row r="8" spans="1:11" x14ac:dyDescent="0.2">
      <c r="A8" s="39"/>
      <c r="F8" s="38" t="s">
        <v>537</v>
      </c>
      <c r="G8" s="226">
        <f>'[16]2020 vs 2019 Clearing Adj'!B12</f>
        <v>13432.219999999739</v>
      </c>
      <c r="H8" s="226">
        <f>'[16]2020 vs 2019 Clearing Adj'!D12</f>
        <v>7.0000000000000007E-2</v>
      </c>
      <c r="I8" s="491">
        <f t="shared" si="0"/>
        <v>-13432.14999999974</v>
      </c>
    </row>
    <row r="9" spans="1:11" x14ac:dyDescent="0.2">
      <c r="A9" s="39"/>
      <c r="F9" s="38" t="s">
        <v>538</v>
      </c>
      <c r="G9" s="226">
        <f>'[16]2020 vs 2019 Clearing Adj'!B13</f>
        <v>-14762.099999999977</v>
      </c>
      <c r="H9" s="226">
        <f>'[16]2020 vs 2019 Clearing Adj'!D13</f>
        <v>-0.42</v>
      </c>
      <c r="I9" s="491">
        <f t="shared" si="0"/>
        <v>14761.679999999977</v>
      </c>
    </row>
    <row r="10" spans="1:11" x14ac:dyDescent="0.2">
      <c r="A10" s="39">
        <v>1</v>
      </c>
      <c r="B10" s="36" t="s">
        <v>212</v>
      </c>
      <c r="D10" s="119">
        <f>+H60</f>
        <v>-30850.694657576569</v>
      </c>
      <c r="F10" s="38" t="s">
        <v>43</v>
      </c>
      <c r="G10" s="226">
        <f>'[16]2020 vs 2019 Clearing Adj'!B14</f>
        <v>0.01</v>
      </c>
      <c r="H10" s="226">
        <f>'[16]2020 vs 2019 Clearing Adj'!D14</f>
        <v>1.0000000002328306</v>
      </c>
      <c r="I10" s="491">
        <f t="shared" si="0"/>
        <v>0.99000000023283063</v>
      </c>
    </row>
    <row r="11" spans="1:11" x14ac:dyDescent="0.2">
      <c r="A11" s="39"/>
      <c r="D11" s="130"/>
      <c r="F11" s="38" t="s">
        <v>539</v>
      </c>
      <c r="G11" s="226">
        <f>'[16]2020 vs 2019 Clearing Adj'!B15</f>
        <v>257958.05999999997</v>
      </c>
      <c r="H11" s="226">
        <f>'[16]2020 vs 2019 Clearing Adj'!D15</f>
        <v>-99579.69</v>
      </c>
      <c r="I11" s="491">
        <f t="shared" si="0"/>
        <v>-357537.75</v>
      </c>
    </row>
    <row r="12" spans="1:11" x14ac:dyDescent="0.2">
      <c r="A12" s="39">
        <v>2</v>
      </c>
      <c r="B12" s="36" t="s">
        <v>213</v>
      </c>
      <c r="D12" s="119">
        <f>+I60</f>
        <v>-79301.031419637919</v>
      </c>
      <c r="F12" s="38" t="s">
        <v>540</v>
      </c>
      <c r="G12" s="226">
        <f>'[16]2020 vs 2019 Clearing Adj'!B16</f>
        <v>5.8207660913467407E-11</v>
      </c>
      <c r="H12" s="226">
        <f>'[16]2020 vs 2019 Clearing Adj'!D16</f>
        <v>-3.637978807091713E-12</v>
      </c>
      <c r="I12" s="491">
        <f t="shared" si="0"/>
        <v>-6.184563972055912E-11</v>
      </c>
    </row>
    <row r="13" spans="1:11" x14ac:dyDescent="0.2">
      <c r="A13" s="39"/>
      <c r="D13" s="130"/>
      <c r="F13" s="38" t="s">
        <v>542</v>
      </c>
      <c r="G13" s="336">
        <f>'[16]2020 vs 2019 Clearing Adj'!B17</f>
        <v>1796959.23</v>
      </c>
      <c r="H13" s="336">
        <f>'[16]2020 vs 2019 Clearing Adj'!D17</f>
        <v>1374690.6199999999</v>
      </c>
      <c r="I13" s="491">
        <f t="shared" si="0"/>
        <v>-422268.6100000001</v>
      </c>
    </row>
    <row r="14" spans="1:11" x14ac:dyDescent="0.2">
      <c r="A14" s="39"/>
      <c r="D14" s="130"/>
      <c r="F14" s="38" t="s">
        <v>532</v>
      </c>
      <c r="G14" s="494">
        <f>SUM(G5:G13)</f>
        <v>2288746.8199999994</v>
      </c>
      <c r="H14" s="494">
        <f>SUM(H5:H13)</f>
        <v>1355408.53</v>
      </c>
      <c r="I14" s="494">
        <f>SUM(I5:I13)</f>
        <v>-933338.28999999911</v>
      </c>
    </row>
    <row r="15" spans="1:11" ht="15.75" thickBot="1" x14ac:dyDescent="0.25">
      <c r="A15" s="39"/>
      <c r="B15" s="230"/>
      <c r="D15" s="553"/>
      <c r="F15" s="232"/>
      <c r="G15" s="232"/>
      <c r="H15" s="232"/>
      <c r="I15" s="232"/>
      <c r="J15" s="232"/>
      <c r="K15" s="232"/>
    </row>
    <row r="16" spans="1:11" x14ac:dyDescent="0.2">
      <c r="A16" s="39"/>
      <c r="D16" s="553"/>
      <c r="F16" s="36" t="s">
        <v>564</v>
      </c>
      <c r="G16" s="36"/>
      <c r="H16" s="233" t="s">
        <v>207</v>
      </c>
      <c r="I16" s="233" t="s">
        <v>208</v>
      </c>
      <c r="J16" s="233" t="s">
        <v>209</v>
      </c>
      <c r="K16" s="233" t="s">
        <v>62</v>
      </c>
    </row>
    <row r="17" spans="1:12" x14ac:dyDescent="0.2">
      <c r="A17" s="39"/>
      <c r="D17" s="231"/>
      <c r="G17" s="36"/>
    </row>
    <row r="18" spans="1:12" x14ac:dyDescent="0.2">
      <c r="A18" s="39"/>
      <c r="D18" s="554"/>
      <c r="F18" s="38" t="s">
        <v>534</v>
      </c>
      <c r="H18" s="234">
        <f>+H$29</f>
        <v>0.60199999999999998</v>
      </c>
      <c r="I18" s="234">
        <f t="shared" ref="H18:J24" si="1">+I$29</f>
        <v>0.372</v>
      </c>
      <c r="J18" s="234">
        <f t="shared" si="1"/>
        <v>2.5999999999999999E-2</v>
      </c>
      <c r="K18" s="234">
        <f>+H18+I18+J18</f>
        <v>1</v>
      </c>
    </row>
    <row r="19" spans="1:12" x14ac:dyDescent="0.2">
      <c r="D19" s="554"/>
      <c r="F19" s="38" t="s">
        <v>535</v>
      </c>
      <c r="H19" s="234">
        <f t="shared" si="1"/>
        <v>0.60199999999999998</v>
      </c>
      <c r="I19" s="234">
        <f t="shared" si="1"/>
        <v>0.372</v>
      </c>
      <c r="J19" s="234">
        <f t="shared" si="1"/>
        <v>2.5999999999999999E-2</v>
      </c>
      <c r="K19" s="234">
        <f t="shared" ref="K19:K26" si="2">+H19+I19+J19</f>
        <v>1</v>
      </c>
    </row>
    <row r="20" spans="1:12" x14ac:dyDescent="0.2">
      <c r="F20" s="38" t="s">
        <v>536</v>
      </c>
      <c r="H20" s="234">
        <f t="shared" si="1"/>
        <v>0.60199999999999998</v>
      </c>
      <c r="I20" s="234">
        <f t="shared" si="1"/>
        <v>0.372</v>
      </c>
      <c r="J20" s="234">
        <f t="shared" si="1"/>
        <v>2.5999999999999999E-2</v>
      </c>
      <c r="K20" s="234">
        <f t="shared" si="2"/>
        <v>1</v>
      </c>
    </row>
    <row r="21" spans="1:12" x14ac:dyDescent="0.2">
      <c r="F21" s="38" t="s">
        <v>537</v>
      </c>
      <c r="H21" s="234">
        <f t="shared" si="1"/>
        <v>0.60199999999999998</v>
      </c>
      <c r="I21" s="234">
        <f t="shared" si="1"/>
        <v>0.372</v>
      </c>
      <c r="J21" s="234">
        <f t="shared" si="1"/>
        <v>2.5999999999999999E-2</v>
      </c>
      <c r="K21" s="234">
        <f t="shared" si="2"/>
        <v>1</v>
      </c>
    </row>
    <row r="22" spans="1:12" x14ac:dyDescent="0.2">
      <c r="F22" s="38" t="s">
        <v>538</v>
      </c>
      <c r="H22" s="234">
        <f t="shared" si="1"/>
        <v>0.60199999999999998</v>
      </c>
      <c r="I22" s="234">
        <f t="shared" si="1"/>
        <v>0.372</v>
      </c>
      <c r="J22" s="234">
        <f t="shared" si="1"/>
        <v>2.5999999999999999E-2</v>
      </c>
      <c r="K22" s="234">
        <f t="shared" si="2"/>
        <v>1</v>
      </c>
    </row>
    <row r="23" spans="1:12" x14ac:dyDescent="0.2">
      <c r="F23" s="38" t="s">
        <v>43</v>
      </c>
      <c r="H23" s="234">
        <f t="shared" si="1"/>
        <v>0.60199999999999998</v>
      </c>
      <c r="I23" s="234">
        <f t="shared" si="1"/>
        <v>0.372</v>
      </c>
      <c r="J23" s="234">
        <f t="shared" si="1"/>
        <v>2.5999999999999999E-2</v>
      </c>
      <c r="K23" s="234">
        <f t="shared" si="2"/>
        <v>1</v>
      </c>
    </row>
    <row r="24" spans="1:12" x14ac:dyDescent="0.2">
      <c r="F24" s="38" t="s">
        <v>539</v>
      </c>
      <c r="H24" s="234">
        <f t="shared" si="1"/>
        <v>0.60199999999999998</v>
      </c>
      <c r="I24" s="234">
        <f t="shared" si="1"/>
        <v>0.372</v>
      </c>
      <c r="J24" s="234">
        <f t="shared" si="1"/>
        <v>2.5999999999999999E-2</v>
      </c>
      <c r="K24" s="234">
        <f t="shared" si="2"/>
        <v>1</v>
      </c>
    </row>
    <row r="25" spans="1:12" x14ac:dyDescent="0.2">
      <c r="F25" s="38" t="s">
        <v>540</v>
      </c>
      <c r="H25" s="234">
        <v>0</v>
      </c>
      <c r="I25" s="234">
        <v>0</v>
      </c>
      <c r="J25" s="234">
        <v>1</v>
      </c>
      <c r="K25" s="234">
        <f t="shared" si="2"/>
        <v>1</v>
      </c>
    </row>
    <row r="26" spans="1:12" x14ac:dyDescent="0.2">
      <c r="F26" s="38" t="s">
        <v>542</v>
      </c>
      <c r="H26" s="234">
        <f>+H31</f>
        <v>0</v>
      </c>
      <c r="I26" s="234">
        <f>+I31</f>
        <v>1</v>
      </c>
      <c r="J26" s="234">
        <f>+J31</f>
        <v>0</v>
      </c>
      <c r="K26" s="234">
        <f t="shared" si="2"/>
        <v>1</v>
      </c>
    </row>
    <row r="27" spans="1:12" x14ac:dyDescent="0.2">
      <c r="F27" s="235"/>
      <c r="H27" s="234"/>
      <c r="I27" s="234"/>
      <c r="J27" s="234"/>
      <c r="K27" s="234"/>
    </row>
    <row r="28" spans="1:12" x14ac:dyDescent="0.2">
      <c r="F28" s="235" t="s">
        <v>798</v>
      </c>
      <c r="H28" s="234"/>
      <c r="I28" s="234"/>
      <c r="J28" s="234"/>
      <c r="K28" s="234"/>
    </row>
    <row r="29" spans="1:12" x14ac:dyDescent="0.2">
      <c r="F29" s="37" t="s">
        <v>616</v>
      </c>
      <c r="H29" s="593">
        <v>0.60199999999999998</v>
      </c>
      <c r="I29" s="231">
        <f>1-H29-J29</f>
        <v>0.372</v>
      </c>
      <c r="J29" s="231">
        <v>2.5999999999999999E-2</v>
      </c>
      <c r="K29" s="231">
        <f>SUM(H29:J29)</f>
        <v>1</v>
      </c>
      <c r="L29" s="340"/>
    </row>
    <row r="30" spans="1:12" x14ac:dyDescent="0.2">
      <c r="F30" s="37" t="s">
        <v>543</v>
      </c>
      <c r="H30" s="231">
        <v>0</v>
      </c>
      <c r="I30" s="231">
        <v>1</v>
      </c>
      <c r="J30" s="231">
        <v>0</v>
      </c>
      <c r="K30" s="231">
        <f t="shared" ref="K30:K31" si="3">SUM(H30:J30)</f>
        <v>1</v>
      </c>
    </row>
    <row r="31" spans="1:12" x14ac:dyDescent="0.2">
      <c r="F31" s="37" t="s">
        <v>544</v>
      </c>
      <c r="H31" s="231">
        <v>0</v>
      </c>
      <c r="I31" s="231">
        <v>1</v>
      </c>
      <c r="J31" s="231">
        <v>0</v>
      </c>
      <c r="K31" s="231">
        <f t="shared" si="3"/>
        <v>1</v>
      </c>
    </row>
    <row r="32" spans="1:12" ht="15.75" thickBot="1" x14ac:dyDescent="0.25">
      <c r="F32" s="232"/>
      <c r="G32" s="232"/>
      <c r="H32" s="232"/>
      <c r="I32" s="232"/>
      <c r="J32" s="232"/>
      <c r="K32" s="232"/>
    </row>
    <row r="33" spans="6:11" x14ac:dyDescent="0.2">
      <c r="F33" s="146" t="s">
        <v>567</v>
      </c>
      <c r="H33" s="222" t="s">
        <v>11</v>
      </c>
      <c r="I33" s="236" t="s">
        <v>48</v>
      </c>
      <c r="J33" s="236" t="s">
        <v>48</v>
      </c>
      <c r="K33" s="237" t="s">
        <v>8</v>
      </c>
    </row>
    <row r="34" spans="6:11" x14ac:dyDescent="0.2">
      <c r="F34" s="38"/>
      <c r="H34" s="225" t="s">
        <v>532</v>
      </c>
      <c r="I34" s="223" t="s">
        <v>310</v>
      </c>
      <c r="J34" s="223" t="s">
        <v>533</v>
      </c>
      <c r="K34" s="223" t="s">
        <v>313</v>
      </c>
    </row>
    <row r="35" spans="6:11" x14ac:dyDescent="0.2">
      <c r="H35" s="227"/>
      <c r="I35" s="38"/>
      <c r="J35" s="38"/>
      <c r="K35" s="38"/>
    </row>
    <row r="36" spans="6:11" x14ac:dyDescent="0.2">
      <c r="F36" s="38" t="s">
        <v>534</v>
      </c>
      <c r="H36" s="228">
        <f t="shared" ref="H36:H44" si="4">+I5</f>
        <v>406933.04999999987</v>
      </c>
      <c r="I36" s="238" t="s">
        <v>23</v>
      </c>
      <c r="J36" s="555">
        <f>+'KTW-3 p4 - Factors'!D18</f>
        <v>0.100274</v>
      </c>
      <c r="K36" s="239">
        <f>+H36*J36</f>
        <v>40804.804655699991</v>
      </c>
    </row>
    <row r="37" spans="6:11" x14ac:dyDescent="0.2">
      <c r="F37" s="38" t="s">
        <v>535</v>
      </c>
      <c r="H37" s="228">
        <f t="shared" si="4"/>
        <v>-474562.19999999931</v>
      </c>
      <c r="I37" s="238" t="s">
        <v>23</v>
      </c>
      <c r="J37" s="555">
        <f t="shared" ref="J37:J42" si="5">+J36</f>
        <v>0.100274</v>
      </c>
      <c r="K37" s="239">
        <f t="shared" ref="K37:K44" si="6">+H37*J37</f>
        <v>-47586.250042799933</v>
      </c>
    </row>
    <row r="38" spans="6:11" x14ac:dyDescent="0.2">
      <c r="F38" s="38" t="s">
        <v>536</v>
      </c>
      <c r="H38" s="228">
        <f t="shared" si="4"/>
        <v>-87233.299999999901</v>
      </c>
      <c r="I38" s="238" t="s">
        <v>23</v>
      </c>
      <c r="J38" s="555">
        <f t="shared" si="5"/>
        <v>0.100274</v>
      </c>
      <c r="K38" s="239">
        <f t="shared" si="6"/>
        <v>-8747.2319241999903</v>
      </c>
    </row>
    <row r="39" spans="6:11" x14ac:dyDescent="0.2">
      <c r="F39" s="38" t="s">
        <v>537</v>
      </c>
      <c r="H39" s="228">
        <f t="shared" si="4"/>
        <v>-13432.14999999974</v>
      </c>
      <c r="I39" s="238" t="s">
        <v>23</v>
      </c>
      <c r="J39" s="555">
        <f t="shared" si="5"/>
        <v>0.100274</v>
      </c>
      <c r="K39" s="239">
        <f t="shared" si="6"/>
        <v>-1346.8954090999739</v>
      </c>
    </row>
    <row r="40" spans="6:11" x14ac:dyDescent="0.2">
      <c r="F40" s="38" t="s">
        <v>538</v>
      </c>
      <c r="H40" s="228">
        <f t="shared" si="4"/>
        <v>14761.679999999977</v>
      </c>
      <c r="I40" s="238" t="s">
        <v>23</v>
      </c>
      <c r="J40" s="555">
        <f t="shared" si="5"/>
        <v>0.100274</v>
      </c>
      <c r="K40" s="239">
        <f t="shared" si="6"/>
        <v>1480.2127003199978</v>
      </c>
    </row>
    <row r="41" spans="6:11" x14ac:dyDescent="0.2">
      <c r="F41" s="38" t="s">
        <v>43</v>
      </c>
      <c r="H41" s="228">
        <f t="shared" si="4"/>
        <v>0.99000000023283063</v>
      </c>
      <c r="I41" s="238" t="s">
        <v>23</v>
      </c>
      <c r="J41" s="555">
        <f t="shared" si="5"/>
        <v>0.100274</v>
      </c>
      <c r="K41" s="239">
        <f t="shared" si="6"/>
        <v>9.9271260023346866E-2</v>
      </c>
    </row>
    <row r="42" spans="6:11" x14ac:dyDescent="0.2">
      <c r="F42" s="38" t="s">
        <v>539</v>
      </c>
      <c r="H42" s="228">
        <f t="shared" si="4"/>
        <v>-357537.75</v>
      </c>
      <c r="I42" s="238" t="s">
        <v>23</v>
      </c>
      <c r="J42" s="555">
        <f t="shared" si="5"/>
        <v>0.100274</v>
      </c>
      <c r="K42" s="239">
        <f t="shared" si="6"/>
        <v>-35851.740343500001</v>
      </c>
    </row>
    <row r="43" spans="6:11" x14ac:dyDescent="0.2">
      <c r="F43" s="38" t="s">
        <v>540</v>
      </c>
      <c r="H43" s="228">
        <f t="shared" si="4"/>
        <v>-6.184563972055912E-11</v>
      </c>
      <c r="I43" s="238" t="s">
        <v>541</v>
      </c>
      <c r="J43" s="555">
        <f>+'KTW-3 p4 - Factors'!D24</f>
        <v>0</v>
      </c>
      <c r="K43" s="239">
        <f t="shared" si="6"/>
        <v>0</v>
      </c>
    </row>
    <row r="44" spans="6:11" x14ac:dyDescent="0.2">
      <c r="F44" s="38" t="s">
        <v>542</v>
      </c>
      <c r="H44" s="240">
        <f t="shared" si="4"/>
        <v>-422268.6100000001</v>
      </c>
      <c r="I44" s="336" t="s">
        <v>182</v>
      </c>
      <c r="J44" s="556">
        <f>+'KTW-3 p4 - Factors'!D28</f>
        <v>0.14265125464404022</v>
      </c>
      <c r="K44" s="241">
        <f t="shared" si="6"/>
        <v>-60237.147013294918</v>
      </c>
    </row>
    <row r="45" spans="6:11" x14ac:dyDescent="0.2">
      <c r="F45" s="146" t="s">
        <v>532</v>
      </c>
      <c r="G45" s="36"/>
      <c r="H45" s="365">
        <f>SUM(H36:H44)</f>
        <v>-933338.28999999911</v>
      </c>
      <c r="I45" s="366"/>
      <c r="J45" s="366"/>
      <c r="K45" s="367">
        <f>SUM(K36:K44)</f>
        <v>-111484.1481056148</v>
      </c>
    </row>
    <row r="46" spans="6:11" ht="15.75" thickBot="1" x14ac:dyDescent="0.25">
      <c r="F46" s="232"/>
      <c r="G46" s="232"/>
      <c r="H46" s="232"/>
      <c r="I46" s="232"/>
      <c r="J46" s="232"/>
      <c r="K46" s="232"/>
    </row>
    <row r="47" spans="6:11" x14ac:dyDescent="0.2">
      <c r="F47" s="100" t="s">
        <v>566</v>
      </c>
      <c r="G47" s="242" t="s">
        <v>546</v>
      </c>
    </row>
    <row r="48" spans="6:11" x14ac:dyDescent="0.2">
      <c r="F48" s="100"/>
      <c r="G48" s="242" t="s">
        <v>211</v>
      </c>
      <c r="H48" s="609" t="s">
        <v>48</v>
      </c>
      <c r="I48" s="609"/>
      <c r="J48" s="609"/>
      <c r="K48" s="609"/>
    </row>
    <row r="49" spans="6:11" x14ac:dyDescent="0.2">
      <c r="F49" s="36"/>
      <c r="G49" s="224" t="s">
        <v>189</v>
      </c>
      <c r="H49" s="243" t="s">
        <v>207</v>
      </c>
      <c r="I49" s="243" t="s">
        <v>208</v>
      </c>
      <c r="J49" s="243" t="s">
        <v>209</v>
      </c>
      <c r="K49" s="243" t="s">
        <v>62</v>
      </c>
    </row>
    <row r="50" spans="6:11" x14ac:dyDescent="0.2">
      <c r="F50" s="36"/>
      <c r="G50" s="244"/>
      <c r="H50" s="245"/>
      <c r="I50" s="245"/>
      <c r="J50" s="245"/>
      <c r="K50" s="245"/>
    </row>
    <row r="51" spans="6:11" x14ac:dyDescent="0.2">
      <c r="F51" s="38" t="s">
        <v>534</v>
      </c>
      <c r="G51" s="246">
        <f>+K36</f>
        <v>40804.804655699991</v>
      </c>
      <c r="H51" s="43">
        <f>$G51*H18</f>
        <v>24564.492402731394</v>
      </c>
      <c r="I51" s="43">
        <f t="shared" ref="H51:K59" si="7">$G51*I18</f>
        <v>15179.387331920396</v>
      </c>
      <c r="J51" s="43">
        <f t="shared" si="7"/>
        <v>1060.9249210481996</v>
      </c>
      <c r="K51" s="43">
        <f t="shared" si="7"/>
        <v>40804.804655699991</v>
      </c>
    </row>
    <row r="52" spans="6:11" x14ac:dyDescent="0.2">
      <c r="F52" s="38" t="s">
        <v>535</v>
      </c>
      <c r="G52" s="246">
        <f t="shared" ref="G52:G59" si="8">+K37</f>
        <v>-47586.250042799933</v>
      </c>
      <c r="H52" s="43">
        <f t="shared" si="7"/>
        <v>-28646.92252576556</v>
      </c>
      <c r="I52" s="43">
        <f t="shared" si="7"/>
        <v>-17702.085015921573</v>
      </c>
      <c r="J52" s="43">
        <f t="shared" si="7"/>
        <v>-1237.2425011127982</v>
      </c>
      <c r="K52" s="43">
        <f t="shared" si="7"/>
        <v>-47586.250042799933</v>
      </c>
    </row>
    <row r="53" spans="6:11" x14ac:dyDescent="0.2">
      <c r="F53" s="38" t="s">
        <v>536</v>
      </c>
      <c r="G53" s="246">
        <f t="shared" si="8"/>
        <v>-8747.2319241999903</v>
      </c>
      <c r="H53" s="43">
        <f t="shared" si="7"/>
        <v>-5265.8336183683941</v>
      </c>
      <c r="I53" s="43">
        <f t="shared" si="7"/>
        <v>-3253.9702758023964</v>
      </c>
      <c r="J53" s="43">
        <f t="shared" si="7"/>
        <v>-227.42803002919973</v>
      </c>
      <c r="K53" s="43">
        <f t="shared" si="7"/>
        <v>-8747.2319241999903</v>
      </c>
    </row>
    <row r="54" spans="6:11" x14ac:dyDescent="0.2">
      <c r="F54" s="38" t="s">
        <v>537</v>
      </c>
      <c r="G54" s="246">
        <f t="shared" si="8"/>
        <v>-1346.8954090999739</v>
      </c>
      <c r="H54" s="43">
        <f>$G54*H21</f>
        <v>-810.83103627818423</v>
      </c>
      <c r="I54" s="43">
        <f t="shared" si="7"/>
        <v>-501.0450921851903</v>
      </c>
      <c r="J54" s="43">
        <f t="shared" si="7"/>
        <v>-35.019280636599319</v>
      </c>
      <c r="K54" s="43">
        <f t="shared" si="7"/>
        <v>-1346.8954090999739</v>
      </c>
    </row>
    <row r="55" spans="6:11" x14ac:dyDescent="0.2">
      <c r="F55" s="38" t="s">
        <v>538</v>
      </c>
      <c r="G55" s="246">
        <f t="shared" si="8"/>
        <v>1480.2127003199978</v>
      </c>
      <c r="H55" s="43">
        <f t="shared" si="7"/>
        <v>891.08804559263865</v>
      </c>
      <c r="I55" s="43">
        <f t="shared" si="7"/>
        <v>550.63912451903923</v>
      </c>
      <c r="J55" s="43">
        <f t="shared" si="7"/>
        <v>38.485530208319943</v>
      </c>
      <c r="K55" s="43">
        <f t="shared" si="7"/>
        <v>1480.2127003199978</v>
      </c>
    </row>
    <row r="56" spans="6:11" x14ac:dyDescent="0.2">
      <c r="F56" s="38" t="s">
        <v>43</v>
      </c>
      <c r="G56" s="246">
        <f t="shared" si="8"/>
        <v>9.9271260023346866E-2</v>
      </c>
      <c r="H56" s="43">
        <f t="shared" si="7"/>
        <v>5.9761298534054812E-2</v>
      </c>
      <c r="I56" s="43">
        <f t="shared" si="7"/>
        <v>3.6928908728685032E-2</v>
      </c>
      <c r="J56" s="43">
        <f t="shared" si="7"/>
        <v>2.5810527606070183E-3</v>
      </c>
      <c r="K56" s="43">
        <f t="shared" si="7"/>
        <v>9.9271260023346866E-2</v>
      </c>
    </row>
    <row r="57" spans="6:11" x14ac:dyDescent="0.2">
      <c r="F57" s="38" t="s">
        <v>539</v>
      </c>
      <c r="G57" s="246">
        <f t="shared" si="8"/>
        <v>-35851.740343500001</v>
      </c>
      <c r="H57" s="43">
        <f t="shared" si="7"/>
        <v>-21582.747686786999</v>
      </c>
      <c r="I57" s="43">
        <f t="shared" si="7"/>
        <v>-13336.847407782001</v>
      </c>
      <c r="J57" s="43">
        <f t="shared" si="7"/>
        <v>-932.14524893099997</v>
      </c>
      <c r="K57" s="43">
        <f t="shared" si="7"/>
        <v>-35851.740343500001</v>
      </c>
    </row>
    <row r="58" spans="6:11" x14ac:dyDescent="0.2">
      <c r="F58" s="38" t="s">
        <v>540</v>
      </c>
      <c r="G58" s="246">
        <f t="shared" si="8"/>
        <v>0</v>
      </c>
      <c r="H58" s="44">
        <f t="shared" si="7"/>
        <v>0</v>
      </c>
      <c r="I58" s="44">
        <f t="shared" si="7"/>
        <v>0</v>
      </c>
      <c r="J58" s="44">
        <f t="shared" si="7"/>
        <v>0</v>
      </c>
      <c r="K58" s="44">
        <f t="shared" si="7"/>
        <v>0</v>
      </c>
    </row>
    <row r="59" spans="6:11" x14ac:dyDescent="0.2">
      <c r="F59" s="38" t="s">
        <v>542</v>
      </c>
      <c r="G59" s="247">
        <f t="shared" si="8"/>
        <v>-60237.147013294918</v>
      </c>
      <c r="H59" s="122">
        <f t="shared" si="7"/>
        <v>0</v>
      </c>
      <c r="I59" s="122">
        <f t="shared" si="7"/>
        <v>-60237.147013294918</v>
      </c>
      <c r="J59" s="122">
        <f t="shared" si="7"/>
        <v>0</v>
      </c>
      <c r="K59" s="122">
        <f t="shared" si="7"/>
        <v>-60237.147013294918</v>
      </c>
    </row>
    <row r="60" spans="6:11" ht="15.75" thickBot="1" x14ac:dyDescent="0.25">
      <c r="F60" s="38" t="s">
        <v>545</v>
      </c>
      <c r="G60" s="248">
        <f>SUM(G51:G59)</f>
        <v>-111484.1481056148</v>
      </c>
      <c r="H60" s="143">
        <f>SUM(H51:H59)</f>
        <v>-30850.694657576569</v>
      </c>
      <c r="I60" s="143">
        <f>SUM(I51:I59)</f>
        <v>-79301.031419637919</v>
      </c>
      <c r="J60" s="143">
        <f>SUM(J51:J59)</f>
        <v>-1332.422028400317</v>
      </c>
      <c r="K60" s="143">
        <f>SUM(K51:K59)</f>
        <v>-111484.1481056148</v>
      </c>
    </row>
    <row r="61" spans="6:11" ht="15.75" thickTop="1" x14ac:dyDescent="0.2"/>
  </sheetData>
  <customSheetViews>
    <customSheetView guid="{A7BD13BF-7E57-44D7-9B02-43E2FA430390}" showPageBreaks="1" fitToPage="1" printArea="1">
      <selection activeCell="E37" sqref="E37:E38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showPageBreaks="1" fitToPage="1" printArea="1">
      <selection activeCell="M43" sqref="M43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showPageBreaks="1" fitToPage="1" printArea="1">
      <selection activeCell="M43" sqref="M43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>
      <selection activeCell="E37" sqref="E37:E38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mergeCells count="1">
    <mergeCell ref="H48:K48"/>
  </mergeCells>
  <phoneticPr fontId="0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5" tint="0.59999389629810485"/>
    <pageSetUpPr fitToPage="1"/>
  </sheetPr>
  <dimension ref="A1:H44"/>
  <sheetViews>
    <sheetView zoomScaleNormal="100" workbookViewId="0">
      <selection activeCell="F39" sqref="F39"/>
    </sheetView>
  </sheetViews>
  <sheetFormatPr defaultColWidth="10.28515625" defaultRowHeight="15" x14ac:dyDescent="0.2"/>
  <cols>
    <col min="1" max="1" width="4.7109375" style="1" customWidth="1"/>
    <col min="2" max="2" width="49.5703125" style="1" customWidth="1"/>
    <col min="3" max="3" width="15" style="8" customWidth="1"/>
    <col min="4" max="4" width="5.7109375" style="8" customWidth="1"/>
    <col min="5" max="5" width="13.7109375" style="8" customWidth="1"/>
    <col min="6" max="6" width="16.7109375" style="8" customWidth="1"/>
    <col min="7" max="7" width="12.5703125" style="8" customWidth="1"/>
    <col min="8" max="8" width="13.85546875" style="8" customWidth="1"/>
    <col min="9" max="11" width="10.28515625" style="8" customWidth="1"/>
    <col min="12" max="12" width="18.5703125" style="8" customWidth="1"/>
    <col min="13" max="16384" width="10.28515625" style="8"/>
  </cols>
  <sheetData>
    <row r="1" spans="1:8" x14ac:dyDescent="0.2">
      <c r="A1" s="1" t="s">
        <v>0</v>
      </c>
      <c r="E1" s="5" t="s">
        <v>746</v>
      </c>
    </row>
    <row r="2" spans="1:8" x14ac:dyDescent="0.2">
      <c r="A2" s="1" t="s">
        <v>2</v>
      </c>
      <c r="E2" s="5" t="s">
        <v>747</v>
      </c>
    </row>
    <row r="3" spans="1:8" x14ac:dyDescent="0.2">
      <c r="A3" s="3" t="s">
        <v>594</v>
      </c>
    </row>
    <row r="4" spans="1:8" x14ac:dyDescent="0.2">
      <c r="G4" s="9"/>
      <c r="H4" s="9"/>
    </row>
    <row r="6" spans="1:8" x14ac:dyDescent="0.2">
      <c r="C6" s="5" t="s">
        <v>7</v>
      </c>
      <c r="D6" s="5"/>
      <c r="E6" s="5" t="s">
        <v>8</v>
      </c>
      <c r="H6" s="9"/>
    </row>
    <row r="7" spans="1:8" x14ac:dyDescent="0.2">
      <c r="A7" s="5" t="s">
        <v>15</v>
      </c>
      <c r="C7" s="5" t="s">
        <v>11</v>
      </c>
      <c r="D7" s="5"/>
      <c r="E7" s="5" t="s">
        <v>11</v>
      </c>
    </row>
    <row r="8" spans="1:8" x14ac:dyDescent="0.2">
      <c r="A8" s="27" t="s">
        <v>31</v>
      </c>
      <c r="C8" s="7" t="s">
        <v>16</v>
      </c>
      <c r="D8" s="5"/>
      <c r="E8" s="7" t="s">
        <v>16</v>
      </c>
    </row>
    <row r="9" spans="1:8" x14ac:dyDescent="0.2">
      <c r="A9" s="5"/>
      <c r="C9" s="5" t="s">
        <v>55</v>
      </c>
      <c r="D9" s="5"/>
      <c r="E9" s="5" t="s">
        <v>56</v>
      </c>
    </row>
    <row r="10" spans="1:8" x14ac:dyDescent="0.2">
      <c r="A10" s="5"/>
    </row>
    <row r="11" spans="1:8" x14ac:dyDescent="0.2">
      <c r="A11" s="5"/>
      <c r="B11" s="1" t="s">
        <v>74</v>
      </c>
      <c r="C11" s="10"/>
      <c r="E11" s="10"/>
    </row>
    <row r="12" spans="1:8" x14ac:dyDescent="0.25">
      <c r="A12" s="5">
        <v>1</v>
      </c>
      <c r="B12" s="1" t="s">
        <v>77</v>
      </c>
      <c r="C12" s="11">
        <f>-[1]IS_TTM_Sep20!$Q$12+-[1]IS_TTM_Sep20!$Q$22</f>
        <v>673591721.26000011</v>
      </c>
      <c r="D12" s="11"/>
      <c r="E12" s="11">
        <f>'KTW-2 - Rev Req'!C12</f>
        <v>71678740.359525383</v>
      </c>
      <c r="H12" s="28"/>
    </row>
    <row r="13" spans="1:8" x14ac:dyDescent="0.2">
      <c r="A13" s="5">
        <v>2</v>
      </c>
      <c r="B13" s="1" t="s">
        <v>83</v>
      </c>
      <c r="C13" s="14">
        <f>-[1]IS_TTM_Sep20!$Q$32</f>
        <v>20321481.68</v>
      </c>
      <c r="D13" s="29"/>
      <c r="E13" s="14">
        <f>'KTW-2 - Rev Req'!C13</f>
        <v>2292849.1400000006</v>
      </c>
    </row>
    <row r="14" spans="1:8" x14ac:dyDescent="0.2">
      <c r="A14" s="5">
        <v>3</v>
      </c>
      <c r="B14" s="1" t="s">
        <v>87</v>
      </c>
      <c r="C14" s="16">
        <f>+'WP - Other Rev &amp; Tax'!G19</f>
        <v>4009578.6999999993</v>
      </c>
      <c r="D14" s="29"/>
      <c r="E14" s="16">
        <f>'KTW-2 - Rev Req'!C14</f>
        <v>-2096028.5439839992</v>
      </c>
    </row>
    <row r="15" spans="1:8" x14ac:dyDescent="0.2">
      <c r="A15" s="5"/>
      <c r="C15" s="14"/>
      <c r="D15" s="30"/>
      <c r="E15" s="14"/>
    </row>
    <row r="16" spans="1:8" x14ac:dyDescent="0.2">
      <c r="A16" s="5">
        <v>4</v>
      </c>
      <c r="B16" s="1" t="s">
        <v>96</v>
      </c>
      <c r="C16" s="14">
        <f>SUM(C12:C15)</f>
        <v>697922781.6400001</v>
      </c>
      <c r="D16" s="30"/>
      <c r="E16" s="14">
        <f>SUM(E12:E15)</f>
        <v>71875560.955541387</v>
      </c>
    </row>
    <row r="17" spans="1:6" x14ac:dyDescent="0.2">
      <c r="A17" s="5"/>
      <c r="B17" s="18"/>
      <c r="C17" s="14"/>
      <c r="D17" s="30"/>
      <c r="E17" s="9"/>
    </row>
    <row r="18" spans="1:6" x14ac:dyDescent="0.2">
      <c r="A18" s="5"/>
      <c r="B18" s="1" t="s">
        <v>103</v>
      </c>
      <c r="C18" s="14"/>
      <c r="D18" s="30"/>
      <c r="E18" s="14"/>
    </row>
    <row r="19" spans="1:6" x14ac:dyDescent="0.2">
      <c r="A19" s="5">
        <v>5</v>
      </c>
      <c r="B19" s="1" t="s">
        <v>105</v>
      </c>
      <c r="C19" s="14">
        <f>+'WP - Other Rev &amp; Tax'!G50</f>
        <v>265456710.94999999</v>
      </c>
      <c r="D19" s="30"/>
      <c r="E19" s="14">
        <f>'KTW-2 - Rev Req'!C19</f>
        <v>24325146.627437029</v>
      </c>
      <c r="F19" s="31"/>
    </row>
    <row r="20" spans="1:6" x14ac:dyDescent="0.2">
      <c r="A20" s="5">
        <v>6</v>
      </c>
      <c r="B20" s="1" t="s">
        <v>110</v>
      </c>
      <c r="C20" s="14">
        <f>+'KTW-3 p2 &amp; p3 - O&amp;M'!E72</f>
        <v>976008.45000000007</v>
      </c>
      <c r="D20" s="30"/>
      <c r="E20" s="14">
        <f>'KTW-2 - Rev Req'!C20</f>
        <v>110387.16508799998</v>
      </c>
    </row>
    <row r="21" spans="1:6" x14ac:dyDescent="0.2">
      <c r="A21" s="5">
        <v>7</v>
      </c>
      <c r="B21" s="1" t="s">
        <v>111</v>
      </c>
      <c r="C21" s="16">
        <f>'KTW-3 p2 &amp; p3 - O&amp;M'!E107-C20</f>
        <v>180287821.55999997</v>
      </c>
      <c r="D21" s="30"/>
      <c r="E21" s="16">
        <f>'KTW-2 - Rev Req'!C21</f>
        <v>18749534.194650553</v>
      </c>
    </row>
    <row r="22" spans="1:6" x14ac:dyDescent="0.2">
      <c r="A22" s="5"/>
      <c r="C22" s="14"/>
      <c r="D22" s="30"/>
      <c r="E22" s="14"/>
    </row>
    <row r="23" spans="1:6" x14ac:dyDescent="0.2">
      <c r="A23" s="5">
        <v>8</v>
      </c>
      <c r="B23" s="1" t="s">
        <v>119</v>
      </c>
      <c r="C23" s="14">
        <f>SUM(C19:C22)</f>
        <v>446720540.95999992</v>
      </c>
      <c r="D23" s="30"/>
      <c r="E23" s="14">
        <f>SUM(E19:E22)</f>
        <v>43185067.987175584</v>
      </c>
    </row>
    <row r="24" spans="1:6" x14ac:dyDescent="0.2">
      <c r="A24" s="5"/>
      <c r="B24" s="2"/>
      <c r="C24" s="14"/>
      <c r="D24" s="30"/>
      <c r="E24" s="14"/>
    </row>
    <row r="25" spans="1:6" x14ac:dyDescent="0.2">
      <c r="A25" s="5"/>
      <c r="C25" s="14"/>
      <c r="D25" s="30"/>
      <c r="E25" s="14"/>
    </row>
    <row r="26" spans="1:6" x14ac:dyDescent="0.2">
      <c r="A26" s="5">
        <v>9</v>
      </c>
      <c r="B26" s="1" t="s">
        <v>124</v>
      </c>
      <c r="C26" s="14">
        <f>+'KTW-3 p5 - Taxes'!I33</f>
        <v>6623746.0080017317</v>
      </c>
      <c r="D26" s="30"/>
      <c r="E26" s="14">
        <f>'KTW-2 - Rev Req'!C26</f>
        <v>1405065.9371478483</v>
      </c>
    </row>
    <row r="27" spans="1:6" x14ac:dyDescent="0.2">
      <c r="A27" s="5">
        <v>10</v>
      </c>
      <c r="B27" s="1" t="s">
        <v>128</v>
      </c>
      <c r="C27" s="14">
        <f>+'KTW-3 p5 - Taxes'!I23</f>
        <v>4997152.7551439479</v>
      </c>
      <c r="D27" s="30"/>
      <c r="E27" s="14">
        <v>0</v>
      </c>
    </row>
    <row r="28" spans="1:6" x14ac:dyDescent="0.2">
      <c r="A28" s="5">
        <v>11</v>
      </c>
      <c r="B28" s="1" t="s">
        <v>125</v>
      </c>
      <c r="C28" s="14">
        <f>+'WP - Other Rev &amp; Tax'!G22</f>
        <v>21903232.309999999</v>
      </c>
      <c r="D28" s="30"/>
      <c r="E28" s="14">
        <f>+'KTW-2 - Rev Req'!C27</f>
        <v>1671587.02</v>
      </c>
    </row>
    <row r="29" spans="1:6" x14ac:dyDescent="0.2">
      <c r="A29" s="5">
        <v>12</v>
      </c>
      <c r="B29" s="1" t="s">
        <v>129</v>
      </c>
      <c r="C29" s="14">
        <f>+'WP - Other Rev &amp; Tax'!G29-C28</f>
        <v>29244021.349999998</v>
      </c>
      <c r="D29" s="30"/>
      <c r="E29" s="14">
        <f>'KTW-2 - Rev Req'!C28</f>
        <v>3814799.1242389199</v>
      </c>
    </row>
    <row r="30" spans="1:6" x14ac:dyDescent="0.2">
      <c r="A30" s="5">
        <v>13</v>
      </c>
      <c r="B30" s="1" t="s">
        <v>130</v>
      </c>
      <c r="C30" s="16">
        <f>+'WP - Other Rev &amp; Tax'!G41</f>
        <v>93582173.159999982</v>
      </c>
      <c r="D30" s="30"/>
      <c r="E30" s="16">
        <f>+'KTW-2 - Rev Req'!C29</f>
        <v>10935860.024140656</v>
      </c>
    </row>
    <row r="31" spans="1:6" x14ac:dyDescent="0.2">
      <c r="A31" s="5"/>
      <c r="C31" s="14"/>
      <c r="D31" s="30"/>
      <c r="E31" s="14"/>
    </row>
    <row r="32" spans="1:6" x14ac:dyDescent="0.2">
      <c r="A32" s="5">
        <v>14</v>
      </c>
      <c r="B32" s="1" t="s">
        <v>133</v>
      </c>
      <c r="C32" s="16">
        <f>SUM(C23:C31)</f>
        <v>603070866.54314566</v>
      </c>
      <c r="D32" s="30"/>
      <c r="E32" s="16">
        <f>SUM(E23:E31)</f>
        <v>61012380.092703015</v>
      </c>
    </row>
    <row r="33" spans="1:7" x14ac:dyDescent="0.2">
      <c r="A33" s="5"/>
      <c r="C33" s="29"/>
      <c r="D33" s="30"/>
      <c r="E33" s="29"/>
    </row>
    <row r="34" spans="1:7" ht="15.75" thickBot="1" x14ac:dyDescent="0.25">
      <c r="A34" s="5">
        <v>15</v>
      </c>
      <c r="B34" s="1" t="s">
        <v>137</v>
      </c>
      <c r="C34" s="32">
        <f>C16-C32</f>
        <v>94851915.096854448</v>
      </c>
      <c r="D34" s="33"/>
      <c r="E34" s="32">
        <f>E16-E32</f>
        <v>10863180.862838373</v>
      </c>
      <c r="F34" s="34"/>
    </row>
    <row r="35" spans="1:7" ht="15.75" thickTop="1" x14ac:dyDescent="0.2">
      <c r="A35" s="5"/>
      <c r="C35" s="35"/>
      <c r="D35" s="33"/>
      <c r="E35" s="35"/>
    </row>
    <row r="36" spans="1:7" ht="15.75" thickBot="1" x14ac:dyDescent="0.25">
      <c r="A36" s="5">
        <v>16</v>
      </c>
      <c r="B36" s="1" t="s">
        <v>140</v>
      </c>
      <c r="C36" s="421">
        <f>'KTW-3 p6 &amp; p7 - Rate Base'!Q43</f>
        <v>1439914127.6070929</v>
      </c>
      <c r="D36" s="33"/>
      <c r="E36" s="32">
        <f>'KTW-2 - Rev Req'!C35</f>
        <v>194666558.94072384</v>
      </c>
      <c r="F36" s="34"/>
      <c r="G36" s="31"/>
    </row>
    <row r="37" spans="1:7" ht="15.75" thickTop="1" x14ac:dyDescent="0.2">
      <c r="A37" s="5"/>
      <c r="C37" s="11"/>
      <c r="D37" s="21"/>
      <c r="E37" s="11"/>
    </row>
    <row r="38" spans="1:7" x14ac:dyDescent="0.2">
      <c r="A38" s="5"/>
      <c r="D38" s="21"/>
    </row>
    <row r="39" spans="1:7" ht="15.75" thickBot="1" x14ac:dyDescent="0.25">
      <c r="A39" s="5">
        <v>17</v>
      </c>
      <c r="B39" s="1" t="s">
        <v>144</v>
      </c>
      <c r="C39" s="22">
        <f>ROUND(+C34/C36,5)</f>
        <v>6.5869999999999998E-2</v>
      </c>
      <c r="D39" s="21"/>
      <c r="E39" s="22">
        <f>ROUND(+E34/E36,5)</f>
        <v>5.5800000000000002E-2</v>
      </c>
      <c r="F39" s="8" t="b">
        <f>E39='KTW-2 - Rev Req'!C38</f>
        <v>1</v>
      </c>
    </row>
    <row r="40" spans="1:7" ht="15.75" thickTop="1" x14ac:dyDescent="0.2">
      <c r="A40" s="5"/>
      <c r="C40" s="23"/>
      <c r="D40" s="21"/>
      <c r="E40" s="23"/>
    </row>
    <row r="41" spans="1:7" ht="15.75" thickBot="1" x14ac:dyDescent="0.25">
      <c r="A41" s="5">
        <v>18</v>
      </c>
      <c r="B41" s="1" t="s">
        <v>147</v>
      </c>
      <c r="C41" s="22">
        <f>((+C39-'KTW-3 p8 - Cost of Cap'!$E$11-'KTW-3 p8 - Cost of Cap'!$E$12)/'KTW-3 p8 - Cost of Cap'!$C$13)</f>
        <v>8.7346938775510211E-2</v>
      </c>
      <c r="D41" s="21"/>
      <c r="E41" s="22">
        <f>((+E39-'KTW-3 p8 - Cost of Cap'!$E$11-'KTW-3 p8 - Cost of Cap'!$E$12)/'KTW-3 p8 - Cost of Cap'!$C$13)</f>
        <v>6.6795918367346954E-2</v>
      </c>
      <c r="F41" s="8" t="b">
        <f>E41='KTW-2 - Rev Req'!C40</f>
        <v>1</v>
      </c>
    </row>
    <row r="42" spans="1:7" ht="15.75" thickTop="1" x14ac:dyDescent="0.2">
      <c r="D42" s="21"/>
    </row>
    <row r="43" spans="1:7" x14ac:dyDescent="0.2">
      <c r="D43" s="21"/>
    </row>
    <row r="44" spans="1:7" x14ac:dyDescent="0.2">
      <c r="D44" s="21"/>
    </row>
  </sheetData>
  <customSheetViews>
    <customSheetView guid="{A7BD13BF-7E57-44D7-9B02-43E2FA430390}" showPageBreaks="1" fitToPage="1" printArea="1">
      <selection activeCell="A3" sqref="A3"/>
      <pageMargins left="0.5" right="0.5" top="0.5" bottom="0.5" header="0.25" footer="0.25"/>
      <printOptions horizontalCentered="1"/>
      <pageSetup scale="89" orientation="landscape" r:id="rId1"/>
      <headerFooter alignWithMargins="0"/>
    </customSheetView>
    <customSheetView guid="{C29552AC-6B79-447F-B962-713ED43BDF1A}" showPageBreaks="1" fitToPage="1" printArea="1">
      <selection activeCell="C14" sqref="C14"/>
      <pageMargins left="0.5" right="0.5" top="0.5" bottom="0.5" header="0.25" footer="0.25"/>
      <printOptions horizontalCentered="1"/>
      <pageSetup scale="89" orientation="landscape" r:id="rId2"/>
      <headerFooter alignWithMargins="0"/>
    </customSheetView>
    <customSheetView guid="{6ED201AA-AB2E-4FE7-B06B-B07932512C4D}" showPageBreaks="1" fitToPage="1" printArea="1">
      <selection activeCell="C13" sqref="C13"/>
      <pageMargins left="0.5" right="0.5" top="0.5" bottom="0.5" header="0.25" footer="0.25"/>
      <printOptions horizontalCentered="1"/>
      <pageSetup scale="89" orientation="landscape" r:id="rId3"/>
      <headerFooter alignWithMargins="0"/>
    </customSheetView>
    <customSheetView guid="{D711E10B-9441-4991-A2CB-ED400E35790D}" fitToPage="1">
      <selection activeCell="A3" sqref="A3"/>
      <pageMargins left="0.5" right="0.5" top="0.5" bottom="0.5" header="0.25" footer="0.25"/>
      <printOptions horizontalCentered="1"/>
      <pageSetup scale="89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95" orientation="landscape" r:id="rId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59999389629810485"/>
    <pageSetUpPr fitToPage="1"/>
  </sheetPr>
  <dimension ref="A1:O53"/>
  <sheetViews>
    <sheetView zoomScaleNormal="100" workbookViewId="0">
      <selection activeCell="C15" sqref="C15"/>
    </sheetView>
  </sheetViews>
  <sheetFormatPr defaultColWidth="9.140625" defaultRowHeight="15" x14ac:dyDescent="0.2"/>
  <cols>
    <col min="1" max="1" width="5.5703125" style="8" customWidth="1"/>
    <col min="2" max="2" width="55.7109375" style="8" customWidth="1"/>
    <col min="3" max="3" width="15.5703125" style="8" customWidth="1"/>
    <col min="4" max="8" width="9.140625" style="8"/>
    <col min="9" max="14" width="12.42578125" style="8" customWidth="1"/>
    <col min="15" max="15" width="14.140625" style="8" customWidth="1"/>
    <col min="16" max="16384" width="9.140625" style="8"/>
  </cols>
  <sheetData>
    <row r="1" spans="1:15" ht="14.45" customHeight="1" x14ac:dyDescent="0.2">
      <c r="A1" s="1" t="str">
        <f>'KTW-4 p7 - Uncollectible'!A1</f>
        <v>NW Natural</v>
      </c>
      <c r="B1" s="1"/>
      <c r="C1" s="499" t="s">
        <v>750</v>
      </c>
    </row>
    <row r="2" spans="1:15" ht="14.45" customHeight="1" x14ac:dyDescent="0.2">
      <c r="A2" s="1" t="str">
        <f>'KTW-4 p7 - Uncollectible'!A2</f>
        <v>Test Year Based on Twelve Months Ended September 30, 2020</v>
      </c>
      <c r="B2" s="1"/>
      <c r="C2" s="499" t="s">
        <v>775</v>
      </c>
    </row>
    <row r="3" spans="1:15" ht="14.45" customHeight="1" x14ac:dyDescent="0.2">
      <c r="A3" s="169" t="s">
        <v>587</v>
      </c>
      <c r="B3" s="1"/>
      <c r="C3" s="1"/>
    </row>
    <row r="4" spans="1:15" ht="14.45" customHeight="1" x14ac:dyDescent="0.2">
      <c r="A4" s="424"/>
      <c r="B4" s="1"/>
      <c r="C4" s="1"/>
    </row>
    <row r="5" spans="1:15" ht="14.45" customHeight="1" x14ac:dyDescent="0.2">
      <c r="A5" s="1"/>
      <c r="B5" s="1"/>
      <c r="C5" s="1"/>
    </row>
    <row r="6" spans="1:15" ht="14.45" customHeight="1" x14ac:dyDescent="0.2">
      <c r="A6" s="5" t="s">
        <v>15</v>
      </c>
      <c r="B6" s="1"/>
      <c r="C6" s="1"/>
    </row>
    <row r="7" spans="1:15" ht="14.45" customHeight="1" x14ac:dyDescent="0.2">
      <c r="A7" s="7" t="s">
        <v>31</v>
      </c>
      <c r="B7" s="1"/>
      <c r="C7" s="7" t="s">
        <v>53</v>
      </c>
    </row>
    <row r="8" spans="1:15" ht="14.45" customHeight="1" x14ac:dyDescent="0.2">
      <c r="A8" s="5"/>
      <c r="B8" s="1"/>
      <c r="C8" s="5" t="s">
        <v>55</v>
      </c>
    </row>
    <row r="9" spans="1:15" ht="14.45" customHeight="1" x14ac:dyDescent="0.2">
      <c r="A9" s="5"/>
      <c r="B9" s="1"/>
    </row>
    <row r="10" spans="1:15" ht="14.45" customHeight="1" x14ac:dyDescent="0.2">
      <c r="A10" s="5"/>
      <c r="B10" s="1"/>
    </row>
    <row r="11" spans="1:15" ht="14.45" customHeight="1" x14ac:dyDescent="0.2">
      <c r="A11" s="5">
        <v>1</v>
      </c>
      <c r="B11" s="1" t="s">
        <v>647</v>
      </c>
      <c r="C11" s="13">
        <f>'[17]Indirect allocation'!$F$7</f>
        <v>-456714.79000000004</v>
      </c>
    </row>
    <row r="12" spans="1:15" ht="14.45" customHeight="1" x14ac:dyDescent="0.2">
      <c r="A12" s="5">
        <f>+A11+1</f>
        <v>2</v>
      </c>
      <c r="B12" s="1" t="s">
        <v>648</v>
      </c>
      <c r="C12" s="15">
        <f>'[17]Indirect allocation'!$F$8</f>
        <v>158070.59</v>
      </c>
    </row>
    <row r="13" spans="1:15" ht="14.45" customHeight="1" x14ac:dyDescent="0.25">
      <c r="A13" s="5">
        <f t="shared" ref="A13:A23" si="0">+A12+1</f>
        <v>3</v>
      </c>
      <c r="B13" s="1" t="s">
        <v>652</v>
      </c>
      <c r="C13" s="13">
        <f>SUM(C11:C12)</f>
        <v>-298644.20000000007</v>
      </c>
      <c r="I13" s="213"/>
      <c r="J13" s="213"/>
      <c r="K13" s="213"/>
      <c r="L13" s="28"/>
      <c r="M13" s="28"/>
      <c r="N13" s="213"/>
      <c r="O13" s="213"/>
    </row>
    <row r="14" spans="1:15" ht="14.45" customHeight="1" x14ac:dyDescent="0.25">
      <c r="A14" s="5">
        <f t="shared" si="0"/>
        <v>4</v>
      </c>
      <c r="C14" s="13"/>
      <c r="I14" s="213"/>
      <c r="J14" s="213"/>
      <c r="K14" s="213"/>
      <c r="L14" s="28"/>
      <c r="M14" s="28"/>
      <c r="N14" s="213"/>
      <c r="O14" s="213"/>
    </row>
    <row r="15" spans="1:15" ht="14.45" customHeight="1" x14ac:dyDescent="0.25">
      <c r="A15" s="5">
        <f t="shared" si="0"/>
        <v>5</v>
      </c>
      <c r="B15" s="1" t="s">
        <v>649</v>
      </c>
      <c r="C15" s="13">
        <f>'[17]Indirect allocation'!$H$7</f>
        <v>-260979.88</v>
      </c>
      <c r="I15" s="213"/>
      <c r="J15" s="213"/>
      <c r="K15" s="213"/>
      <c r="L15" s="28"/>
      <c r="M15" s="28"/>
      <c r="N15" s="213"/>
      <c r="O15" s="213"/>
    </row>
    <row r="16" spans="1:15" ht="14.45" customHeight="1" x14ac:dyDescent="0.2">
      <c r="A16" s="5">
        <f t="shared" si="0"/>
        <v>6</v>
      </c>
      <c r="B16" s="1" t="s">
        <v>650</v>
      </c>
      <c r="C16" s="15">
        <f>'[17]Indirect allocation'!$H$8</f>
        <v>90326.051428571431</v>
      </c>
    </row>
    <row r="17" spans="1:3" ht="14.45" customHeight="1" x14ac:dyDescent="0.2">
      <c r="A17" s="5">
        <f t="shared" si="0"/>
        <v>7</v>
      </c>
      <c r="B17" s="1" t="s">
        <v>651</v>
      </c>
      <c r="C17" s="175">
        <f>SUM(C15:C16)</f>
        <v>-170653.82857142857</v>
      </c>
    </row>
    <row r="18" spans="1:3" ht="14.45" customHeight="1" x14ac:dyDescent="0.2">
      <c r="A18" s="5">
        <f t="shared" si="0"/>
        <v>8</v>
      </c>
      <c r="C18" s="13"/>
    </row>
    <row r="19" spans="1:3" ht="14.45" customHeight="1" x14ac:dyDescent="0.2">
      <c r="A19" s="5">
        <f t="shared" si="0"/>
        <v>9</v>
      </c>
      <c r="B19" s="1" t="s">
        <v>654</v>
      </c>
      <c r="C19" s="13">
        <f>C17-C13</f>
        <v>127990.3714285715</v>
      </c>
    </row>
    <row r="20" spans="1:3" ht="14.45" customHeight="1" x14ac:dyDescent="0.2">
      <c r="A20" s="5">
        <f t="shared" si="0"/>
        <v>10</v>
      </c>
      <c r="C20" s="13"/>
    </row>
    <row r="21" spans="1:3" ht="14.45" customHeight="1" x14ac:dyDescent="0.2">
      <c r="A21" s="5">
        <f t="shared" si="0"/>
        <v>11</v>
      </c>
      <c r="B21" s="1" t="s">
        <v>653</v>
      </c>
      <c r="C21" s="34">
        <f>'KTW-3 p4 - Factors'!D13</f>
        <v>0.10960000000000003</v>
      </c>
    </row>
    <row r="22" spans="1:3" ht="14.45" customHeight="1" x14ac:dyDescent="0.2">
      <c r="A22" s="5">
        <f t="shared" si="0"/>
        <v>12</v>
      </c>
      <c r="C22" s="13"/>
    </row>
    <row r="23" spans="1:3" ht="14.45" customHeight="1" thickBot="1" x14ac:dyDescent="0.25">
      <c r="A23" s="5">
        <f t="shared" si="0"/>
        <v>13</v>
      </c>
      <c r="B23" s="1" t="s">
        <v>655</v>
      </c>
      <c r="C23" s="519">
        <f>C19*C21</f>
        <v>14027.744708571439</v>
      </c>
    </row>
    <row r="24" spans="1:3" ht="14.45" customHeight="1" thickTop="1" x14ac:dyDescent="0.2"/>
    <row r="25" spans="1:3" ht="14.45" customHeight="1" x14ac:dyDescent="0.2"/>
    <row r="26" spans="1:3" ht="14.45" customHeight="1" x14ac:dyDescent="0.25">
      <c r="A26" s="213"/>
    </row>
    <row r="27" spans="1:3" ht="14.45" customHeight="1" x14ac:dyDescent="0.25">
      <c r="B27" s="213"/>
    </row>
    <row r="28" spans="1:3" ht="14.45" customHeight="1" x14ac:dyDescent="0.2"/>
    <row r="29" spans="1:3" ht="14.45" customHeight="1" x14ac:dyDescent="0.2"/>
    <row r="30" spans="1:3" ht="14.45" customHeight="1" x14ac:dyDescent="0.2"/>
    <row r="31" spans="1:3" ht="14.45" customHeight="1" x14ac:dyDescent="0.2"/>
    <row r="32" spans="1:3" ht="14.45" customHeight="1" x14ac:dyDescent="0.2"/>
    <row r="33" spans="1:4" ht="14.45" customHeight="1" x14ac:dyDescent="0.2"/>
    <row r="34" spans="1:4" ht="14.45" customHeight="1" x14ac:dyDescent="0.2"/>
    <row r="35" spans="1:4" ht="14.45" customHeight="1" x14ac:dyDescent="0.2"/>
    <row r="36" spans="1:4" ht="14.45" customHeight="1" x14ac:dyDescent="0.2"/>
    <row r="37" spans="1:4" ht="14.45" customHeight="1" x14ac:dyDescent="0.2"/>
    <row r="38" spans="1:4" ht="14.45" customHeight="1" x14ac:dyDescent="0.2"/>
    <row r="39" spans="1:4" ht="14.45" customHeight="1" x14ac:dyDescent="0.2"/>
    <row r="40" spans="1:4" ht="14.45" customHeight="1" x14ac:dyDescent="0.2"/>
    <row r="41" spans="1:4" ht="14.45" customHeight="1" x14ac:dyDescent="0.2"/>
    <row r="42" spans="1:4" ht="14.45" customHeight="1" x14ac:dyDescent="0.2"/>
    <row r="43" spans="1:4" ht="14.45" customHeight="1" x14ac:dyDescent="0.2"/>
    <row r="44" spans="1:4" ht="14.45" customHeight="1" x14ac:dyDescent="0.2"/>
    <row r="45" spans="1:4" ht="14.45" customHeight="1" x14ac:dyDescent="0.2"/>
    <row r="46" spans="1:4" ht="14.45" customHeight="1" x14ac:dyDescent="0.2"/>
    <row r="47" spans="1:4" ht="14.45" customHeight="1" x14ac:dyDescent="0.25">
      <c r="D47" s="28"/>
    </row>
    <row r="48" spans="1:4" ht="14.45" customHeight="1" x14ac:dyDescent="0.25">
      <c r="A48" s="213"/>
      <c r="B48" s="213"/>
      <c r="C48" s="28"/>
      <c r="D48" s="28"/>
    </row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</sheetData>
  <customSheetViews>
    <customSheetView guid="{A7BD13BF-7E57-44D7-9B02-43E2FA430390}" fitToPage="1">
      <selection activeCell="D27" sqref="D27"/>
      <pageMargins left="0.7" right="0.7" top="0.75" bottom="0.75" header="0.3" footer="0.3"/>
      <printOptions horizontalCentered="1"/>
      <pageSetup scale="85" orientation="landscape" r:id="rId1"/>
    </customSheetView>
    <customSheetView guid="{C29552AC-6B79-447F-B962-713ED43BDF1A}" fitToPage="1">
      <selection activeCell="F23" sqref="F23"/>
      <pageMargins left="0.7" right="0.7" top="0.75" bottom="0.75" header="0.3" footer="0.3"/>
      <printOptions horizontalCentered="1"/>
      <pageSetup scale="85" orientation="landscape" r:id="rId2"/>
    </customSheetView>
    <customSheetView guid="{6ED201AA-AB2E-4FE7-B06B-B07932512C4D}" fitToPage="1">
      <selection activeCell="C23" sqref="C23"/>
      <pageMargins left="0.7" right="0.7" top="0.75" bottom="0.75" header="0.3" footer="0.3"/>
      <printOptions horizontalCentered="1"/>
      <pageSetup scale="85" orientation="landscape" r:id="rId3"/>
    </customSheetView>
    <customSheetView guid="{D711E10B-9441-4991-A2CB-ED400E35790D}" fitToPage="1">
      <selection activeCell="D27" sqref="D27"/>
      <pageMargins left="0.7" right="0.7" top="0.75" bottom="0.75" header="0.3" footer="0.3"/>
      <printOptions horizontalCentered="1"/>
      <pageSetup scale="85" orientation="landscape" r:id="rId4"/>
    </customSheetView>
  </customSheetViews>
  <printOptions horizontalCentered="1"/>
  <pageMargins left="0.7" right="0.7" top="0.75" bottom="0.75" header="0.3" footer="0.3"/>
  <pageSetup scale="59" orientation="landscape"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09335-2CC4-465F-9206-E18A3EE3673B}">
  <sheetPr>
    <tabColor theme="4" tint="0.59999389629810485"/>
  </sheetPr>
  <dimension ref="A1:G11"/>
  <sheetViews>
    <sheetView workbookViewId="0">
      <selection activeCell="N36" sqref="N36"/>
    </sheetView>
  </sheetViews>
  <sheetFormatPr defaultColWidth="9.140625" defaultRowHeight="12.75" x14ac:dyDescent="0.2"/>
  <cols>
    <col min="1" max="1" width="9.140625" style="84"/>
    <col min="2" max="2" width="49.85546875" style="84" customWidth="1"/>
    <col min="3" max="3" width="17.85546875" style="84" bestFit="1" customWidth="1"/>
    <col min="4" max="16384" width="9.140625" style="84"/>
  </cols>
  <sheetData>
    <row r="1" spans="1:7" ht="15" x14ac:dyDescent="0.2">
      <c r="A1" s="1" t="str">
        <f>'KTW-4 p7 - Uncollectible'!A1</f>
        <v>NW Natural</v>
      </c>
      <c r="B1" s="1"/>
      <c r="C1" s="499"/>
      <c r="D1" s="416"/>
      <c r="G1" s="416"/>
    </row>
    <row r="2" spans="1:7" ht="15" x14ac:dyDescent="0.2">
      <c r="A2" s="1" t="str">
        <f>'KTW-4 p7 - Uncollectible'!A2</f>
        <v>Test Year Based on Twelve Months Ended September 30, 2020</v>
      </c>
      <c r="B2" s="1"/>
      <c r="C2" s="499"/>
    </row>
    <row r="3" spans="1:7" ht="15" x14ac:dyDescent="0.2">
      <c r="A3" s="169"/>
      <c r="B3" s="1"/>
      <c r="C3" s="1"/>
    </row>
    <row r="4" spans="1:7" ht="15" x14ac:dyDescent="0.2">
      <c r="A4" s="8" t="s">
        <v>604</v>
      </c>
      <c r="B4" s="1"/>
      <c r="C4" s="1"/>
    </row>
    <row r="5" spans="1:7" ht="15" x14ac:dyDescent="0.2">
      <c r="A5" s="1"/>
      <c r="B5" s="1"/>
      <c r="C5" s="1"/>
    </row>
    <row r="6" spans="1:7" ht="15" x14ac:dyDescent="0.2">
      <c r="A6" s="5" t="s">
        <v>15</v>
      </c>
      <c r="B6" s="1"/>
      <c r="C6" s="1"/>
    </row>
    <row r="7" spans="1:7" ht="15" x14ac:dyDescent="0.2">
      <c r="A7" s="411" t="s">
        <v>31</v>
      </c>
      <c r="B7" s="1"/>
      <c r="C7" s="453" t="s">
        <v>784</v>
      </c>
    </row>
    <row r="8" spans="1:7" ht="15" x14ac:dyDescent="0.2">
      <c r="A8" s="5"/>
      <c r="B8" s="1"/>
      <c r="C8" s="5" t="s">
        <v>55</v>
      </c>
    </row>
    <row r="9" spans="1:7" ht="15" x14ac:dyDescent="0.2">
      <c r="A9" s="5"/>
      <c r="B9" s="1"/>
      <c r="C9" s="8"/>
    </row>
    <row r="10" spans="1:7" ht="15.75" thickBot="1" x14ac:dyDescent="0.3">
      <c r="A10" s="5">
        <v>3</v>
      </c>
      <c r="B10" s="518" t="s">
        <v>784</v>
      </c>
      <c r="C10" s="476"/>
    </row>
    <row r="11" spans="1:7" ht="13.5" thickTop="1" x14ac:dyDescent="0.2">
      <c r="A11" s="288"/>
      <c r="B11" s="288"/>
      <c r="C11" s="288"/>
    </row>
  </sheetData>
  <customSheetViews>
    <customSheetView guid="{A7BD13BF-7E57-44D7-9B02-43E2FA430390}">
      <selection activeCell="C20" sqref="C20"/>
      <pageMargins left="0.7" right="0.7" top="0.75" bottom="0.75" header="0.3" footer="0.3"/>
    </customSheetView>
    <customSheetView guid="{C29552AC-6B79-447F-B962-713ED43BDF1A}">
      <selection activeCell="I41" sqref="I41"/>
      <pageMargins left="0.7" right="0.7" top="0.75" bottom="0.75" header="0.3" footer="0.3"/>
    </customSheetView>
    <customSheetView guid="{6ED201AA-AB2E-4FE7-B06B-B07932512C4D}">
      <selection activeCell="I41" sqref="I41"/>
      <pageMargins left="0.7" right="0.7" top="0.75" bottom="0.75" header="0.3" footer="0.3"/>
    </customSheetView>
    <customSheetView guid="{D711E10B-9441-4991-A2CB-ED400E35790D}">
      <selection activeCell="C20" sqref="C2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>
    <tabColor theme="9" tint="0.59999389629810485"/>
    <pageSetUpPr fitToPage="1"/>
  </sheetPr>
  <dimension ref="A1:P101"/>
  <sheetViews>
    <sheetView zoomScale="90" zoomScaleNormal="90" workbookViewId="0">
      <selection activeCell="I44" sqref="I44"/>
    </sheetView>
  </sheetViews>
  <sheetFormatPr defaultColWidth="9.140625" defaultRowHeight="15" x14ac:dyDescent="0.2"/>
  <cols>
    <col min="1" max="1" width="6.7109375" style="1" customWidth="1"/>
    <col min="2" max="2" width="53" style="1" customWidth="1"/>
    <col min="3" max="5" width="15.7109375" style="8" customWidth="1"/>
    <col min="6" max="6" width="17.42578125" style="8" customWidth="1"/>
    <col min="7" max="8" width="9.140625" style="8" customWidth="1"/>
    <col min="9" max="9" width="35.85546875" style="8" bestFit="1" customWidth="1"/>
    <col min="10" max="16384" width="9.140625" style="8"/>
  </cols>
  <sheetData>
    <row r="1" spans="1:11" x14ac:dyDescent="0.2">
      <c r="A1" s="1" t="s">
        <v>1</v>
      </c>
      <c r="C1" s="194"/>
      <c r="D1" s="194"/>
      <c r="E1" s="1"/>
      <c r="F1" s="499" t="s">
        <v>751</v>
      </c>
      <c r="G1" s="250"/>
    </row>
    <row r="2" spans="1:11" x14ac:dyDescent="0.2">
      <c r="A2" s="1" t="str">
        <f>+'KTW-4,5,8 p1 - Adjust Issues'!A3</f>
        <v>Test Year Based on Twelve Months Ended September 30, 2020</v>
      </c>
      <c r="C2" s="194"/>
      <c r="D2" s="194"/>
      <c r="E2" s="194"/>
      <c r="F2" s="499" t="s">
        <v>770</v>
      </c>
      <c r="G2" s="250"/>
      <c r="K2" s="251"/>
    </row>
    <row r="3" spans="1:11" x14ac:dyDescent="0.2">
      <c r="A3" s="3" t="s">
        <v>244</v>
      </c>
      <c r="C3" s="1"/>
      <c r="D3" s="1"/>
      <c r="E3" s="1"/>
      <c r="F3" s="1"/>
      <c r="G3" s="250"/>
      <c r="K3" s="251"/>
    </row>
    <row r="4" spans="1:11" x14ac:dyDescent="0.2">
      <c r="C4" s="1"/>
      <c r="D4" s="1"/>
      <c r="E4" s="1"/>
      <c r="F4" s="1"/>
      <c r="G4" s="250"/>
      <c r="K4" s="251"/>
    </row>
    <row r="5" spans="1:11" x14ac:dyDescent="0.2">
      <c r="C5" s="194"/>
      <c r="D5" s="194"/>
      <c r="E5" s="252"/>
      <c r="F5" s="194"/>
      <c r="G5" s="1"/>
      <c r="K5" s="251"/>
    </row>
    <row r="6" spans="1:11" x14ac:dyDescent="0.2">
      <c r="A6" s="5" t="s">
        <v>15</v>
      </c>
      <c r="C6" s="194"/>
      <c r="D6" s="194"/>
      <c r="E6" s="194"/>
      <c r="F6" s="194"/>
      <c r="G6" s="250"/>
      <c r="K6" s="251"/>
    </row>
    <row r="7" spans="1:11" x14ac:dyDescent="0.2">
      <c r="A7" s="7" t="s">
        <v>31</v>
      </c>
      <c r="C7" s="253" t="s">
        <v>250</v>
      </c>
      <c r="D7" s="253" t="s">
        <v>251</v>
      </c>
      <c r="E7" s="254" t="s">
        <v>315</v>
      </c>
      <c r="F7" s="254" t="s">
        <v>316</v>
      </c>
      <c r="G7" s="250"/>
      <c r="I7" s="7" t="s">
        <v>599</v>
      </c>
      <c r="K7" s="251"/>
    </row>
    <row r="8" spans="1:11" x14ac:dyDescent="0.2">
      <c r="C8" s="249" t="s">
        <v>55</v>
      </c>
      <c r="D8" s="249" t="s">
        <v>56</v>
      </c>
      <c r="E8" s="249" t="s">
        <v>57</v>
      </c>
      <c r="F8" s="249" t="s">
        <v>58</v>
      </c>
      <c r="G8" s="250"/>
      <c r="K8" s="251"/>
    </row>
    <row r="9" spans="1:11" x14ac:dyDescent="0.2">
      <c r="C9" s="192"/>
      <c r="D9" s="192"/>
      <c r="E9" s="192"/>
      <c r="F9" s="192"/>
      <c r="G9" s="10"/>
      <c r="K9" s="251"/>
    </row>
    <row r="10" spans="1:11" x14ac:dyDescent="0.2">
      <c r="A10" s="5">
        <v>1</v>
      </c>
      <c r="B10" s="3" t="s">
        <v>622</v>
      </c>
      <c r="C10" s="333">
        <f>SUM(D10:F10)</f>
        <v>114256681.20000009</v>
      </c>
      <c r="D10" s="333">
        <f>'KTW-5 p4 - Payroll 2'!C12</f>
        <v>3852994.3999999948</v>
      </c>
      <c r="E10" s="333">
        <f>'KTW-5 p4 - Payroll 2'!D12</f>
        <v>57593249.610000059</v>
      </c>
      <c r="F10" s="333">
        <f>'KTW-5 p4 - Payroll 2'!E12</f>
        <v>52810437.190000042</v>
      </c>
      <c r="I10" s="332" t="s">
        <v>800</v>
      </c>
      <c r="K10" s="251"/>
    </row>
    <row r="11" spans="1:11" x14ac:dyDescent="0.2">
      <c r="C11" s="255"/>
      <c r="D11" s="255"/>
      <c r="E11" s="255"/>
      <c r="F11" s="255"/>
      <c r="G11" s="10"/>
      <c r="I11" s="332"/>
      <c r="K11" s="251"/>
    </row>
    <row r="12" spans="1:11" x14ac:dyDescent="0.2">
      <c r="A12" s="5">
        <f>+A10+1</f>
        <v>2</v>
      </c>
      <c r="B12" s="3" t="s">
        <v>249</v>
      </c>
      <c r="C12" s="13">
        <f>SUM(D12:F12)</f>
        <v>114256681.20000009</v>
      </c>
      <c r="D12" s="13">
        <f>'KTW-5 p4 - Payroll 2'!C17</f>
        <v>3852994.3999999943</v>
      </c>
      <c r="E12" s="13">
        <f>'KTW-5 p4 - Payroll 2'!D17</f>
        <v>57593249.610000059</v>
      </c>
      <c r="F12" s="13">
        <f>'KTW-5 p4 - Payroll 2'!E17</f>
        <v>52810437.190000042</v>
      </c>
      <c r="G12" s="10"/>
      <c r="I12" s="332" t="s">
        <v>800</v>
      </c>
      <c r="K12" s="251"/>
    </row>
    <row r="13" spans="1:11" x14ac:dyDescent="0.2">
      <c r="A13" s="5">
        <f>+A12+1</f>
        <v>3</v>
      </c>
      <c r="B13" s="3" t="s">
        <v>690</v>
      </c>
      <c r="C13" s="13">
        <f>SUM(D13:F13)</f>
        <v>938000.80798045546</v>
      </c>
      <c r="D13" s="13"/>
      <c r="E13" s="13">
        <f>(E12/((1+C38*7/12)))*(1+C38)-E12</f>
        <v>938000.80798045546</v>
      </c>
      <c r="F13" s="13"/>
      <c r="G13" s="10"/>
      <c r="I13" s="334"/>
      <c r="K13" s="251"/>
    </row>
    <row r="14" spans="1:11" x14ac:dyDescent="0.2">
      <c r="A14" s="5">
        <f>+A13+1</f>
        <v>4</v>
      </c>
      <c r="B14" s="3" t="s">
        <v>613</v>
      </c>
      <c r="C14" s="13">
        <f t="shared" ref="C14:C16" si="0">SUM(D14:F14)</f>
        <v>2107125.0150472983</v>
      </c>
      <c r="D14" s="13"/>
      <c r="E14" s="13">
        <f>+(E12+E13)*C39</f>
        <v>2107125.0150472983</v>
      </c>
      <c r="F14" s="13"/>
      <c r="I14" s="332"/>
      <c r="K14" s="251"/>
    </row>
    <row r="15" spans="1:11" x14ac:dyDescent="0.2">
      <c r="A15" s="5">
        <f>+A14+1</f>
        <v>5</v>
      </c>
      <c r="B15" s="3" t="s">
        <v>691</v>
      </c>
      <c r="C15" s="13">
        <f t="shared" si="0"/>
        <v>422483.49751999974</v>
      </c>
      <c r="D15" s="13"/>
      <c r="E15" s="13"/>
      <c r="F15" s="13">
        <f>((F12)/((1+C35*10/12)))*(1+C35)-(F12)</f>
        <v>422483.49751999974</v>
      </c>
      <c r="G15" s="10"/>
      <c r="I15" s="332"/>
    </row>
    <row r="16" spans="1:11" x14ac:dyDescent="0.2">
      <c r="A16" s="5">
        <f>+A15+1</f>
        <v>6</v>
      </c>
      <c r="B16" s="3" t="s">
        <v>695</v>
      </c>
      <c r="C16" s="13">
        <f t="shared" si="0"/>
        <v>984492.58867275715</v>
      </c>
      <c r="D16" s="13"/>
      <c r="E16" s="13"/>
      <c r="F16" s="13">
        <f>((F12+F15)/((1+C36*4/12)))*(1+C36)-(F12+F15)</f>
        <v>984492.58867275715</v>
      </c>
      <c r="G16" s="10"/>
      <c r="I16" s="332"/>
    </row>
    <row r="17" spans="1:9" x14ac:dyDescent="0.2">
      <c r="A17" s="5">
        <f>+A16+1</f>
        <v>7</v>
      </c>
      <c r="B17" s="3" t="s">
        <v>621</v>
      </c>
      <c r="C17" s="15"/>
      <c r="D17" s="15"/>
      <c r="E17" s="15"/>
      <c r="F17" s="15">
        <f>(F12+F15+F16)*C37</f>
        <v>2331348.7708762907</v>
      </c>
      <c r="G17" s="10"/>
      <c r="I17" s="332"/>
    </row>
    <row r="18" spans="1:9" x14ac:dyDescent="0.2">
      <c r="C18" s="13"/>
      <c r="D18" s="13"/>
      <c r="E18" s="13"/>
      <c r="F18" s="13"/>
      <c r="I18" s="332"/>
    </row>
    <row r="19" spans="1:9" x14ac:dyDescent="0.2">
      <c r="A19" s="5">
        <f>+A17+1</f>
        <v>8</v>
      </c>
      <c r="B19" s="1" t="s">
        <v>239</v>
      </c>
      <c r="C19" s="13">
        <f>SUM(D19:F19)</f>
        <v>121040131.88009688</v>
      </c>
      <c r="D19" s="13">
        <f>SUM(D12:D17)</f>
        <v>3852994.3999999943</v>
      </c>
      <c r="E19" s="13">
        <f>SUM(E12:E16)</f>
        <v>60638375.433027811</v>
      </c>
      <c r="F19" s="13">
        <f>SUM(F12:F17)</f>
        <v>56548762.047069088</v>
      </c>
      <c r="G19" s="10"/>
      <c r="I19" s="332"/>
    </row>
    <row r="20" spans="1:9" x14ac:dyDescent="0.2">
      <c r="C20" s="256"/>
      <c r="D20" s="175"/>
      <c r="E20" s="175"/>
      <c r="F20" s="175"/>
      <c r="G20" s="10"/>
      <c r="I20" s="332"/>
    </row>
    <row r="21" spans="1:9" x14ac:dyDescent="0.2">
      <c r="A21" s="5">
        <f>+A19+1</f>
        <v>9</v>
      </c>
      <c r="B21" s="1" t="s">
        <v>617</v>
      </c>
      <c r="C21" s="598">
        <f>C23/C19</f>
        <v>0.6013060692448543</v>
      </c>
      <c r="D21" s="546">
        <f>ROUND([18]Officers!$D$51,3)</f>
        <v>0.69</v>
      </c>
      <c r="E21" s="546">
        <f>ROUND('[18]Non Bargaining'!$D$51,3)</f>
        <v>0.623</v>
      </c>
      <c r="F21" s="349">
        <f>ROUND([18]Bargaining!$D$51,3)</f>
        <v>0.57199999999999995</v>
      </c>
      <c r="I21" s="332" t="s">
        <v>806</v>
      </c>
    </row>
    <row r="22" spans="1:9" x14ac:dyDescent="0.2">
      <c r="C22" s="257"/>
      <c r="D22" s="257"/>
      <c r="E22" s="257"/>
      <c r="F22" s="257"/>
      <c r="I22" s="332"/>
    </row>
    <row r="23" spans="1:9" x14ac:dyDescent="0.2">
      <c r="A23" s="5">
        <f>+A21+1</f>
        <v>10</v>
      </c>
      <c r="B23" s="1" t="s">
        <v>240</v>
      </c>
      <c r="C23" s="13">
        <f>SUM(D23:F23)</f>
        <v>72782165.921699837</v>
      </c>
      <c r="D23" s="13">
        <f>D19*D21</f>
        <v>2658566.1359999957</v>
      </c>
      <c r="E23" s="13">
        <f>E19*E21</f>
        <v>37777707.894776329</v>
      </c>
      <c r="F23" s="13">
        <f>F19*F21</f>
        <v>32345891.890923515</v>
      </c>
      <c r="I23" s="332"/>
    </row>
    <row r="24" spans="1:9" x14ac:dyDescent="0.2">
      <c r="C24" s="13"/>
      <c r="D24" s="13"/>
      <c r="E24" s="13"/>
      <c r="F24" s="13"/>
      <c r="I24" s="332"/>
    </row>
    <row r="25" spans="1:9" x14ac:dyDescent="0.2">
      <c r="A25" s="5">
        <f>+A23+1</f>
        <v>11</v>
      </c>
      <c r="B25" s="1" t="s">
        <v>241</v>
      </c>
      <c r="C25" s="15">
        <f>SUM(D25:F25)</f>
        <v>68746730.715710059</v>
      </c>
      <c r="D25" s="15">
        <f>+D10*D21</f>
        <v>2658566.1359999962</v>
      </c>
      <c r="E25" s="15">
        <f>+E10*E21</f>
        <v>35880594.50703004</v>
      </c>
      <c r="F25" s="15">
        <f>+F10*F21</f>
        <v>30207570.072680023</v>
      </c>
      <c r="I25" s="332"/>
    </row>
    <row r="26" spans="1:9" x14ac:dyDescent="0.2">
      <c r="A26" s="5"/>
      <c r="C26" s="13"/>
      <c r="D26" s="13"/>
      <c r="E26" s="13"/>
      <c r="F26" s="13"/>
      <c r="I26" s="332"/>
    </row>
    <row r="27" spans="1:9" ht="15.75" thickBot="1" x14ac:dyDescent="0.25">
      <c r="A27" s="5">
        <f>+A25+1</f>
        <v>12</v>
      </c>
      <c r="B27" s="1" t="s">
        <v>231</v>
      </c>
      <c r="C27" s="557">
        <f>C23-C25</f>
        <v>4035435.205989778</v>
      </c>
      <c r="D27" s="258">
        <f>D23-D25</f>
        <v>0</v>
      </c>
      <c r="E27" s="258">
        <f>E23-E25</f>
        <v>1897113.3877462894</v>
      </c>
      <c r="F27" s="258">
        <f>F23-F25</f>
        <v>2138321.8182434924</v>
      </c>
      <c r="I27" s="332"/>
    </row>
    <row r="28" spans="1:9" ht="15.75" thickTop="1" x14ac:dyDescent="0.2">
      <c r="I28" s="332"/>
    </row>
    <row r="29" spans="1:9" x14ac:dyDescent="0.2">
      <c r="A29" s="5">
        <f>+A27+1</f>
        <v>13</v>
      </c>
      <c r="B29" s="1" t="s">
        <v>232</v>
      </c>
      <c r="C29" s="182">
        <f>+'KTW-3 p4 - Factors'!D18</f>
        <v>0.100274</v>
      </c>
      <c r="D29" s="9"/>
      <c r="E29" s="9"/>
      <c r="F29" s="259"/>
      <c r="I29" s="332"/>
    </row>
    <row r="30" spans="1:9" x14ac:dyDescent="0.2">
      <c r="A30" s="5"/>
      <c r="C30" s="9"/>
      <c r="D30" s="9"/>
      <c r="E30" s="260"/>
      <c r="F30" s="9"/>
      <c r="I30" s="332"/>
    </row>
    <row r="31" spans="1:9" ht="15.75" thickBot="1" x14ac:dyDescent="0.25">
      <c r="A31" s="5">
        <f>+A29+1</f>
        <v>14</v>
      </c>
      <c r="B31" s="1" t="s">
        <v>233</v>
      </c>
      <c r="C31" s="19">
        <f>C27*C29</f>
        <v>404649.229845419</v>
      </c>
      <c r="D31" s="31"/>
      <c r="E31" s="260"/>
      <c r="F31" s="260"/>
      <c r="I31" s="332"/>
    </row>
    <row r="32" spans="1:9" ht="15.75" thickTop="1" x14ac:dyDescent="0.2">
      <c r="A32" s="5"/>
      <c r="I32" s="332"/>
    </row>
    <row r="33" spans="1:16" x14ac:dyDescent="0.2">
      <c r="A33" s="5"/>
      <c r="C33" s="594"/>
      <c r="I33" s="332"/>
    </row>
    <row r="34" spans="1:16" x14ac:dyDescent="0.2">
      <c r="A34" s="1" t="s">
        <v>245</v>
      </c>
      <c r="C34" s="1"/>
      <c r="I34" s="332"/>
      <c r="P34" s="72"/>
    </row>
    <row r="35" spans="1:16" x14ac:dyDescent="0.2">
      <c r="B35" s="3" t="s">
        <v>688</v>
      </c>
      <c r="C35" s="350">
        <f>3.5%+0.015</f>
        <v>0.05</v>
      </c>
      <c r="D35" s="21"/>
      <c r="E35" s="21"/>
      <c r="F35" s="21"/>
      <c r="I35" s="332" t="s">
        <v>807</v>
      </c>
    </row>
    <row r="36" spans="1:16" x14ac:dyDescent="0.2">
      <c r="B36" s="1" t="s">
        <v>689</v>
      </c>
      <c r="C36" s="350">
        <f>2%+0.008</f>
        <v>2.8000000000000001E-2</v>
      </c>
      <c r="D36" s="21"/>
      <c r="E36" s="21"/>
      <c r="F36" s="21"/>
      <c r="I36" s="332" t="s">
        <v>807</v>
      </c>
    </row>
    <row r="37" spans="1:16" x14ac:dyDescent="0.2">
      <c r="B37" s="341" t="s">
        <v>692</v>
      </c>
      <c r="C37" s="350">
        <f>3.5%+0.008</f>
        <v>4.3000000000000003E-2</v>
      </c>
      <c r="D37" s="520"/>
      <c r="E37" s="21"/>
      <c r="F37" s="21"/>
      <c r="I37" s="332" t="s">
        <v>807</v>
      </c>
    </row>
    <row r="38" spans="1:16" x14ac:dyDescent="0.2">
      <c r="B38" s="341" t="s">
        <v>693</v>
      </c>
      <c r="C38" s="350">
        <v>0.04</v>
      </c>
      <c r="D38" s="21"/>
      <c r="E38" s="21"/>
      <c r="F38" s="21"/>
      <c r="I38" s="332" t="s">
        <v>807</v>
      </c>
    </row>
    <row r="39" spans="1:16" x14ac:dyDescent="0.2">
      <c r="B39" s="341" t="s">
        <v>694</v>
      </c>
      <c r="C39" s="350">
        <f>3%+0.006</f>
        <v>3.5999999999999997E-2</v>
      </c>
      <c r="F39" s="192"/>
      <c r="I39" s="332" t="s">
        <v>807</v>
      </c>
    </row>
    <row r="40" spans="1:16" x14ac:dyDescent="0.2">
      <c r="B40" s="341"/>
      <c r="C40" s="350"/>
      <c r="E40" s="261"/>
      <c r="F40" s="192"/>
    </row>
    <row r="41" spans="1:16" x14ac:dyDescent="0.2">
      <c r="A41" s="5" t="s">
        <v>242</v>
      </c>
      <c r="B41" s="1" t="s">
        <v>248</v>
      </c>
      <c r="F41" s="192"/>
    </row>
    <row r="42" spans="1:16" x14ac:dyDescent="0.2">
      <c r="A42" s="5" t="s">
        <v>246</v>
      </c>
      <c r="B42" s="3" t="s">
        <v>743</v>
      </c>
    </row>
    <row r="43" spans="1:16" x14ac:dyDescent="0.2">
      <c r="A43" s="5" t="s">
        <v>247</v>
      </c>
      <c r="B43" s="169" t="s">
        <v>684</v>
      </c>
      <c r="C43" s="192"/>
      <c r="D43" s="192"/>
      <c r="E43" s="192"/>
    </row>
    <row r="46" spans="1:16" x14ac:dyDescent="0.2">
      <c r="A46" s="8"/>
      <c r="B46" s="8"/>
    </row>
    <row r="47" spans="1:16" x14ac:dyDescent="0.2">
      <c r="A47" s="8"/>
      <c r="B47" s="8"/>
    </row>
    <row r="48" spans="1:16" x14ac:dyDescent="0.2">
      <c r="A48" s="8"/>
      <c r="B48" s="8"/>
    </row>
    <row r="49" spans="1:2" x14ac:dyDescent="0.2">
      <c r="A49" s="8"/>
      <c r="B49" s="8"/>
    </row>
    <row r="50" spans="1:2" x14ac:dyDescent="0.2">
      <c r="A50" s="8"/>
      <c r="B50" s="8"/>
    </row>
    <row r="51" spans="1:2" x14ac:dyDescent="0.2">
      <c r="A51" s="8"/>
      <c r="B51" s="8"/>
    </row>
    <row r="52" spans="1:2" x14ac:dyDescent="0.2">
      <c r="A52" s="8"/>
      <c r="B52" s="8"/>
    </row>
    <row r="53" spans="1:2" x14ac:dyDescent="0.2">
      <c r="A53" s="8"/>
      <c r="B53" s="8"/>
    </row>
    <row r="54" spans="1:2" x14ac:dyDescent="0.2">
      <c r="A54" s="8"/>
      <c r="B54" s="8"/>
    </row>
    <row r="55" spans="1:2" x14ac:dyDescent="0.2">
      <c r="A55" s="8"/>
      <c r="B55" s="8"/>
    </row>
    <row r="56" spans="1:2" x14ac:dyDescent="0.2">
      <c r="A56" s="8"/>
      <c r="B56" s="8"/>
    </row>
    <row r="57" spans="1:2" x14ac:dyDescent="0.2">
      <c r="A57" s="8"/>
      <c r="B57" s="8"/>
    </row>
    <row r="58" spans="1:2" x14ac:dyDescent="0.2">
      <c r="A58" s="8"/>
      <c r="B58" s="8"/>
    </row>
    <row r="59" spans="1:2" x14ac:dyDescent="0.2">
      <c r="A59" s="8"/>
      <c r="B59" s="8"/>
    </row>
    <row r="60" spans="1:2" x14ac:dyDescent="0.2">
      <c r="A60" s="8"/>
      <c r="B60" s="8"/>
    </row>
    <row r="61" spans="1:2" x14ac:dyDescent="0.2">
      <c r="A61" s="8"/>
      <c r="B61" s="8"/>
    </row>
    <row r="62" spans="1:2" x14ac:dyDescent="0.2">
      <c r="A62" s="8"/>
      <c r="B62" s="8"/>
    </row>
    <row r="63" spans="1:2" x14ac:dyDescent="0.2">
      <c r="A63" s="8"/>
      <c r="B63" s="8"/>
    </row>
    <row r="64" spans="1:2" x14ac:dyDescent="0.2">
      <c r="A64" s="8"/>
      <c r="B64" s="8"/>
    </row>
    <row r="65" spans="1:14" x14ac:dyDescent="0.2">
      <c r="A65" s="8"/>
      <c r="B65" s="8"/>
    </row>
    <row r="66" spans="1:14" x14ac:dyDescent="0.2">
      <c r="A66" s="8"/>
      <c r="B66" s="8"/>
    </row>
    <row r="67" spans="1:14" x14ac:dyDescent="0.2">
      <c r="A67" s="8"/>
      <c r="B67" s="8"/>
    </row>
    <row r="68" spans="1:14" x14ac:dyDescent="0.2">
      <c r="A68" s="8"/>
      <c r="B68" s="8"/>
      <c r="I68" s="74"/>
      <c r="J68" s="74"/>
      <c r="K68" s="188"/>
    </row>
    <row r="69" spans="1:14" x14ac:dyDescent="0.2">
      <c r="A69" s="8"/>
      <c r="B69" s="8"/>
      <c r="I69" s="74"/>
      <c r="J69" s="74"/>
      <c r="K69" s="188"/>
    </row>
    <row r="70" spans="1:14" x14ac:dyDescent="0.2">
      <c r="A70" s="8"/>
      <c r="B70" s="8"/>
      <c r="I70" s="74"/>
      <c r="J70" s="74"/>
      <c r="K70" s="188"/>
    </row>
    <row r="71" spans="1:14" x14ac:dyDescent="0.25">
      <c r="A71" s="8"/>
      <c r="B71" s="8"/>
      <c r="I71" s="74"/>
      <c r="J71" s="74"/>
      <c r="K71" s="188"/>
      <c r="N71" s="28"/>
    </row>
    <row r="72" spans="1:14" x14ac:dyDescent="0.25">
      <c r="A72" s="8"/>
      <c r="B72" s="8"/>
      <c r="I72" s="74"/>
      <c r="J72" s="74"/>
      <c r="K72" s="188"/>
      <c r="N72" s="28"/>
    </row>
    <row r="73" spans="1:14" x14ac:dyDescent="0.25">
      <c r="A73" s="8"/>
      <c r="B73" s="8"/>
      <c r="I73" s="74"/>
      <c r="J73" s="74"/>
      <c r="K73" s="188"/>
      <c r="N73" s="28"/>
    </row>
    <row r="74" spans="1:14" x14ac:dyDescent="0.25">
      <c r="A74" s="8"/>
      <c r="B74" s="8"/>
      <c r="I74" s="74"/>
      <c r="J74" s="74"/>
      <c r="K74" s="188"/>
      <c r="N74" s="28"/>
    </row>
    <row r="75" spans="1:14" x14ac:dyDescent="0.25">
      <c r="A75" s="8"/>
      <c r="B75" s="8"/>
      <c r="I75" s="74"/>
      <c r="J75" s="74"/>
      <c r="K75" s="188"/>
      <c r="N75" s="28"/>
    </row>
    <row r="76" spans="1:14" x14ac:dyDescent="0.25">
      <c r="A76" s="8"/>
      <c r="B76" s="8"/>
      <c r="I76" s="74"/>
      <c r="J76" s="74"/>
      <c r="K76" s="188"/>
      <c r="N76" s="28"/>
    </row>
    <row r="77" spans="1:14" x14ac:dyDescent="0.25">
      <c r="A77" s="8"/>
      <c r="B77" s="8"/>
      <c r="I77" s="74"/>
      <c r="J77" s="74"/>
      <c r="K77" s="188"/>
      <c r="N77" s="28"/>
    </row>
    <row r="78" spans="1:14" x14ac:dyDescent="0.25">
      <c r="A78" s="8"/>
      <c r="B78" s="8"/>
      <c r="I78" s="74"/>
      <c r="J78" s="74"/>
      <c r="K78" s="188"/>
      <c r="N78" s="28"/>
    </row>
    <row r="79" spans="1:14" x14ac:dyDescent="0.25">
      <c r="A79" s="8"/>
      <c r="B79" s="8"/>
      <c r="I79" s="74"/>
      <c r="J79" s="74"/>
      <c r="K79" s="188"/>
      <c r="N79" s="28"/>
    </row>
    <row r="80" spans="1:14" x14ac:dyDescent="0.25">
      <c r="A80" s="8"/>
      <c r="B80" s="8"/>
      <c r="N80" s="28"/>
    </row>
    <row r="81" spans="1:14" x14ac:dyDescent="0.25">
      <c r="A81" s="8"/>
      <c r="B81" s="8"/>
      <c r="N81" s="28"/>
    </row>
    <row r="82" spans="1:14" x14ac:dyDescent="0.2">
      <c r="A82" s="8"/>
      <c r="B82" s="8"/>
    </row>
    <row r="83" spans="1:14" x14ac:dyDescent="0.2">
      <c r="A83" s="8"/>
      <c r="B83" s="8"/>
    </row>
    <row r="84" spans="1:14" x14ac:dyDescent="0.2">
      <c r="A84" s="8"/>
      <c r="B84" s="8"/>
    </row>
    <row r="85" spans="1:14" x14ac:dyDescent="0.2">
      <c r="A85" s="8"/>
      <c r="B85" s="8"/>
    </row>
    <row r="86" spans="1:14" x14ac:dyDescent="0.2">
      <c r="A86" s="8"/>
      <c r="B86" s="8"/>
    </row>
    <row r="87" spans="1:14" x14ac:dyDescent="0.2">
      <c r="A87" s="8"/>
      <c r="B87" s="8"/>
    </row>
    <row r="88" spans="1:14" x14ac:dyDescent="0.2">
      <c r="A88" s="8"/>
      <c r="B88" s="8"/>
    </row>
    <row r="89" spans="1:14" x14ac:dyDescent="0.2">
      <c r="A89" s="8"/>
      <c r="B89" s="8"/>
    </row>
    <row r="90" spans="1:14" x14ac:dyDescent="0.2">
      <c r="A90" s="8"/>
      <c r="B90" s="8"/>
    </row>
    <row r="91" spans="1:14" x14ac:dyDescent="0.2">
      <c r="A91" s="8"/>
      <c r="B91" s="8"/>
    </row>
    <row r="92" spans="1:14" x14ac:dyDescent="0.2">
      <c r="A92" s="8"/>
      <c r="B92" s="8"/>
    </row>
    <row r="93" spans="1:14" x14ac:dyDescent="0.2">
      <c r="A93" s="8"/>
      <c r="B93" s="8"/>
    </row>
    <row r="94" spans="1:14" x14ac:dyDescent="0.2">
      <c r="A94" s="8"/>
      <c r="B94" s="8"/>
    </row>
    <row r="95" spans="1:14" x14ac:dyDescent="0.2">
      <c r="A95" s="8"/>
      <c r="B95" s="8"/>
    </row>
    <row r="96" spans="1:14" x14ac:dyDescent="0.2">
      <c r="A96" s="8"/>
      <c r="B96" s="8"/>
    </row>
    <row r="97" spans="1:3" x14ac:dyDescent="0.2">
      <c r="A97" s="8"/>
      <c r="B97" s="8"/>
    </row>
    <row r="98" spans="1:3" x14ac:dyDescent="0.2">
      <c r="A98" s="8"/>
      <c r="B98" s="8"/>
    </row>
    <row r="99" spans="1:3" x14ac:dyDescent="0.2">
      <c r="A99" s="8"/>
      <c r="B99" s="8"/>
    </row>
    <row r="100" spans="1:3" x14ac:dyDescent="0.2">
      <c r="A100" s="8"/>
      <c r="B100" s="8"/>
    </row>
    <row r="101" spans="1:3" x14ac:dyDescent="0.2">
      <c r="C101" s="26"/>
    </row>
  </sheetData>
  <customSheetViews>
    <customSheetView guid="{A7BD13BF-7E57-44D7-9B02-43E2FA430390}" showPageBreaks="1" fitToPage="1" printArea="1" topLeftCell="A4">
      <selection activeCell="H32" sqref="H32"/>
      <rowBreaks count="1" manualBreakCount="1">
        <brk id="49" max="7" man="1"/>
      </rowBreaks>
      <pageMargins left="0.5" right="0.5" top="0.5" bottom="0.5" header="0.25" footer="0.25"/>
      <printOptions horizontalCentered="1"/>
      <pageSetup scale="85" orientation="landscape" r:id="rId1"/>
      <headerFooter alignWithMargins="0"/>
    </customSheetView>
    <customSheetView guid="{C29552AC-6B79-447F-B962-713ED43BDF1A}" showPageBreaks="1" fitToPage="1" printArea="1" topLeftCell="A16">
      <selection activeCell="C39" sqref="C39"/>
      <rowBreaks count="1" manualBreakCount="1">
        <brk id="50" max="7" man="1"/>
      </rowBreaks>
      <pageMargins left="0.5" right="0.5" top="0.5" bottom="0.5" header="0.25" footer="0.25"/>
      <printOptions horizontalCentered="1"/>
      <pageSetup scale="86" orientation="landscape" r:id="rId2"/>
      <headerFooter alignWithMargins="0"/>
    </customSheetView>
    <customSheetView guid="{6ED201AA-AB2E-4FE7-B06B-B07932512C4D}" showPageBreaks="1" fitToPage="1" printArea="1">
      <selection activeCell="F35" sqref="F35"/>
      <rowBreaks count="1" manualBreakCount="1">
        <brk id="50" max="7" man="1"/>
      </rowBreaks>
      <pageMargins left="0.5" right="0.5" top="0.5" bottom="0.5" header="0.25" footer="0.25"/>
      <printOptions horizontalCentered="1"/>
      <pageSetup scale="85" orientation="landscape" r:id="rId3"/>
      <headerFooter alignWithMargins="0"/>
    </customSheetView>
    <customSheetView guid="{D711E10B-9441-4991-A2CB-ED400E35790D}" fitToPage="1">
      <selection activeCell="B43" sqref="B43"/>
      <rowBreaks count="1" manualBreakCount="1">
        <brk id="49" max="7" man="1"/>
      </rowBreaks>
      <pageMargins left="0.5" right="0.5" top="0.5" bottom="0.5" header="0.25" footer="0.25"/>
      <printOptions horizontalCentered="1"/>
      <pageSetup scale="85" orientation="landscape" r:id="rId4"/>
      <headerFooter alignWithMargins="0"/>
    </customSheetView>
  </customSheetViews>
  <phoneticPr fontId="5" type="noConversion"/>
  <printOptions horizontalCentered="1"/>
  <pageMargins left="0.5" right="0.5" top="0.5" bottom="0.5" header="0.25" footer="0.25"/>
  <pageSetup scale="90" orientation="landscape" r:id="rId5"/>
  <headerFooter alignWithMargins="0"/>
  <rowBreaks count="1" manualBreakCount="1">
    <brk id="49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>
    <tabColor theme="9" tint="0.59999389629810485"/>
    <pageSetUpPr fitToPage="1"/>
  </sheetPr>
  <dimension ref="A1:O52"/>
  <sheetViews>
    <sheetView zoomScaleNormal="95" workbookViewId="0">
      <selection activeCell="H16" sqref="H16"/>
    </sheetView>
  </sheetViews>
  <sheetFormatPr defaultColWidth="9.140625" defaultRowHeight="15" x14ac:dyDescent="0.2"/>
  <cols>
    <col min="1" max="1" width="5.7109375" style="8" customWidth="1"/>
    <col min="2" max="2" width="43.42578125" style="8" bestFit="1" customWidth="1"/>
    <col min="3" max="6" width="15.7109375" style="8" customWidth="1"/>
    <col min="7" max="11" width="9.140625" style="8"/>
    <col min="12" max="12" width="35" style="8" bestFit="1" customWidth="1"/>
    <col min="13" max="15" width="12" style="8" customWidth="1"/>
    <col min="16" max="16384" width="9.140625" style="8"/>
  </cols>
  <sheetData>
    <row r="1" spans="1:15" x14ac:dyDescent="0.2">
      <c r="A1" s="1" t="s">
        <v>1</v>
      </c>
      <c r="B1" s="1"/>
      <c r="E1" s="499" t="s">
        <v>751</v>
      </c>
    </row>
    <row r="2" spans="1:15" x14ac:dyDescent="0.2">
      <c r="A2" s="1" t="str">
        <f>+'KTW-5 p3 - Payroll 1'!A2</f>
        <v>Test Year Based on Twelve Months Ended September 30, 2020</v>
      </c>
      <c r="B2" s="1"/>
      <c r="E2" s="499" t="s">
        <v>748</v>
      </c>
    </row>
    <row r="3" spans="1:15" x14ac:dyDescent="0.2">
      <c r="A3" s="3" t="s">
        <v>244</v>
      </c>
      <c r="B3" s="1"/>
    </row>
    <row r="4" spans="1:15" x14ac:dyDescent="0.2">
      <c r="A4" s="1" t="s">
        <v>227</v>
      </c>
      <c r="B4" s="1"/>
      <c r="C4" s="1"/>
      <c r="D4" s="194"/>
    </row>
    <row r="5" spans="1:15" x14ac:dyDescent="0.2">
      <c r="A5" s="1"/>
      <c r="B5" s="1"/>
      <c r="C5" s="1"/>
      <c r="D5" s="194"/>
      <c r="E5" s="250"/>
    </row>
    <row r="6" spans="1:15" x14ac:dyDescent="0.2">
      <c r="A6" s="5" t="s">
        <v>15</v>
      </c>
      <c r="B6" s="1"/>
      <c r="C6" s="1"/>
      <c r="D6" s="194"/>
      <c r="E6" s="250"/>
    </row>
    <row r="7" spans="1:15" x14ac:dyDescent="0.2">
      <c r="A7" s="7" t="s">
        <v>229</v>
      </c>
      <c r="B7" s="1"/>
      <c r="C7" s="7" t="s">
        <v>228</v>
      </c>
      <c r="D7" s="7" t="s">
        <v>315</v>
      </c>
      <c r="E7" s="254" t="s">
        <v>316</v>
      </c>
      <c r="H7" s="335" t="s">
        <v>604</v>
      </c>
    </row>
    <row r="8" spans="1:15" x14ac:dyDescent="0.2">
      <c r="A8" s="5"/>
      <c r="B8" s="1"/>
      <c r="C8" s="249" t="s">
        <v>55</v>
      </c>
      <c r="D8" s="249" t="s">
        <v>56</v>
      </c>
      <c r="E8" s="5" t="s">
        <v>57</v>
      </c>
    </row>
    <row r="9" spans="1:15" x14ac:dyDescent="0.2">
      <c r="A9" s="5"/>
      <c r="B9" s="1"/>
      <c r="E9" s="192"/>
    </row>
    <row r="10" spans="1:15" x14ac:dyDescent="0.2">
      <c r="A10" s="5">
        <v>1</v>
      </c>
      <c r="B10" s="1" t="s">
        <v>455</v>
      </c>
      <c r="C10" s="161">
        <f>C34</f>
        <v>12.5</v>
      </c>
      <c r="D10" s="161">
        <f>D34</f>
        <v>530.48333333333346</v>
      </c>
      <c r="E10" s="161">
        <f>E34</f>
        <v>621.48124999999993</v>
      </c>
      <c r="F10" s="161"/>
      <c r="H10" s="8" t="s">
        <v>806</v>
      </c>
      <c r="K10" s="31"/>
      <c r="L10" s="31"/>
      <c r="M10" s="31"/>
    </row>
    <row r="11" spans="1:15" x14ac:dyDescent="0.2">
      <c r="A11" s="5"/>
      <c r="B11" s="1"/>
      <c r="C11" s="396"/>
      <c r="D11" s="396"/>
      <c r="E11" s="397"/>
      <c r="F11" s="161"/>
      <c r="K11" s="1"/>
    </row>
    <row r="12" spans="1:15" x14ac:dyDescent="0.2">
      <c r="A12" s="5">
        <v>3</v>
      </c>
      <c r="B12" s="1" t="s">
        <v>799</v>
      </c>
      <c r="C12" s="545">
        <f>[18]Officers!$K$51</f>
        <v>3852994.3999999948</v>
      </c>
      <c r="D12" s="545">
        <f>'[18]Non Bargaining'!$K$51</f>
        <v>57593249.610000059</v>
      </c>
      <c r="E12" s="545">
        <f>[18]Bargaining!$K$51</f>
        <v>52810437.190000042</v>
      </c>
      <c r="H12" s="8" t="str">
        <f>H10</f>
        <v>20XXXX-NWN-Exh-KTW-5-Walker-WP1-12-18-2020.xlsx</v>
      </c>
      <c r="K12" s="1"/>
      <c r="L12" s="1"/>
      <c r="M12" s="331"/>
      <c r="N12" s="427"/>
    </row>
    <row r="13" spans="1:15" x14ac:dyDescent="0.2">
      <c r="A13" s="5"/>
      <c r="B13" s="1"/>
      <c r="C13" s="11"/>
      <c r="D13" s="11"/>
      <c r="E13" s="262"/>
      <c r="K13" s="1"/>
      <c r="L13" s="1"/>
      <c r="M13" s="331"/>
      <c r="N13" s="427"/>
    </row>
    <row r="14" spans="1:15" x14ac:dyDescent="0.2">
      <c r="A14" s="5">
        <v>4</v>
      </c>
      <c r="B14" s="1" t="s">
        <v>230</v>
      </c>
      <c r="C14" s="11"/>
      <c r="D14" s="11"/>
      <c r="E14" s="11"/>
      <c r="K14" s="1"/>
      <c r="L14" s="1"/>
      <c r="M14" s="59"/>
      <c r="N14" s="427"/>
    </row>
    <row r="15" spans="1:15" x14ac:dyDescent="0.2">
      <c r="A15" s="5"/>
      <c r="B15" s="1" t="s">
        <v>456</v>
      </c>
      <c r="C15" s="11">
        <f>C12/C10</f>
        <v>308239.55199999956</v>
      </c>
      <c r="D15" s="11">
        <f>D12/D10</f>
        <v>108567.50060008177</v>
      </c>
      <c r="E15" s="11">
        <f>E12/E10</f>
        <v>84975.109369751779</v>
      </c>
      <c r="K15" s="1"/>
      <c r="L15" s="1"/>
    </row>
    <row r="16" spans="1:15" x14ac:dyDescent="0.2">
      <c r="A16" s="5"/>
      <c r="B16" s="1"/>
      <c r="C16" s="11"/>
      <c r="D16" s="11"/>
      <c r="E16" s="262"/>
      <c r="K16" s="1"/>
      <c r="L16" s="1"/>
      <c r="O16" s="1"/>
    </row>
    <row r="17" spans="1:15" ht="15.75" thickBot="1" x14ac:dyDescent="0.25">
      <c r="A17" s="5">
        <v>5</v>
      </c>
      <c r="B17" s="1" t="s">
        <v>683</v>
      </c>
      <c r="C17" s="558">
        <f>C10*C15</f>
        <v>3852994.3999999943</v>
      </c>
      <c r="D17" s="558">
        <f>D10*D15</f>
        <v>57593249.610000059</v>
      </c>
      <c r="E17" s="559">
        <f>E10*E15</f>
        <v>52810437.190000042</v>
      </c>
      <c r="O17" s="428"/>
    </row>
    <row r="18" spans="1:15" ht="15.75" thickTop="1" x14ac:dyDescent="0.2">
      <c r="A18" s="5"/>
      <c r="B18" s="1" t="s">
        <v>457</v>
      </c>
      <c r="D18" s="192"/>
    </row>
    <row r="19" spans="1:15" x14ac:dyDescent="0.2">
      <c r="A19" s="1"/>
      <c r="B19" s="1"/>
      <c r="D19" s="192"/>
    </row>
    <row r="20" spans="1:15" x14ac:dyDescent="0.2">
      <c r="A20" s="1"/>
      <c r="B20" s="1"/>
    </row>
    <row r="21" spans="1:15" x14ac:dyDescent="0.2">
      <c r="A21" s="352"/>
      <c r="B21" s="338"/>
      <c r="C21" s="7" t="s">
        <v>228</v>
      </c>
      <c r="D21" s="7" t="s">
        <v>315</v>
      </c>
      <c r="E21" s="254" t="s">
        <v>316</v>
      </c>
      <c r="H21" s="8" t="s">
        <v>806</v>
      </c>
    </row>
    <row r="22" spans="1:15" x14ac:dyDescent="0.2">
      <c r="A22" s="263">
        <v>2019</v>
      </c>
      <c r="B22" s="1" t="s">
        <v>305</v>
      </c>
      <c r="C22" s="264">
        <f>'[18]FTE Statistics'!F87</f>
        <v>11</v>
      </c>
      <c r="D22" s="264">
        <f>'[18]FTE Statistics'!G87</f>
        <v>518.6</v>
      </c>
      <c r="E22" s="264">
        <f>'[18]FTE Statistics'!C87</f>
        <v>633.4</v>
      </c>
      <c r="F22" s="264"/>
    </row>
    <row r="23" spans="1:15" x14ac:dyDescent="0.2">
      <c r="A23" s="263">
        <v>2019</v>
      </c>
      <c r="B23" s="1" t="s">
        <v>306</v>
      </c>
      <c r="C23" s="264">
        <f>'[18]FTE Statistics'!F88</f>
        <v>11</v>
      </c>
      <c r="D23" s="264">
        <f>'[18]FTE Statistics'!G88</f>
        <v>521.6</v>
      </c>
      <c r="E23" s="264">
        <f>'[18]FTE Statistics'!C88</f>
        <v>624.4</v>
      </c>
      <c r="F23" s="264"/>
    </row>
    <row r="24" spans="1:15" x14ac:dyDescent="0.2">
      <c r="A24" s="263">
        <v>2019</v>
      </c>
      <c r="B24" s="1" t="s">
        <v>307</v>
      </c>
      <c r="C24" s="264">
        <f>'[18]FTE Statistics'!F89</f>
        <v>11</v>
      </c>
      <c r="D24" s="264">
        <f>'[18]FTE Statistics'!G89</f>
        <v>528.6</v>
      </c>
      <c r="E24" s="264">
        <f>'[18]FTE Statistics'!C89</f>
        <v>623.4</v>
      </c>
      <c r="F24" s="264"/>
    </row>
    <row r="25" spans="1:15" x14ac:dyDescent="0.2">
      <c r="A25" s="263">
        <v>2020</v>
      </c>
      <c r="B25" s="1" t="s">
        <v>297</v>
      </c>
      <c r="C25" s="264">
        <f>'[18]FTE Statistics'!F90</f>
        <v>13</v>
      </c>
      <c r="D25" s="264">
        <f>'[18]FTE Statistics'!G90</f>
        <v>524.6</v>
      </c>
      <c r="E25" s="264">
        <f>'[18]FTE Statistics'!C90</f>
        <v>631.4</v>
      </c>
      <c r="F25" s="264"/>
    </row>
    <row r="26" spans="1:15" x14ac:dyDescent="0.2">
      <c r="A26" s="263">
        <v>2020</v>
      </c>
      <c r="B26" s="1" t="s">
        <v>298</v>
      </c>
      <c r="C26" s="264">
        <f>'[18]FTE Statistics'!F91</f>
        <v>13</v>
      </c>
      <c r="D26" s="264">
        <f>'[18]FTE Statistics'!G91</f>
        <v>525.6</v>
      </c>
      <c r="E26" s="264">
        <f>'[18]FTE Statistics'!C91</f>
        <v>631.4</v>
      </c>
      <c r="F26" s="264"/>
    </row>
    <row r="27" spans="1:15" x14ac:dyDescent="0.2">
      <c r="A27" s="263">
        <v>2020</v>
      </c>
      <c r="B27" s="1" t="s">
        <v>299</v>
      </c>
      <c r="C27" s="264">
        <f>'[18]FTE Statistics'!F92</f>
        <v>13</v>
      </c>
      <c r="D27" s="264">
        <f>'[18]FTE Statistics'!G92</f>
        <v>531.79999999999995</v>
      </c>
      <c r="E27" s="264">
        <f>'[18]FTE Statistics'!C92</f>
        <v>631.4</v>
      </c>
      <c r="F27" s="264"/>
    </row>
    <row r="28" spans="1:15" x14ac:dyDescent="0.2">
      <c r="A28" s="263">
        <v>2020</v>
      </c>
      <c r="B28" s="1" t="s">
        <v>300</v>
      </c>
      <c r="C28" s="264">
        <f>'[18]FTE Statistics'!F93</f>
        <v>13</v>
      </c>
      <c r="D28" s="264">
        <f>'[18]FTE Statistics'!G93</f>
        <v>533.79999999999995</v>
      </c>
      <c r="E28" s="264">
        <f>'[18]FTE Statistics'!C93</f>
        <v>625.4</v>
      </c>
      <c r="F28" s="264"/>
    </row>
    <row r="29" spans="1:15" x14ac:dyDescent="0.2">
      <c r="A29" s="263">
        <v>2020</v>
      </c>
      <c r="B29" s="1" t="s">
        <v>18</v>
      </c>
      <c r="C29" s="264">
        <f>'[18]FTE Statistics'!F94</f>
        <v>13</v>
      </c>
      <c r="D29" s="264">
        <f>'[18]FTE Statistics'!G94</f>
        <v>531.80000000000007</v>
      </c>
      <c r="E29" s="264">
        <f>'[18]FTE Statistics'!C94</f>
        <v>617.375</v>
      </c>
      <c r="F29" s="264"/>
    </row>
    <row r="30" spans="1:15" x14ac:dyDescent="0.2">
      <c r="A30" s="263">
        <v>2020</v>
      </c>
      <c r="B30" s="1" t="s">
        <v>301</v>
      </c>
      <c r="C30" s="264">
        <f>'[18]FTE Statistics'!F95</f>
        <v>13</v>
      </c>
      <c r="D30" s="264">
        <f>'[18]FTE Statistics'!G95</f>
        <v>533.79999999999995</v>
      </c>
      <c r="E30" s="264">
        <f>'[18]FTE Statistics'!C95</f>
        <v>612.4</v>
      </c>
      <c r="F30" s="264"/>
    </row>
    <row r="31" spans="1:15" x14ac:dyDescent="0.2">
      <c r="A31" s="263">
        <v>2020</v>
      </c>
      <c r="B31" s="1" t="s">
        <v>302</v>
      </c>
      <c r="C31" s="264">
        <f>'[18]FTE Statistics'!F96</f>
        <v>13</v>
      </c>
      <c r="D31" s="264">
        <f>'[18]FTE Statistics'!G96</f>
        <v>541.79999999999995</v>
      </c>
      <c r="E31" s="264">
        <f>'[18]FTE Statistics'!C96</f>
        <v>607.4</v>
      </c>
      <c r="F31" s="264"/>
    </row>
    <row r="32" spans="1:15" x14ac:dyDescent="0.2">
      <c r="A32" s="263">
        <v>2020</v>
      </c>
      <c r="B32" s="1" t="s">
        <v>303</v>
      </c>
      <c r="C32" s="264">
        <f>'[18]FTE Statistics'!F97</f>
        <v>13</v>
      </c>
      <c r="D32" s="264">
        <f>'[18]FTE Statistics'!G97</f>
        <v>535.79999999999995</v>
      </c>
      <c r="E32" s="264">
        <f>'[18]FTE Statistics'!C97</f>
        <v>613.4</v>
      </c>
      <c r="F32" s="264"/>
    </row>
    <row r="33" spans="1:6" s="21" customFormat="1" x14ac:dyDescent="0.2">
      <c r="A33" s="263">
        <v>2020</v>
      </c>
      <c r="B33" s="45" t="s">
        <v>304</v>
      </c>
      <c r="C33" s="544">
        <f>'[18]FTE Statistics'!F98</f>
        <v>13</v>
      </c>
      <c r="D33" s="544">
        <f>'[18]FTE Statistics'!G98</f>
        <v>538</v>
      </c>
      <c r="E33" s="544">
        <f>'[18]FTE Statistics'!C98</f>
        <v>606.4</v>
      </c>
      <c r="F33" s="340"/>
    </row>
    <row r="34" spans="1:6" s="21" customFormat="1" x14ac:dyDescent="0.2">
      <c r="A34" s="45"/>
      <c r="B34" s="45" t="s">
        <v>75</v>
      </c>
      <c r="C34" s="265">
        <f>AVERAGE(C22:C33)</f>
        <v>12.5</v>
      </c>
      <c r="D34" s="265">
        <f>AVERAGE(D22:D33)</f>
        <v>530.48333333333346</v>
      </c>
      <c r="E34" s="265">
        <f>AVERAGE(E22:E33)</f>
        <v>621.48124999999993</v>
      </c>
      <c r="F34" s="265"/>
    </row>
    <row r="35" spans="1:6" s="21" customFormat="1" x14ac:dyDescent="0.2">
      <c r="A35" s="45"/>
      <c r="B35" s="45"/>
    </row>
    <row r="36" spans="1:6" x14ac:dyDescent="0.2">
      <c r="A36" s="330"/>
      <c r="B36" s="26"/>
    </row>
    <row r="37" spans="1:6" x14ac:dyDescent="0.2">
      <c r="A37" s="330"/>
      <c r="B37" s="26"/>
    </row>
    <row r="38" spans="1:6" x14ac:dyDescent="0.2">
      <c r="A38" s="1"/>
      <c r="B38" s="429"/>
      <c r="C38" s="425"/>
      <c r="D38" s="425"/>
    </row>
    <row r="39" spans="1:6" x14ac:dyDescent="0.2">
      <c r="A39" s="1"/>
      <c r="B39" s="429"/>
      <c r="C39" s="425"/>
      <c r="D39" s="425"/>
    </row>
    <row r="40" spans="1:6" x14ac:dyDescent="0.2">
      <c r="A40" s="263"/>
      <c r="B40" s="45"/>
      <c r="C40" s="430"/>
      <c r="D40" s="430"/>
    </row>
    <row r="41" spans="1:6" x14ac:dyDescent="0.2">
      <c r="A41" s="263"/>
      <c r="B41" s="45"/>
      <c r="C41" s="430"/>
      <c r="D41" s="430"/>
    </row>
    <row r="42" spans="1:6" x14ac:dyDescent="0.2">
      <c r="A42" s="263"/>
      <c r="B42" s="45"/>
      <c r="C42" s="430"/>
      <c r="D42" s="430"/>
    </row>
    <row r="43" spans="1:6" x14ac:dyDescent="0.2">
      <c r="A43" s="263"/>
      <c r="B43" s="45"/>
      <c r="C43" s="430"/>
      <c r="D43" s="430"/>
    </row>
    <row r="44" spans="1:6" x14ac:dyDescent="0.2">
      <c r="A44" s="263"/>
      <c r="B44" s="45"/>
      <c r="C44" s="430"/>
      <c r="D44" s="430"/>
    </row>
    <row r="45" spans="1:6" x14ac:dyDescent="0.2">
      <c r="A45" s="263"/>
      <c r="B45" s="45"/>
      <c r="C45" s="430"/>
      <c r="D45" s="430"/>
    </row>
    <row r="46" spans="1:6" x14ac:dyDescent="0.2">
      <c r="A46" s="263"/>
      <c r="B46" s="45"/>
      <c r="C46" s="430"/>
      <c r="D46" s="430"/>
    </row>
    <row r="47" spans="1:6" x14ac:dyDescent="0.2">
      <c r="A47" s="263"/>
      <c r="B47" s="45"/>
      <c r="C47" s="430"/>
      <c r="D47" s="430"/>
    </row>
    <row r="48" spans="1:6" x14ac:dyDescent="0.2">
      <c r="A48" s="263"/>
      <c r="B48" s="45"/>
      <c r="C48" s="430"/>
      <c r="D48" s="430"/>
    </row>
    <row r="49" spans="1:4" x14ac:dyDescent="0.2">
      <c r="A49" s="263"/>
      <c r="B49" s="45"/>
      <c r="C49" s="430"/>
      <c r="D49" s="430"/>
    </row>
    <row r="50" spans="1:4" x14ac:dyDescent="0.2">
      <c r="A50" s="263"/>
      <c r="B50" s="45"/>
      <c r="C50" s="430"/>
      <c r="D50" s="430"/>
    </row>
    <row r="51" spans="1:4" x14ac:dyDescent="0.2">
      <c r="A51" s="263"/>
      <c r="B51" s="45"/>
      <c r="C51" s="430"/>
      <c r="D51" s="430"/>
    </row>
    <row r="52" spans="1:4" x14ac:dyDescent="0.2">
      <c r="B52" s="21"/>
      <c r="C52" s="265"/>
      <c r="D52" s="265"/>
    </row>
  </sheetData>
  <customSheetViews>
    <customSheetView guid="{A7BD13BF-7E57-44D7-9B02-43E2FA430390}" showPageBreaks="1" fitToPage="1" printArea="1">
      <selection activeCell="D12" sqref="D12"/>
      <pageMargins left="0.75" right="0.75" top="0.7" bottom="0.66" header="0.5" footer="0.5"/>
      <printOptions horizontalCentered="1"/>
      <pageSetup scale="92" orientation="landscape" r:id="rId1"/>
      <headerFooter alignWithMargins="0"/>
    </customSheetView>
    <customSheetView guid="{C29552AC-6B79-447F-B962-713ED43BDF1A}" showPageBreaks="1" fitToPage="1" printArea="1">
      <selection activeCell="C26" sqref="C26:E26"/>
      <pageMargins left="0.75" right="0.75" top="0.7" bottom="0.66" header="0.5" footer="0.5"/>
      <printOptions horizontalCentered="1"/>
      <pageSetup scale="94" orientation="landscape" r:id="rId2"/>
      <headerFooter alignWithMargins="0"/>
    </customSheetView>
    <customSheetView guid="{6ED201AA-AB2E-4FE7-B06B-B07932512C4D}" showPageBreaks="1" fitToPage="1" printArea="1">
      <selection activeCell="B31" sqref="B31"/>
      <pageMargins left="0.75" right="0.75" top="0.7" bottom="0.66" header="0.5" footer="0.5"/>
      <printOptions horizontalCentered="1"/>
      <pageSetup scale="92" orientation="landscape" r:id="rId3"/>
      <headerFooter alignWithMargins="0"/>
    </customSheetView>
    <customSheetView guid="{D711E10B-9441-4991-A2CB-ED400E35790D}" fitToPage="1">
      <selection activeCell="F12" sqref="F12"/>
      <pageMargins left="0.75" right="0.75" top="0.7" bottom="0.66" header="0.5" footer="0.5"/>
      <printOptions horizontalCentered="1"/>
      <pageSetup scale="92" orientation="landscape" r:id="rId4"/>
      <headerFooter alignWithMargins="0"/>
    </customSheetView>
  </customSheetViews>
  <phoneticPr fontId="5" type="noConversion"/>
  <printOptions horizontalCentered="1"/>
  <pageMargins left="0.75" right="0.75" top="0.7" bottom="0.66" header="0.5" footer="0.5"/>
  <pageSetup scale="97" orientation="landscape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>
    <tabColor theme="9" tint="0.59999389629810485"/>
    <pageSetUpPr fitToPage="1"/>
  </sheetPr>
  <dimension ref="A1:R44"/>
  <sheetViews>
    <sheetView topLeftCell="A13" zoomScale="90" zoomScaleNormal="90" workbookViewId="0">
      <selection activeCell="N36" sqref="N35:N36"/>
    </sheetView>
  </sheetViews>
  <sheetFormatPr defaultColWidth="9.140625" defaultRowHeight="15" x14ac:dyDescent="0.2"/>
  <cols>
    <col min="1" max="1" width="5.7109375" style="1" customWidth="1"/>
    <col min="2" max="2" width="50.7109375" style="1" customWidth="1"/>
    <col min="3" max="5" width="14.7109375" style="8" customWidth="1"/>
    <col min="6" max="7" width="9.140625" style="8" customWidth="1"/>
    <col min="8" max="8" width="20.5703125" style="8" customWidth="1"/>
    <col min="9" max="9" width="11.7109375" style="8" customWidth="1"/>
    <col min="10" max="12" width="14.7109375" style="8" customWidth="1"/>
    <col min="13" max="13" width="11" style="8" bestFit="1" customWidth="1"/>
    <col min="14" max="14" width="24.42578125" style="8" bestFit="1" customWidth="1"/>
    <col min="15" max="15" width="18" style="8" customWidth="1"/>
    <col min="16" max="16384" width="9.140625" style="8"/>
  </cols>
  <sheetData>
    <row r="1" spans="1:15" s="1" customFormat="1" x14ac:dyDescent="0.2">
      <c r="A1" s="1" t="s">
        <v>0</v>
      </c>
      <c r="E1" s="499" t="s">
        <v>751</v>
      </c>
    </row>
    <row r="2" spans="1:15" s="1" customFormat="1" ht="15.75" thickBot="1" x14ac:dyDescent="0.25">
      <c r="A2" s="1" t="str">
        <f>+'KTW-4,5,8 p1 - Adjust Issues'!A3</f>
        <v>Test Year Based on Twelve Months Ended September 30, 2020</v>
      </c>
      <c r="E2" s="499" t="s">
        <v>771</v>
      </c>
      <c r="H2" s="543"/>
      <c r="J2" s="53"/>
      <c r="K2" s="53"/>
    </row>
    <row r="3" spans="1:15" s="1" customFormat="1" x14ac:dyDescent="0.2">
      <c r="A3" s="1" t="s">
        <v>234</v>
      </c>
      <c r="H3" s="266" t="s">
        <v>522</v>
      </c>
      <c r="I3" s="166"/>
      <c r="J3" s="610" t="s">
        <v>11</v>
      </c>
      <c r="K3" s="610"/>
      <c r="L3" s="611"/>
    </row>
    <row r="4" spans="1:15" s="1" customFormat="1" x14ac:dyDescent="0.2">
      <c r="H4" s="171"/>
      <c r="I4" s="21"/>
      <c r="J4" s="522" t="s">
        <v>574</v>
      </c>
      <c r="K4" s="522" t="s">
        <v>575</v>
      </c>
      <c r="L4" s="267" t="s">
        <v>576</v>
      </c>
    </row>
    <row r="5" spans="1:15" s="1" customFormat="1" x14ac:dyDescent="0.2">
      <c r="C5" s="5" t="s">
        <v>7</v>
      </c>
      <c r="D5" s="5" t="s">
        <v>8</v>
      </c>
      <c r="E5" s="5" t="s">
        <v>8</v>
      </c>
      <c r="H5" s="171"/>
      <c r="I5" s="21"/>
      <c r="J5" s="21"/>
      <c r="K5" s="21"/>
      <c r="L5" s="173"/>
    </row>
    <row r="6" spans="1:15" s="1" customFormat="1" x14ac:dyDescent="0.2">
      <c r="C6" s="5" t="s">
        <v>26</v>
      </c>
      <c r="D6" s="5" t="s">
        <v>48</v>
      </c>
      <c r="E6" s="5" t="s">
        <v>26</v>
      </c>
      <c r="H6" s="171" t="s">
        <v>305</v>
      </c>
      <c r="I6" s="268">
        <v>2019</v>
      </c>
      <c r="J6" s="549">
        <f>'[19]Teat Year H&amp;L Costs'!C5</f>
        <v>1634643</v>
      </c>
      <c r="K6" s="549">
        <f>'[19]Teat Year H&amp;L Costs'!D5</f>
        <v>-720</v>
      </c>
      <c r="L6" s="270">
        <f>+J6+K6</f>
        <v>1633923</v>
      </c>
    </row>
    <row r="7" spans="1:15" s="1" customFormat="1" x14ac:dyDescent="0.2">
      <c r="A7" s="5" t="s">
        <v>15</v>
      </c>
      <c r="C7" s="7" t="s">
        <v>50</v>
      </c>
      <c r="D7" s="7" t="s">
        <v>236</v>
      </c>
      <c r="E7" s="7" t="s">
        <v>50</v>
      </c>
      <c r="H7" s="171" t="s">
        <v>306</v>
      </c>
      <c r="I7" s="268">
        <f>I6</f>
        <v>2019</v>
      </c>
      <c r="J7" s="549">
        <f>'[19]Teat Year H&amp;L Costs'!C6</f>
        <v>1641369</v>
      </c>
      <c r="K7" s="549">
        <f>'[19]Teat Year H&amp;L Costs'!D6</f>
        <v>-80597</v>
      </c>
      <c r="L7" s="270">
        <f t="shared" ref="L7:L17" si="0">+J7+K7</f>
        <v>1560772</v>
      </c>
      <c r="N7" s="269"/>
    </row>
    <row r="8" spans="1:15" s="1" customFormat="1" x14ac:dyDescent="0.2">
      <c r="A8" s="7" t="s">
        <v>31</v>
      </c>
      <c r="C8" s="249" t="s">
        <v>55</v>
      </c>
      <c r="D8" s="249" t="s">
        <v>56</v>
      </c>
      <c r="E8" s="249" t="s">
        <v>57</v>
      </c>
      <c r="H8" s="171" t="s">
        <v>307</v>
      </c>
      <c r="I8" s="268">
        <f>I7</f>
        <v>2019</v>
      </c>
      <c r="J8" s="549">
        <f>'[19]Teat Year H&amp;L Costs'!C7</f>
        <v>2593400</v>
      </c>
      <c r="K8" s="549">
        <f>'[19]Teat Year H&amp;L Costs'!D7</f>
        <v>-720</v>
      </c>
      <c r="L8" s="270">
        <f t="shared" si="0"/>
        <v>2592680</v>
      </c>
    </row>
    <row r="9" spans="1:15" s="1" customFormat="1" x14ac:dyDescent="0.2">
      <c r="C9" s="8"/>
      <c r="D9" s="8"/>
      <c r="E9" s="8"/>
      <c r="H9" s="171" t="s">
        <v>297</v>
      </c>
      <c r="I9" s="268">
        <v>2020</v>
      </c>
      <c r="J9" s="549">
        <f>'[19]Teat Year H&amp;L Costs'!C8</f>
        <v>1297168</v>
      </c>
      <c r="K9" s="549">
        <f>'[19]Teat Year H&amp;L Costs'!D8</f>
        <v>-11980</v>
      </c>
      <c r="L9" s="270">
        <f t="shared" si="0"/>
        <v>1285188</v>
      </c>
    </row>
    <row r="10" spans="1:15" ht="15.75" thickBot="1" x14ac:dyDescent="0.25">
      <c r="A10" s="5"/>
      <c r="B10" s="271" t="s">
        <v>235</v>
      </c>
      <c r="C10" s="1"/>
      <c r="D10" s="188"/>
      <c r="E10" s="188"/>
      <c r="H10" s="171" t="s">
        <v>298</v>
      </c>
      <c r="I10" s="268">
        <f>I9</f>
        <v>2020</v>
      </c>
      <c r="J10" s="549">
        <f>'[19]Teat Year H&amp;L Costs'!C9</f>
        <v>1689524</v>
      </c>
      <c r="K10" s="549">
        <f>'[19]Teat Year H&amp;L Costs'!D9</f>
        <v>-6429</v>
      </c>
      <c r="L10" s="270">
        <f t="shared" si="0"/>
        <v>1683095</v>
      </c>
      <c r="O10" s="1"/>
    </row>
    <row r="11" spans="1:15" x14ac:dyDescent="0.2">
      <c r="H11" s="171" t="s">
        <v>299</v>
      </c>
      <c r="I11" s="268">
        <f t="shared" ref="I11:I17" si="1">I10</f>
        <v>2020</v>
      </c>
      <c r="J11" s="549">
        <f>'[19]Teat Year H&amp;L Costs'!C10</f>
        <v>1704963</v>
      </c>
      <c r="K11" s="549">
        <f>'[19]Teat Year H&amp;L Costs'!D10</f>
        <v>-6429</v>
      </c>
      <c r="L11" s="270">
        <f t="shared" si="0"/>
        <v>1698534</v>
      </c>
      <c r="O11" s="1"/>
    </row>
    <row r="12" spans="1:15" x14ac:dyDescent="0.2">
      <c r="A12" s="5">
        <v>1</v>
      </c>
      <c r="B12" s="1" t="s">
        <v>283</v>
      </c>
      <c r="C12" s="14">
        <f>+L21</f>
        <v>12362463.137341334</v>
      </c>
      <c r="D12" s="188"/>
      <c r="E12" s="188"/>
      <c r="H12" s="171" t="s">
        <v>300</v>
      </c>
      <c r="I12" s="268">
        <f t="shared" si="1"/>
        <v>2020</v>
      </c>
      <c r="J12" s="549">
        <f>'[19]Teat Year H&amp;L Costs'!C11</f>
        <v>1704482</v>
      </c>
      <c r="K12" s="549">
        <f>'[19]Teat Year H&amp;L Costs'!D11</f>
        <v>-6429</v>
      </c>
      <c r="L12" s="270">
        <f t="shared" si="0"/>
        <v>1698053</v>
      </c>
    </row>
    <row r="13" spans="1:15" x14ac:dyDescent="0.2">
      <c r="A13" s="5">
        <f>+A12+1</f>
        <v>2</v>
      </c>
      <c r="B13" s="1" t="s">
        <v>282</v>
      </c>
      <c r="C13" s="49">
        <f>+J30</f>
        <v>13077204.393937092</v>
      </c>
      <c r="D13" s="188"/>
      <c r="E13" s="188"/>
      <c r="H13" s="171" t="s">
        <v>18</v>
      </c>
      <c r="I13" s="268">
        <f t="shared" si="1"/>
        <v>2020</v>
      </c>
      <c r="J13" s="549">
        <f>'[19]Teat Year H&amp;L Costs'!C12</f>
        <v>2090894</v>
      </c>
      <c r="K13" s="549">
        <f>'[19]Teat Year H&amp;L Costs'!D12</f>
        <v>-6429</v>
      </c>
      <c r="L13" s="270">
        <f t="shared" si="0"/>
        <v>2084465</v>
      </c>
    </row>
    <row r="14" spans="1:15" x14ac:dyDescent="0.2">
      <c r="A14" s="5"/>
      <c r="C14" s="29"/>
      <c r="D14" s="188"/>
      <c r="E14" s="188"/>
      <c r="H14" s="171" t="s">
        <v>301</v>
      </c>
      <c r="I14" s="268">
        <f t="shared" si="1"/>
        <v>2020</v>
      </c>
      <c r="J14" s="549">
        <f>'[19]Teat Year H&amp;L Costs'!C13</f>
        <v>1685598</v>
      </c>
      <c r="K14" s="549">
        <f>'[19]Teat Year H&amp;L Costs'!D13</f>
        <v>-6429</v>
      </c>
      <c r="L14" s="270">
        <f t="shared" si="0"/>
        <v>1679169</v>
      </c>
    </row>
    <row r="15" spans="1:15" ht="15.75" thickBot="1" x14ac:dyDescent="0.25">
      <c r="A15" s="5">
        <f>+A13+1</f>
        <v>3</v>
      </c>
      <c r="B15" s="1" t="s">
        <v>238</v>
      </c>
      <c r="C15" s="62">
        <f>+C13-C12</f>
        <v>714741.25659575872</v>
      </c>
      <c r="D15" s="515">
        <f>+'KTW-5 p3 - Payroll 1'!C29</f>
        <v>0.100274</v>
      </c>
      <c r="E15" s="279">
        <f>+C15*D15</f>
        <v>71669.964763883108</v>
      </c>
      <c r="H15" s="171" t="s">
        <v>302</v>
      </c>
      <c r="I15" s="268">
        <f t="shared" si="1"/>
        <v>2020</v>
      </c>
      <c r="J15" s="549">
        <f>'[19]Teat Year H&amp;L Costs'!C14</f>
        <v>1295998</v>
      </c>
      <c r="K15" s="549">
        <f>'[19]Teat Year H&amp;L Costs'!D14</f>
        <v>-6429</v>
      </c>
      <c r="L15" s="270">
        <f t="shared" si="0"/>
        <v>1289569</v>
      </c>
    </row>
    <row r="16" spans="1:15" ht="16.5" thickTop="1" thickBot="1" x14ac:dyDescent="0.25">
      <c r="A16" s="86"/>
      <c r="B16" s="271"/>
      <c r="C16" s="180"/>
      <c r="D16" s="273"/>
      <c r="E16" s="274"/>
      <c r="H16" s="171" t="s">
        <v>303</v>
      </c>
      <c r="I16" s="268">
        <f t="shared" si="1"/>
        <v>2020</v>
      </c>
      <c r="J16" s="549">
        <f>'[19]Teat Year H&amp;L Costs'!C15</f>
        <v>1678851</v>
      </c>
      <c r="K16" s="549">
        <f>'[19]Teat Year H&amp;L Costs'!D15</f>
        <v>-6429</v>
      </c>
      <c r="L16" s="270">
        <f t="shared" si="0"/>
        <v>1672422</v>
      </c>
    </row>
    <row r="17" spans="1:18" x14ac:dyDescent="0.2">
      <c r="C17" s="9"/>
      <c r="D17" s="70"/>
      <c r="E17" s="188"/>
      <c r="H17" s="171" t="s">
        <v>304</v>
      </c>
      <c r="I17" s="268">
        <f t="shared" si="1"/>
        <v>2020</v>
      </c>
      <c r="J17" s="550">
        <f>'[19]Teat Year H&amp;L Costs'!C16</f>
        <v>1687911</v>
      </c>
      <c r="K17" s="550">
        <f>'[19]Teat Year H&amp;L Costs'!D16</f>
        <v>-6429</v>
      </c>
      <c r="L17" s="275">
        <f t="shared" si="0"/>
        <v>1681482</v>
      </c>
    </row>
    <row r="18" spans="1:18" ht="15.75" thickBot="1" x14ac:dyDescent="0.25">
      <c r="B18" s="271" t="s">
        <v>513</v>
      </c>
      <c r="C18" s="1"/>
      <c r="D18" s="70"/>
      <c r="E18" s="188"/>
      <c r="H18" s="171"/>
      <c r="I18" s="21"/>
      <c r="J18" s="21"/>
      <c r="K18" s="21"/>
      <c r="L18" s="173"/>
    </row>
    <row r="19" spans="1:18" x14ac:dyDescent="0.2">
      <c r="C19" s="1"/>
      <c r="D19" s="70"/>
      <c r="E19" s="188"/>
      <c r="H19" s="171" t="s">
        <v>218</v>
      </c>
      <c r="I19" s="21"/>
      <c r="J19" s="21">
        <f>SUM(J6:J17)</f>
        <v>20704801</v>
      </c>
      <c r="K19" s="21">
        <f>SUM(K6:K17)</f>
        <v>-145449</v>
      </c>
      <c r="L19" s="173">
        <f>SUM(L6:L17)</f>
        <v>20559352</v>
      </c>
    </row>
    <row r="20" spans="1:18" x14ac:dyDescent="0.2">
      <c r="A20" s="5">
        <f>+A15+1</f>
        <v>4</v>
      </c>
      <c r="B20" s="3" t="s">
        <v>284</v>
      </c>
      <c r="C20" s="21">
        <f>[20]Summary!$C$6*(3/12)+[20]Summary!$C$7*(9/12)</f>
        <v>1557468.4091858051</v>
      </c>
      <c r="D20" s="339"/>
      <c r="E20" s="188"/>
      <c r="H20" s="171" t="s">
        <v>271</v>
      </c>
      <c r="I20" s="21"/>
      <c r="J20" s="21"/>
      <c r="K20" s="21"/>
      <c r="L20" s="276">
        <f>+'KTW-5 p3 - Payroll 1'!C21</f>
        <v>0.6013060692448543</v>
      </c>
      <c r="N20" s="21"/>
      <c r="O20" s="21"/>
      <c r="P20" s="21"/>
      <c r="Q20" s="21"/>
      <c r="R20" s="21"/>
    </row>
    <row r="21" spans="1:18" x14ac:dyDescent="0.2">
      <c r="C21" s="21"/>
      <c r="D21" s="70"/>
      <c r="E21" s="188"/>
      <c r="H21" s="171" t="s">
        <v>207</v>
      </c>
      <c r="I21" s="21"/>
      <c r="J21" s="21"/>
      <c r="K21" s="21"/>
      <c r="L21" s="173">
        <f>+L19*L20</f>
        <v>12362463.137341334</v>
      </c>
      <c r="N21" s="21"/>
      <c r="O21" s="21"/>
      <c r="P21" s="21"/>
      <c r="Q21" s="21"/>
      <c r="R21" s="21"/>
    </row>
    <row r="22" spans="1:18" x14ac:dyDescent="0.2">
      <c r="A22" s="5">
        <f>+A20+1</f>
        <v>5</v>
      </c>
      <c r="B22" s="3" t="s">
        <v>742</v>
      </c>
      <c r="C22" s="24">
        <f>+J42</f>
        <v>1615328.1535122097</v>
      </c>
      <c r="D22" s="339"/>
      <c r="E22" s="188"/>
      <c r="H22" s="171"/>
      <c r="I22" s="529"/>
      <c r="J22" s="529"/>
      <c r="K22" s="529"/>
      <c r="L22" s="267"/>
      <c r="M22" s="5"/>
      <c r="N22" s="45"/>
      <c r="O22" s="45"/>
      <c r="P22" s="21"/>
      <c r="Q22" s="21"/>
      <c r="R22" s="21"/>
    </row>
    <row r="23" spans="1:18" x14ac:dyDescent="0.2">
      <c r="A23" s="5"/>
      <c r="C23" s="29"/>
      <c r="D23" s="70"/>
      <c r="E23" s="188"/>
      <c r="H23" s="277" t="s">
        <v>614</v>
      </c>
      <c r="I23" s="278" t="s">
        <v>569</v>
      </c>
      <c r="J23" s="521" t="s">
        <v>570</v>
      </c>
      <c r="K23" s="529"/>
      <c r="L23" s="267"/>
      <c r="M23" s="529"/>
      <c r="N23" s="45"/>
      <c r="O23" s="155"/>
      <c r="P23" s="21"/>
      <c r="Q23" s="21"/>
      <c r="R23" s="21"/>
    </row>
    <row r="24" spans="1:18" ht="15.75" thickBot="1" x14ac:dyDescent="0.25">
      <c r="A24" s="5">
        <f>+A22+1</f>
        <v>6</v>
      </c>
      <c r="B24" s="1" t="s">
        <v>238</v>
      </c>
      <c r="C24" s="62">
        <f>+C22-C20</f>
        <v>57859.744326404529</v>
      </c>
      <c r="D24" s="272">
        <v>1</v>
      </c>
      <c r="E24" s="279">
        <f>+C24*D24</f>
        <v>57859.744326404529</v>
      </c>
      <c r="H24" s="171" t="s">
        <v>228</v>
      </c>
      <c r="I24" s="527">
        <f>'[19]2021 Projected H&amp;L Costs'!$C$12</f>
        <v>12.5</v>
      </c>
      <c r="J24" s="547">
        <f>'[19]2021 Projected H&amp;L Costs'!$K$12</f>
        <v>399100</v>
      </c>
      <c r="K24" s="530"/>
      <c r="L24" s="172"/>
      <c r="M24" s="393"/>
      <c r="N24" s="21"/>
      <c r="O24" s="21"/>
      <c r="P24" s="21"/>
      <c r="Q24" s="21"/>
      <c r="R24" s="21"/>
    </row>
    <row r="25" spans="1:18" ht="15.75" thickTop="1" x14ac:dyDescent="0.2">
      <c r="D25" s="70"/>
      <c r="E25" s="188"/>
      <c r="H25" s="171" t="s">
        <v>571</v>
      </c>
      <c r="I25" s="527">
        <f>'[19]2021 Projected H&amp;L Costs'!$C$13</f>
        <v>515.5</v>
      </c>
      <c r="J25" s="21">
        <f>'[19]2021 Projected H&amp;L Costs'!$K$13</f>
        <v>10810200</v>
      </c>
      <c r="K25" s="530"/>
      <c r="L25" s="172"/>
      <c r="M25" s="393"/>
      <c r="N25" s="21"/>
      <c r="O25" s="21"/>
      <c r="P25" s="21"/>
      <c r="Q25" s="21"/>
      <c r="R25" s="21"/>
    </row>
    <row r="26" spans="1:18" ht="15.75" thickBot="1" x14ac:dyDescent="0.25">
      <c r="A26" s="5">
        <f>+A24+1</f>
        <v>7</v>
      </c>
      <c r="B26" s="1" t="s">
        <v>327</v>
      </c>
      <c r="D26" s="77"/>
      <c r="E26" s="94">
        <f>+E15+E24</f>
        <v>129529.70909028764</v>
      </c>
      <c r="H26" s="171" t="s">
        <v>572</v>
      </c>
      <c r="I26" s="527">
        <f>'[19]2021 Projected H&amp;L Costs'!$C$14</f>
        <v>15</v>
      </c>
      <c r="J26" s="21">
        <f>'[19]2021 Projected H&amp;L Costs'!$K$14</f>
        <v>224100</v>
      </c>
      <c r="K26" s="530"/>
      <c r="L26" s="172"/>
      <c r="M26" s="393"/>
      <c r="N26" s="21"/>
      <c r="O26" s="21"/>
      <c r="P26" s="21"/>
      <c r="Q26" s="21"/>
      <c r="R26" s="21"/>
    </row>
    <row r="27" spans="1:18" ht="15.75" thickTop="1" x14ac:dyDescent="0.2">
      <c r="A27" s="45"/>
      <c r="B27" s="45"/>
      <c r="C27" s="21"/>
      <c r="D27" s="77"/>
      <c r="H27" s="171" t="s">
        <v>573</v>
      </c>
      <c r="I27" s="548">
        <f>'[19]2021 Projected H&amp;L Costs'!$C$15</f>
        <v>621.5</v>
      </c>
      <c r="J27" s="24">
        <f>'[19]2021 Projected H&amp;L Costs'!$K$15</f>
        <v>10314600</v>
      </c>
      <c r="K27" s="530"/>
      <c r="L27" s="172"/>
      <c r="M27" s="393"/>
      <c r="N27" s="21"/>
      <c r="O27" s="21"/>
      <c r="P27" s="21"/>
      <c r="Q27" s="21"/>
      <c r="R27" s="21"/>
    </row>
    <row r="28" spans="1:18" x14ac:dyDescent="0.2">
      <c r="B28" s="1" t="s">
        <v>523</v>
      </c>
      <c r="D28" s="77"/>
      <c r="H28" s="171" t="s">
        <v>62</v>
      </c>
      <c r="I28" s="527">
        <f>SUM(I24:I27)</f>
        <v>1164.5</v>
      </c>
      <c r="J28" s="21">
        <f>SUM(J24:J27)</f>
        <v>21748000</v>
      </c>
      <c r="K28" s="530"/>
      <c r="L28" s="172"/>
      <c r="M28" s="393"/>
      <c r="N28" s="45"/>
      <c r="O28" s="45"/>
      <c r="P28" s="21"/>
      <c r="Q28" s="21"/>
      <c r="R28" s="21"/>
    </row>
    <row r="29" spans="1:18" ht="15.75" thickBot="1" x14ac:dyDescent="0.25">
      <c r="A29" s="271"/>
      <c r="B29" s="271"/>
      <c r="C29" s="271"/>
      <c r="D29" s="281"/>
      <c r="E29" s="180"/>
      <c r="H29" s="171" t="s">
        <v>271</v>
      </c>
      <c r="I29" s="21"/>
      <c r="J29" s="60">
        <f>+L20</f>
        <v>0.6013060692448543</v>
      </c>
      <c r="K29" s="21"/>
      <c r="L29" s="173"/>
      <c r="N29" s="351"/>
      <c r="O29" s="45"/>
      <c r="P29" s="21"/>
      <c r="Q29" s="21"/>
      <c r="R29" s="21"/>
    </row>
    <row r="30" spans="1:18" ht="15.75" thickBot="1" x14ac:dyDescent="0.25">
      <c r="C30" s="1"/>
      <c r="D30" s="77"/>
      <c r="H30" s="179" t="s">
        <v>207</v>
      </c>
      <c r="I30" s="180"/>
      <c r="J30" s="180">
        <f>+J28*J29</f>
        <v>13077204.393937092</v>
      </c>
      <c r="K30" s="180"/>
      <c r="L30" s="181"/>
      <c r="N30" s="45"/>
      <c r="O30" s="45"/>
      <c r="P30" s="21"/>
      <c r="Q30" s="21"/>
      <c r="R30" s="21"/>
    </row>
    <row r="31" spans="1:18" ht="15.75" thickBot="1" x14ac:dyDescent="0.25">
      <c r="B31" s="271" t="s">
        <v>237</v>
      </c>
      <c r="C31" s="1"/>
      <c r="D31" s="77"/>
      <c r="H31" s="21"/>
      <c r="I31" s="21"/>
      <c r="J31" s="21"/>
      <c r="K31" s="21"/>
      <c r="L31" s="21"/>
      <c r="N31" s="45"/>
      <c r="O31" s="45"/>
      <c r="P31" s="21"/>
      <c r="Q31" s="21"/>
      <c r="R31" s="21"/>
    </row>
    <row r="32" spans="1:18" ht="15.75" thickBot="1" x14ac:dyDescent="0.25">
      <c r="A32" s="5"/>
      <c r="C32" s="1"/>
      <c r="D32" s="77"/>
      <c r="H32" s="543"/>
      <c r="N32" s="1"/>
      <c r="O32" s="1"/>
    </row>
    <row r="33" spans="1:15" x14ac:dyDescent="0.25">
      <c r="A33" s="5">
        <f>+A26+1</f>
        <v>8</v>
      </c>
      <c r="B33" s="169" t="s">
        <v>562</v>
      </c>
      <c r="C33" s="29">
        <f>+'KTW-5 p3 - Payroll 1'!C23</f>
        <v>72782165.921699837</v>
      </c>
      <c r="D33" s="77"/>
      <c r="H33" s="282" t="s">
        <v>521</v>
      </c>
      <c r="I33" s="166"/>
      <c r="J33" s="283">
        <v>2021</v>
      </c>
      <c r="N33" s="1"/>
      <c r="O33" s="1"/>
    </row>
    <row r="34" spans="1:15" x14ac:dyDescent="0.2">
      <c r="A34" s="5">
        <f>+A33+1</f>
        <v>9</v>
      </c>
      <c r="B34" s="169" t="s">
        <v>563</v>
      </c>
      <c r="C34" s="49">
        <f>+'KTW-5 p3 - Payroll 1'!C25</f>
        <v>68746730.715710059</v>
      </c>
      <c r="D34" s="77"/>
      <c r="H34" s="337"/>
      <c r="I34" s="21"/>
      <c r="J34" s="173"/>
      <c r="N34" s="1"/>
      <c r="O34" s="1"/>
    </row>
    <row r="35" spans="1:15" x14ac:dyDescent="0.25">
      <c r="D35" s="77"/>
      <c r="H35" s="284" t="s">
        <v>514</v>
      </c>
      <c r="I35" s="21"/>
      <c r="J35" s="344">
        <f>'[20]Pension-Calc &amp; hist'!$H$18+'[20]Pension-Calc &amp; hist'!$H$15</f>
        <v>18900000</v>
      </c>
      <c r="K35" s="348"/>
      <c r="L35" s="21"/>
      <c r="N35" s="1"/>
      <c r="O35" s="1"/>
    </row>
    <row r="36" spans="1:15" x14ac:dyDescent="0.25">
      <c r="A36" s="5">
        <f>+A34+1</f>
        <v>10</v>
      </c>
      <c r="B36" s="3" t="s">
        <v>685</v>
      </c>
      <c r="C36" s="8">
        <f>+C33-C34</f>
        <v>4035435.205989778</v>
      </c>
      <c r="D36" s="77"/>
      <c r="H36" s="284" t="s">
        <v>515</v>
      </c>
      <c r="I36" s="21"/>
      <c r="J36" s="344">
        <f>'[20]Pension-Calc &amp; hist'!$H$15</f>
        <v>7000000</v>
      </c>
      <c r="K36" s="348"/>
      <c r="L36" s="21"/>
    </row>
    <row r="37" spans="1:15" x14ac:dyDescent="0.25">
      <c r="D37" s="77"/>
      <c r="H37" s="284" t="s">
        <v>271</v>
      </c>
      <c r="I37" s="21"/>
      <c r="J37" s="343">
        <f>+'KTW-5 p3 - Payroll 1'!C21</f>
        <v>0.6013060692448543</v>
      </c>
      <c r="K37" s="21"/>
      <c r="L37" s="21"/>
    </row>
    <row r="38" spans="1:15" x14ac:dyDescent="0.25">
      <c r="A38" s="5">
        <f>+A36+1</f>
        <v>11</v>
      </c>
      <c r="B38" s="3" t="s">
        <v>252</v>
      </c>
      <c r="C38" s="60">
        <v>7.6499999999999999E-2</v>
      </c>
      <c r="D38" s="77"/>
      <c r="H38" s="284" t="s">
        <v>516</v>
      </c>
      <c r="I38" s="21"/>
      <c r="J38" s="344">
        <f>J36*J37</f>
        <v>4209142.48471398</v>
      </c>
    </row>
    <row r="39" spans="1:15" x14ac:dyDescent="0.25">
      <c r="C39" s="29"/>
      <c r="D39" s="77"/>
      <c r="H39" s="284" t="s">
        <v>517</v>
      </c>
      <c r="I39" s="21"/>
      <c r="J39" s="344">
        <f>J35-J36</f>
        <v>11900000</v>
      </c>
    </row>
    <row r="40" spans="1:15" ht="15.75" thickBot="1" x14ac:dyDescent="0.3">
      <c r="A40" s="5">
        <f>+A38+1</f>
        <v>12</v>
      </c>
      <c r="B40" s="3" t="s">
        <v>686</v>
      </c>
      <c r="C40" s="62">
        <f>+C36*C38</f>
        <v>308710.79325821804</v>
      </c>
      <c r="D40" s="272">
        <f>D15</f>
        <v>0.100274</v>
      </c>
      <c r="E40" s="285">
        <f>+C40*D40</f>
        <v>30955.666083174558</v>
      </c>
      <c r="H40" s="284" t="s">
        <v>518</v>
      </c>
      <c r="I40" s="21"/>
      <c r="J40" s="345">
        <f>J38+J39</f>
        <v>16109142.484713979</v>
      </c>
    </row>
    <row r="41" spans="1:15" ht="15.75" thickTop="1" x14ac:dyDescent="0.25">
      <c r="D41" s="77"/>
      <c r="H41" s="284" t="s">
        <v>520</v>
      </c>
      <c r="I41" s="21"/>
      <c r="J41" s="346">
        <f>+'KTW-3 p4 - Factors'!D18</f>
        <v>0.100274</v>
      </c>
    </row>
    <row r="42" spans="1:15" ht="15.75" thickBot="1" x14ac:dyDescent="0.3">
      <c r="H42" s="286" t="s">
        <v>519</v>
      </c>
      <c r="I42" s="180"/>
      <c r="J42" s="347">
        <f>J40*J41</f>
        <v>1615328.1535122097</v>
      </c>
    </row>
    <row r="43" spans="1:15" x14ac:dyDescent="0.2">
      <c r="A43" s="3" t="s">
        <v>255</v>
      </c>
    </row>
    <row r="44" spans="1:15" x14ac:dyDescent="0.2">
      <c r="A44" s="8"/>
      <c r="B44" s="8"/>
    </row>
  </sheetData>
  <customSheetViews>
    <customSheetView guid="{A7BD13BF-7E57-44D7-9B02-43E2FA430390}" scale="90" showPageBreaks="1" fitToPage="1" printArea="1" topLeftCell="A13">
      <selection activeCell="C46" sqref="C46"/>
      <pageMargins left="0.5" right="0.5" top="0.5" bottom="0.5" header="0.25" footer="0.25"/>
      <printOptions horizontalCentered="1"/>
      <pageSetup scale="84" orientation="landscape" r:id="rId1"/>
      <headerFooter alignWithMargins="0"/>
    </customSheetView>
    <customSheetView guid="{C29552AC-6B79-447F-B962-713ED43BDF1A}" showPageBreaks="1" showGridLines="0" fitToPage="1" printArea="1">
      <selection activeCell="K23" sqref="K23"/>
      <pageMargins left="0.5" right="0.5" top="0.5" bottom="0.5" header="0.25" footer="0.25"/>
      <printOptions horizontalCentered="1"/>
      <pageSetup scale="85" orientation="landscape" r:id="rId2"/>
      <headerFooter alignWithMargins="0"/>
    </customSheetView>
    <customSheetView guid="{6ED201AA-AB2E-4FE7-B06B-B07932512C4D}" showPageBreaks="1" showGridLines="0" fitToPage="1" printArea="1" topLeftCell="A10">
      <selection activeCell="K23" sqref="K23"/>
      <pageMargins left="0.5" right="0.5" top="0.5" bottom="0.5" header="0.25" footer="0.25"/>
      <printOptions horizontalCentered="1"/>
      <pageSetup scale="84" orientation="landscape" r:id="rId3"/>
      <headerFooter alignWithMargins="0"/>
    </customSheetView>
    <customSheetView guid="{D711E10B-9441-4991-A2CB-ED400E35790D}" scale="90" fitToPage="1" topLeftCell="A4">
      <selection activeCell="N16" sqref="N16"/>
      <pageMargins left="0.5" right="0.5" top="0.5" bottom="0.5" header="0.25" footer="0.25"/>
      <printOptions horizontalCentered="1"/>
      <pageSetup scale="84" orientation="landscape" r:id="rId4"/>
      <headerFooter alignWithMargins="0"/>
    </customSheetView>
  </customSheetViews>
  <mergeCells count="1">
    <mergeCell ref="J3:L3"/>
  </mergeCells>
  <phoneticPr fontId="5" type="noConversion"/>
  <printOptions horizontalCentered="1"/>
  <pageMargins left="0.5" right="0.5" top="0.5" bottom="0.5" header="0.25" footer="0.25"/>
  <pageSetup scale="89" orientation="landscape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tabColor theme="9" tint="0.59999389629810485"/>
    <pageSetUpPr fitToPage="1"/>
  </sheetPr>
  <dimension ref="A1:E13"/>
  <sheetViews>
    <sheetView workbookViewId="0">
      <selection activeCell="C26" sqref="C26"/>
    </sheetView>
  </sheetViews>
  <sheetFormatPr defaultColWidth="9.140625" defaultRowHeight="15" x14ac:dyDescent="0.2"/>
  <cols>
    <col min="1" max="1" width="5.7109375" style="8" customWidth="1"/>
    <col min="2" max="2" width="50.7109375" style="8" customWidth="1"/>
    <col min="3" max="3" width="15.7109375" style="8" customWidth="1"/>
    <col min="4" max="4" width="9.140625" style="8"/>
    <col min="5" max="5" width="23.85546875" style="8" bestFit="1" customWidth="1"/>
    <col min="6" max="16384" width="9.140625" style="8"/>
  </cols>
  <sheetData>
    <row r="1" spans="1:5" x14ac:dyDescent="0.2">
      <c r="A1" s="1" t="str">
        <f>'KTW-4 p7 - Uncollectible'!A1</f>
        <v>NW Natural</v>
      </c>
      <c r="B1" s="1"/>
      <c r="C1" s="499" t="s">
        <v>751</v>
      </c>
    </row>
    <row r="2" spans="1:5" x14ac:dyDescent="0.2">
      <c r="A2" s="1" t="str">
        <f>'KTW-4 p7 - Uncollectible'!A2</f>
        <v>Test Year Based on Twelve Months Ended September 30, 2020</v>
      </c>
      <c r="B2" s="1"/>
      <c r="C2" s="499" t="s">
        <v>772</v>
      </c>
    </row>
    <row r="3" spans="1:5" x14ac:dyDescent="0.2">
      <c r="A3" s="169" t="s">
        <v>609</v>
      </c>
      <c r="B3" s="1"/>
      <c r="C3" s="1"/>
    </row>
    <row r="4" spans="1:5" x14ac:dyDescent="0.2">
      <c r="A4" s="1"/>
      <c r="B4" s="1"/>
      <c r="C4" s="1"/>
    </row>
    <row r="5" spans="1:5" x14ac:dyDescent="0.2">
      <c r="A5" s="1"/>
      <c r="B5" s="1"/>
      <c r="C5" s="1"/>
    </row>
    <row r="6" spans="1:5" x14ac:dyDescent="0.2">
      <c r="A6" s="5" t="s">
        <v>15</v>
      </c>
      <c r="B6" s="1"/>
      <c r="C6" s="1"/>
    </row>
    <row r="7" spans="1:5" x14ac:dyDescent="0.2">
      <c r="A7" s="7" t="s">
        <v>31</v>
      </c>
      <c r="B7" s="1"/>
      <c r="C7" s="7" t="s">
        <v>454</v>
      </c>
      <c r="E7" s="451" t="s">
        <v>707</v>
      </c>
    </row>
    <row r="8" spans="1:5" x14ac:dyDescent="0.2">
      <c r="A8" s="5"/>
      <c r="B8" s="1"/>
      <c r="C8" s="5" t="s">
        <v>55</v>
      </c>
    </row>
    <row r="9" spans="1:5" x14ac:dyDescent="0.2">
      <c r="A9" s="5"/>
      <c r="B9" s="1"/>
    </row>
    <row r="10" spans="1:5" ht="15.75" thickBot="1" x14ac:dyDescent="0.25">
      <c r="A10" s="5">
        <v>1</v>
      </c>
      <c r="B10" s="1" t="s">
        <v>676</v>
      </c>
      <c r="C10" s="505">
        <v>307157</v>
      </c>
      <c r="E10" s="330" t="s">
        <v>803</v>
      </c>
    </row>
    <row r="11" spans="1:5" ht="15.75" thickTop="1" x14ac:dyDescent="0.2">
      <c r="C11" s="259"/>
    </row>
    <row r="12" spans="1:5" x14ac:dyDescent="0.2">
      <c r="A12" s="5"/>
      <c r="B12" s="1"/>
      <c r="C12" s="280"/>
    </row>
    <row r="13" spans="1:5" x14ac:dyDescent="0.2">
      <c r="A13" s="3"/>
    </row>
  </sheetData>
  <customSheetViews>
    <customSheetView guid="{A7BD13BF-7E57-44D7-9B02-43E2FA430390}" showPageBreaks="1" fitToPage="1" printArea="1">
      <selection activeCell="C17" sqref="C17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showPageBreaks="1" fitToPage="1" printArea="1">
      <selection activeCell="E16" sqref="E16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showPageBreaks="1" fitToPage="1" printArea="1">
      <selection activeCell="I16" sqref="I16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>
      <selection activeCell="C17" sqref="C17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phoneticPr fontId="5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>
    <tabColor theme="9" tint="0.59999389629810485"/>
    <pageSetUpPr fitToPage="1"/>
  </sheetPr>
  <dimension ref="A1:G17"/>
  <sheetViews>
    <sheetView showGridLines="0" workbookViewId="0">
      <selection activeCell="D24" sqref="D24"/>
    </sheetView>
  </sheetViews>
  <sheetFormatPr defaultColWidth="9.140625" defaultRowHeight="15" outlineLevelCol="1" x14ac:dyDescent="0.2"/>
  <cols>
    <col min="1" max="1" width="5.7109375" style="37" customWidth="1"/>
    <col min="2" max="2" width="50.7109375" style="37" customWidth="1"/>
    <col min="3" max="3" width="15.7109375" style="37" customWidth="1"/>
    <col min="4" max="4" width="6.7109375" style="37" customWidth="1" outlineLevel="1"/>
    <col min="5" max="5" width="11.85546875" style="37" bestFit="1" customWidth="1" outlineLevel="1"/>
    <col min="6" max="6" width="4.28515625" style="37" customWidth="1"/>
    <col min="7" max="7" width="40.42578125" style="37" bestFit="1" customWidth="1"/>
    <col min="8" max="16384" width="9.140625" style="37"/>
  </cols>
  <sheetData>
    <row r="1" spans="1:7" x14ac:dyDescent="0.2">
      <c r="A1" s="36" t="str">
        <f>'KTW-4 p7 - Uncollectible'!A1</f>
        <v>NW Natural</v>
      </c>
      <c r="B1" s="36"/>
      <c r="C1" s="499" t="s">
        <v>751</v>
      </c>
      <c r="D1" s="195"/>
      <c r="E1" s="39" t="s">
        <v>768</v>
      </c>
    </row>
    <row r="2" spans="1:7" x14ac:dyDescent="0.2">
      <c r="A2" s="36" t="str">
        <f>'KTW-4 p7 - Uncollectible'!A2</f>
        <v>Test Year Based on Twelve Months Ended September 30, 2020</v>
      </c>
      <c r="B2" s="36"/>
      <c r="C2" s="499" t="s">
        <v>753</v>
      </c>
      <c r="D2" s="36"/>
      <c r="E2" s="39" t="s">
        <v>770</v>
      </c>
    </row>
    <row r="3" spans="1:7" x14ac:dyDescent="0.2">
      <c r="A3" s="42" t="s">
        <v>531</v>
      </c>
      <c r="B3" s="36"/>
      <c r="C3" s="36"/>
      <c r="D3" s="36"/>
    </row>
    <row r="4" spans="1:7" x14ac:dyDescent="0.2">
      <c r="A4" s="423"/>
      <c r="B4" s="36"/>
      <c r="C4" s="36"/>
      <c r="D4" s="36"/>
    </row>
    <row r="5" spans="1:7" x14ac:dyDescent="0.2">
      <c r="A5" s="36"/>
      <c r="B5" s="36"/>
      <c r="C5" s="36"/>
      <c r="D5" s="36"/>
    </row>
    <row r="6" spans="1:7" x14ac:dyDescent="0.2">
      <c r="A6" s="39" t="s">
        <v>15</v>
      </c>
      <c r="B6" s="36"/>
      <c r="C6" s="39" t="s">
        <v>625</v>
      </c>
      <c r="D6" s="36"/>
      <c r="E6" s="39" t="s">
        <v>624</v>
      </c>
    </row>
    <row r="7" spans="1:7" x14ac:dyDescent="0.2">
      <c r="A7" s="41" t="s">
        <v>31</v>
      </c>
      <c r="B7" s="36"/>
      <c r="C7" s="41" t="s">
        <v>50</v>
      </c>
      <c r="D7" s="111"/>
      <c r="E7" s="41" t="s">
        <v>50</v>
      </c>
      <c r="G7" s="329"/>
    </row>
    <row r="8" spans="1:7" x14ac:dyDescent="0.2">
      <c r="A8" s="39"/>
      <c r="B8" s="36"/>
      <c r="C8" s="39" t="s">
        <v>55</v>
      </c>
      <c r="D8" s="39"/>
      <c r="E8" s="39"/>
    </row>
    <row r="9" spans="1:7" x14ac:dyDescent="0.2">
      <c r="A9" s="39"/>
      <c r="B9" s="36"/>
    </row>
    <row r="10" spans="1:7" x14ac:dyDescent="0.2">
      <c r="A10" s="39">
        <v>1</v>
      </c>
      <c r="B10" s="36" t="s">
        <v>785</v>
      </c>
      <c r="C10" s="516">
        <f>[21]Summary!$FK$49</f>
        <v>21735765.834850535</v>
      </c>
      <c r="D10" s="516"/>
      <c r="E10" s="516">
        <f>[21]Summary!$FK$50</f>
        <v>21420708.367492773</v>
      </c>
    </row>
    <row r="11" spans="1:7" x14ac:dyDescent="0.2">
      <c r="A11" s="39"/>
      <c r="B11" s="36"/>
      <c r="C11" s="516"/>
      <c r="D11" s="516"/>
      <c r="E11" s="516"/>
    </row>
    <row r="12" spans="1:7" x14ac:dyDescent="0.2">
      <c r="A12" s="39">
        <v>2</v>
      </c>
      <c r="B12" s="36" t="s">
        <v>667</v>
      </c>
      <c r="C12" s="516">
        <v>0</v>
      </c>
      <c r="D12" s="516"/>
      <c r="E12" s="516">
        <f>3989000*'KTW-3 p4 - Factors'!D8</f>
        <v>459931.69999999984</v>
      </c>
    </row>
    <row r="13" spans="1:7" x14ac:dyDescent="0.2">
      <c r="A13" s="39"/>
      <c r="B13" s="36"/>
      <c r="C13" s="516"/>
      <c r="D13" s="516"/>
      <c r="E13" s="516"/>
    </row>
    <row r="14" spans="1:7" x14ac:dyDescent="0.2">
      <c r="A14" s="39">
        <v>3</v>
      </c>
      <c r="B14" s="36" t="s">
        <v>786</v>
      </c>
      <c r="C14" s="516">
        <f>[21]Summary!$FG$49</f>
        <v>906066.07278298936</v>
      </c>
      <c r="D14" s="516"/>
      <c r="E14" s="517">
        <f>[21]Summary!$FG$50-[22]Sheet1!$I$18</f>
        <v>816145.51874545321</v>
      </c>
    </row>
    <row r="15" spans="1:7" x14ac:dyDescent="0.2">
      <c r="C15" s="409"/>
      <c r="D15" s="409"/>
      <c r="E15" s="409"/>
      <c r="F15" s="409"/>
    </row>
    <row r="16" spans="1:7" x14ac:dyDescent="0.2">
      <c r="B16" s="523" t="s">
        <v>787</v>
      </c>
      <c r="C16" s="409"/>
      <c r="D16" s="409"/>
      <c r="E16" s="409"/>
    </row>
    <row r="17" spans="3:5" x14ac:dyDescent="0.2">
      <c r="C17" s="409"/>
      <c r="D17" s="409"/>
      <c r="E17" s="409"/>
    </row>
  </sheetData>
  <customSheetViews>
    <customSheetView guid="{A7BD13BF-7E57-44D7-9B02-43E2FA430390}" showGridLines="0" fitToPage="1">
      <selection activeCell="E20" sqref="E20"/>
      <pageMargins left="0.7" right="0.7" top="0.75" bottom="0.75" header="0.3" footer="0.3"/>
      <printOptions horizontalCentered="1"/>
      <pageSetup orientation="landscape" r:id="rId1"/>
    </customSheetView>
    <customSheetView guid="{C29552AC-6B79-447F-B962-713ED43BDF1A}" fitToPage="1">
      <selection activeCell="G19" sqref="G19"/>
      <pageMargins left="0.7" right="0.7" top="0.75" bottom="0.75" header="0.3" footer="0.3"/>
      <printOptions horizontalCentered="1"/>
      <pageSetup orientation="landscape" r:id="rId2"/>
    </customSheetView>
    <customSheetView guid="{6ED201AA-AB2E-4FE7-B06B-B07932512C4D}" fitToPage="1">
      <selection activeCell="G19" sqref="G19"/>
      <pageMargins left="0.7" right="0.7" top="0.75" bottom="0.75" header="0.3" footer="0.3"/>
      <printOptions horizontalCentered="1"/>
      <pageSetup orientation="landscape" r:id="rId3"/>
    </customSheetView>
    <customSheetView guid="{D711E10B-9441-4991-A2CB-ED400E35790D}" showGridLines="0" fitToPage="1">
      <selection activeCell="C10" sqref="C10"/>
      <pageMargins left="0.7" right="0.7" top="0.75" bottom="0.75" header="0.3" footer="0.3"/>
      <printOptions horizontalCentered="1"/>
      <pageSetup orientation="landscape" r:id="rId4"/>
    </customSheetView>
  </customSheetViews>
  <printOptions horizontalCentered="1"/>
  <pageMargins left="0.7" right="0.7" top="0.75" bottom="0.75" header="0.3" footer="0.3"/>
  <pageSetup orientation="landscape" r:id="rId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tabColor theme="9" tint="0.59999389629810485"/>
    <pageSetUpPr fitToPage="1"/>
  </sheetPr>
  <dimension ref="A1:D16"/>
  <sheetViews>
    <sheetView workbookViewId="0">
      <selection activeCell="G13" sqref="G13"/>
    </sheetView>
  </sheetViews>
  <sheetFormatPr defaultColWidth="9.140625" defaultRowHeight="15" x14ac:dyDescent="0.2"/>
  <cols>
    <col min="1" max="1" width="5.7109375" style="8" customWidth="1"/>
    <col min="2" max="2" width="65.85546875" style="8" customWidth="1"/>
    <col min="3" max="3" width="15.7109375" style="8" customWidth="1"/>
    <col min="4" max="16384" width="9.140625" style="8"/>
  </cols>
  <sheetData>
    <row r="1" spans="1:4" x14ac:dyDescent="0.2">
      <c r="A1" s="1" t="str">
        <f>'KTW-4 p7 - Uncollectible'!A1</f>
        <v>NW Natural</v>
      </c>
      <c r="B1" s="1"/>
      <c r="C1" s="185" t="s">
        <v>751</v>
      </c>
    </row>
    <row r="2" spans="1:4" x14ac:dyDescent="0.2">
      <c r="A2" s="169" t="s">
        <v>739</v>
      </c>
      <c r="B2" s="1"/>
      <c r="C2" s="5" t="s">
        <v>755</v>
      </c>
    </row>
    <row r="3" spans="1:4" x14ac:dyDescent="0.2">
      <c r="A3" s="357"/>
      <c r="B3" s="1"/>
      <c r="C3" s="1"/>
    </row>
    <row r="4" spans="1:4" x14ac:dyDescent="0.2">
      <c r="B4" s="1"/>
      <c r="C4" s="1"/>
    </row>
    <row r="5" spans="1:4" x14ac:dyDescent="0.2">
      <c r="A5" s="5" t="s">
        <v>15</v>
      </c>
      <c r="B5" s="1"/>
      <c r="C5" s="1"/>
    </row>
    <row r="6" spans="1:4" x14ac:dyDescent="0.2">
      <c r="A6" s="7" t="s">
        <v>31</v>
      </c>
      <c r="B6" s="1"/>
      <c r="C6" s="7" t="s">
        <v>454</v>
      </c>
    </row>
    <row r="7" spans="1:4" x14ac:dyDescent="0.2">
      <c r="A7" s="5"/>
      <c r="B7" s="1"/>
      <c r="C7" s="5" t="s">
        <v>55</v>
      </c>
    </row>
    <row r="8" spans="1:4" x14ac:dyDescent="0.2">
      <c r="A8" s="5"/>
      <c r="B8" s="1"/>
    </row>
    <row r="9" spans="1:4" x14ac:dyDescent="0.2">
      <c r="A9" s="5">
        <v>1</v>
      </c>
      <c r="B9" s="1" t="s">
        <v>756</v>
      </c>
      <c r="C9" s="540">
        <f>'[23]EDIT Rate Base Adj'!$H$9</f>
        <v>375000</v>
      </c>
      <c r="D9" s="31"/>
    </row>
    <row r="10" spans="1:4" x14ac:dyDescent="0.2">
      <c r="C10" s="331"/>
      <c r="D10" s="31"/>
    </row>
    <row r="11" spans="1:4" x14ac:dyDescent="0.25">
      <c r="A11" s="5">
        <v>2</v>
      </c>
      <c r="B11" s="1" t="s">
        <v>687</v>
      </c>
      <c r="C11" s="539">
        <v>0</v>
      </c>
      <c r="D11" s="31"/>
    </row>
    <row r="12" spans="1:4" x14ac:dyDescent="0.2">
      <c r="A12" s="5"/>
      <c r="B12" s="1"/>
      <c r="C12" s="504"/>
      <c r="D12" s="31"/>
    </row>
    <row r="13" spans="1:4" ht="15.75" thickBot="1" x14ac:dyDescent="0.25">
      <c r="A13" s="5">
        <v>3</v>
      </c>
      <c r="B13" s="1" t="s">
        <v>757</v>
      </c>
      <c r="C13" s="220">
        <f>+C9+C11</f>
        <v>375000</v>
      </c>
      <c r="D13" s="31"/>
    </row>
    <row r="14" spans="1:4" ht="15.75" thickTop="1" x14ac:dyDescent="0.2">
      <c r="C14" s="59"/>
    </row>
    <row r="15" spans="1:4" ht="15.75" thickBot="1" x14ac:dyDescent="0.25">
      <c r="A15" s="5">
        <v>4</v>
      </c>
      <c r="B15" s="1" t="s">
        <v>754</v>
      </c>
      <c r="C15" s="220">
        <f>'[23]EDIT Rate Base Adj'!$H$14</f>
        <v>562500</v>
      </c>
    </row>
    <row r="16" spans="1:4" ht="15.75" thickTop="1" x14ac:dyDescent="0.2"/>
  </sheetData>
  <customSheetViews>
    <customSheetView guid="{A7BD13BF-7E57-44D7-9B02-43E2FA430390}" fitToPage="1">
      <selection activeCell="F11" sqref="F11"/>
      <pageMargins left="0.7" right="0.7" top="0.75" bottom="0.75" header="0.3" footer="0.3"/>
      <printOptions horizontalCentered="1"/>
      <pageSetup orientation="landscape" r:id="rId1"/>
    </customSheetView>
    <customSheetView guid="{C29552AC-6B79-447F-B962-713ED43BDF1A}" fitToPage="1">
      <selection activeCell="I28" sqref="I28"/>
      <pageMargins left="0.7" right="0.7" top="0.75" bottom="0.75" header="0.3" footer="0.3"/>
      <printOptions horizontalCentered="1"/>
      <pageSetup orientation="landscape" r:id="rId2"/>
    </customSheetView>
    <customSheetView guid="{6ED201AA-AB2E-4FE7-B06B-B07932512C4D}" fitToPage="1">
      <selection activeCell="I28" sqref="I28"/>
      <pageMargins left="0.7" right="0.7" top="0.75" bottom="0.75" header="0.3" footer="0.3"/>
      <printOptions horizontalCentered="1"/>
      <pageSetup orientation="landscape" r:id="rId3"/>
    </customSheetView>
    <customSheetView guid="{D711E10B-9441-4991-A2CB-ED400E35790D}" fitToPage="1">
      <selection activeCell="C16" sqref="C16"/>
      <pageMargins left="0.7" right="0.7" top="0.75" bottom="0.75" header="0.3" footer="0.3"/>
      <printOptions horizontalCentered="1"/>
      <pageSetup orientation="landscape" r:id="rId4"/>
    </customSheetView>
  </customSheetViews>
  <printOptions horizontalCentered="1"/>
  <pageMargins left="0.7" right="0.7" top="0.75" bottom="0.75" header="0.3" footer="0.3"/>
  <pageSetup orientation="landscape" r:id="rId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0.59999389629810485"/>
    <pageSetUpPr fitToPage="1"/>
  </sheetPr>
  <dimension ref="A1:E31"/>
  <sheetViews>
    <sheetView workbookViewId="0">
      <selection activeCell="C11" sqref="C11"/>
    </sheetView>
  </sheetViews>
  <sheetFormatPr defaultColWidth="8.7109375" defaultRowHeight="12.75" x14ac:dyDescent="0.2"/>
  <cols>
    <col min="1" max="1" width="5.5703125" style="288" customWidth="1"/>
    <col min="2" max="2" width="50.5703125" style="288" customWidth="1"/>
    <col min="3" max="3" width="20.5703125" style="288" bestFit="1" customWidth="1"/>
    <col min="4" max="4" width="21.42578125" style="288" bestFit="1" customWidth="1"/>
    <col min="5" max="16384" width="8.7109375" style="288"/>
  </cols>
  <sheetData>
    <row r="1" spans="1:5" ht="14.45" customHeight="1" x14ac:dyDescent="0.2">
      <c r="A1" s="1" t="str">
        <f>'KTW-4 p7 - Uncollectible'!A1</f>
        <v>NW Natural</v>
      </c>
      <c r="B1" s="1"/>
      <c r="C1" s="185" t="s">
        <v>751</v>
      </c>
    </row>
    <row r="2" spans="1:5" ht="14.45" customHeight="1" x14ac:dyDescent="0.2">
      <c r="A2" s="1" t="str">
        <f>'KTW-4 p7 - Uncollectible'!A2</f>
        <v>Test Year Based on Twelve Months Ended September 30, 2020</v>
      </c>
      <c r="B2" s="1"/>
      <c r="C2" s="5" t="s">
        <v>760</v>
      </c>
    </row>
    <row r="3" spans="1:5" ht="14.45" customHeight="1" x14ac:dyDescent="0.2">
      <c r="A3" s="169" t="s">
        <v>759</v>
      </c>
      <c r="B3" s="1"/>
      <c r="C3" s="1"/>
    </row>
    <row r="4" spans="1:5" ht="14.45" customHeight="1" x14ac:dyDescent="0.2">
      <c r="A4" s="373"/>
      <c r="B4" s="1"/>
      <c r="C4" s="1"/>
    </row>
    <row r="5" spans="1:5" ht="14.45" customHeight="1" x14ac:dyDescent="0.2">
      <c r="A5" s="1"/>
      <c r="B5" s="1"/>
      <c r="C5" s="1"/>
    </row>
    <row r="6" spans="1:5" ht="14.45" customHeight="1" x14ac:dyDescent="0.2">
      <c r="A6" s="5" t="s">
        <v>15</v>
      </c>
      <c r="B6" s="1"/>
      <c r="C6" s="1"/>
    </row>
    <row r="7" spans="1:5" ht="14.45" customHeight="1" x14ac:dyDescent="0.2">
      <c r="A7" s="7" t="s">
        <v>31</v>
      </c>
      <c r="B7" s="1"/>
      <c r="C7" s="7" t="s">
        <v>268</v>
      </c>
      <c r="D7" s="289"/>
    </row>
    <row r="8" spans="1:5" ht="14.45" customHeight="1" x14ac:dyDescent="0.2">
      <c r="A8" s="5"/>
      <c r="B8" s="1"/>
      <c r="C8" s="5" t="s">
        <v>55</v>
      </c>
      <c r="E8" s="290"/>
    </row>
    <row r="9" spans="1:5" ht="14.45" customHeight="1" x14ac:dyDescent="0.2">
      <c r="A9" s="5"/>
      <c r="B9" s="1"/>
      <c r="C9" s="8"/>
      <c r="E9" s="290"/>
    </row>
    <row r="10" spans="1:5" ht="14.45" customHeight="1" x14ac:dyDescent="0.2">
      <c r="A10" s="5"/>
      <c r="B10" s="1"/>
      <c r="C10" s="8"/>
      <c r="E10" s="290"/>
    </row>
    <row r="11" spans="1:5" ht="14.45" customHeight="1" x14ac:dyDescent="0.25">
      <c r="A11" s="5">
        <v>1</v>
      </c>
      <c r="B11" s="1" t="s">
        <v>696</v>
      </c>
      <c r="C11" s="415">
        <f>'WP - Other Rev &amp; Tax'!E41</f>
        <v>10935860.024140656</v>
      </c>
      <c r="E11" s="290"/>
    </row>
    <row r="12" spans="1:5" ht="14.45" customHeight="1" x14ac:dyDescent="0.2">
      <c r="C12" s="413"/>
      <c r="E12" s="290"/>
    </row>
    <row r="13" spans="1:5" ht="14.45" customHeight="1" x14ac:dyDescent="0.25">
      <c r="A13" s="5">
        <f>+A11+1</f>
        <v>2</v>
      </c>
      <c r="B13" s="1" t="s">
        <v>706</v>
      </c>
      <c r="C13" s="415">
        <f>'[24]Dep Exp_Sep20'!$I$158</f>
        <v>11565494.892581793</v>
      </c>
      <c r="E13" s="290"/>
    </row>
    <row r="14" spans="1:5" ht="14.45" customHeight="1" x14ac:dyDescent="0.2">
      <c r="A14" s="8"/>
      <c r="B14" s="289"/>
      <c r="C14" s="413"/>
      <c r="E14" s="290"/>
    </row>
    <row r="15" spans="1:5" ht="14.45" customHeight="1" thickBot="1" x14ac:dyDescent="0.3">
      <c r="A15" s="5">
        <v>3</v>
      </c>
      <c r="B15" s="1" t="s">
        <v>26</v>
      </c>
      <c r="C15" s="414">
        <f>C13-C11</f>
        <v>629634.86844113655</v>
      </c>
      <c r="E15" s="290"/>
    </row>
    <row r="16" spans="1:5" ht="14.45" customHeight="1" thickTop="1" x14ac:dyDescent="0.2">
      <c r="E16" s="290"/>
    </row>
    <row r="17" spans="2:5" ht="14.45" customHeight="1" x14ac:dyDescent="0.2">
      <c r="B17" s="288" t="s">
        <v>702</v>
      </c>
      <c r="E17" s="290"/>
    </row>
    <row r="18" spans="2:5" ht="14.45" customHeight="1" x14ac:dyDescent="0.2">
      <c r="E18" s="290"/>
    </row>
    <row r="19" spans="2:5" ht="14.45" customHeight="1" x14ac:dyDescent="0.2">
      <c r="E19" s="290"/>
    </row>
    <row r="20" spans="2:5" ht="14.45" customHeight="1" x14ac:dyDescent="0.2">
      <c r="E20" s="290"/>
    </row>
    <row r="21" spans="2:5" ht="14.45" customHeight="1" x14ac:dyDescent="0.2">
      <c r="E21" s="290"/>
    </row>
    <row r="22" spans="2:5" ht="14.45" customHeight="1" x14ac:dyDescent="0.2">
      <c r="E22" s="290"/>
    </row>
    <row r="23" spans="2:5" ht="14.45" customHeight="1" x14ac:dyDescent="0.2">
      <c r="E23" s="290"/>
    </row>
    <row r="24" spans="2:5" ht="14.45" customHeight="1" x14ac:dyDescent="0.2">
      <c r="E24" s="290"/>
    </row>
    <row r="25" spans="2:5" x14ac:dyDescent="0.2">
      <c r="E25" s="290"/>
    </row>
    <row r="26" spans="2:5" x14ac:dyDescent="0.2">
      <c r="E26" s="290"/>
    </row>
    <row r="27" spans="2:5" x14ac:dyDescent="0.2">
      <c r="E27" s="290"/>
    </row>
    <row r="28" spans="2:5" x14ac:dyDescent="0.2">
      <c r="E28" s="290"/>
    </row>
    <row r="29" spans="2:5" x14ac:dyDescent="0.2">
      <c r="E29" s="290"/>
    </row>
    <row r="30" spans="2:5" x14ac:dyDescent="0.2">
      <c r="E30" s="290"/>
    </row>
    <row r="31" spans="2:5" x14ac:dyDescent="0.2">
      <c r="E31" s="290"/>
    </row>
  </sheetData>
  <customSheetViews>
    <customSheetView guid="{A7BD13BF-7E57-44D7-9B02-43E2FA430390}" showPageBreaks="1" fitToPage="1" printArea="1">
      <selection activeCell="C13" sqref="C13"/>
      <pageMargins left="0.7" right="0.7" top="0.75" bottom="0.75" header="0.3" footer="0.3"/>
      <printOptions horizontalCentered="1"/>
      <pageSetup orientation="landscape" r:id="rId1"/>
    </customSheetView>
    <customSheetView guid="{C29552AC-6B79-447F-B962-713ED43BDF1A}" showPageBreaks="1" fitToPage="1" printArea="1">
      <selection activeCell="D15" sqref="D15"/>
      <pageMargins left="0.7" right="0.7" top="0.75" bottom="0.75" header="0.3" footer="0.3"/>
      <printOptions horizontalCentered="1"/>
      <pageSetup orientation="landscape" r:id="rId2"/>
    </customSheetView>
    <customSheetView guid="{6ED201AA-AB2E-4FE7-B06B-B07932512C4D}" showPageBreaks="1" fitToPage="1" printArea="1">
      <selection activeCell="D31" sqref="D31"/>
      <pageMargins left="0.7" right="0.7" top="0.75" bottom="0.75" header="0.3" footer="0.3"/>
      <printOptions horizontalCentered="1"/>
      <pageSetup orientation="landscape" r:id="rId3"/>
    </customSheetView>
    <customSheetView guid="{D711E10B-9441-4991-A2CB-ED400E35790D}" fitToPage="1">
      <selection activeCell="C11" sqref="C11"/>
      <pageMargins left="0.7" right="0.7" top="0.75" bottom="0.75" header="0.3" footer="0.3"/>
      <printOptions horizontalCentered="1"/>
      <pageSetup orientation="landscape" r:id="rId4"/>
    </customSheetView>
  </customSheetViews>
  <printOptions horizontalCentered="1"/>
  <pageMargins left="0.7" right="0.7" top="0.75" bottom="0.75" header="0.3" footer="0.3"/>
  <pageSetup orientation="landscape" r:id="rId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6B95A-C204-4A7C-A624-9A00DBCC1C89}">
  <sheetPr>
    <tabColor theme="9" tint="0.59999389629810485"/>
  </sheetPr>
  <dimension ref="A1:H16"/>
  <sheetViews>
    <sheetView workbookViewId="0">
      <selection activeCell="I10" sqref="I10"/>
    </sheetView>
  </sheetViews>
  <sheetFormatPr defaultColWidth="9.140625" defaultRowHeight="12.75" x14ac:dyDescent="0.2"/>
  <cols>
    <col min="1" max="1" width="8.42578125" style="84" customWidth="1"/>
    <col min="2" max="2" width="33.28515625" style="84" customWidth="1"/>
    <col min="3" max="8" width="16.5703125" style="84" customWidth="1"/>
    <col min="9" max="16384" width="9.140625" style="84"/>
  </cols>
  <sheetData>
    <row r="1" spans="1:8" ht="15" x14ac:dyDescent="0.2">
      <c r="A1" s="1" t="str">
        <f>'KTW-4 p7 - Uncollectible'!A1</f>
        <v>NW Natural</v>
      </c>
      <c r="H1" s="510" t="s">
        <v>751</v>
      </c>
    </row>
    <row r="2" spans="1:8" ht="15" x14ac:dyDescent="0.2">
      <c r="A2" s="1" t="str">
        <f>'KTW-4 p7 - Uncollectible'!A2</f>
        <v>Test Year Based on Twelve Months Ended September 30, 2020</v>
      </c>
      <c r="H2" s="510" t="s">
        <v>766</v>
      </c>
    </row>
    <row r="3" spans="1:8" ht="15" x14ac:dyDescent="0.2">
      <c r="A3" s="169" t="s">
        <v>758</v>
      </c>
    </row>
    <row r="6" spans="1:8" ht="15" x14ac:dyDescent="0.2">
      <c r="A6" s="5"/>
      <c r="B6" s="1"/>
      <c r="C6" s="1"/>
    </row>
    <row r="7" spans="1:8" ht="45" x14ac:dyDescent="0.2">
      <c r="A7" s="41" t="s">
        <v>767</v>
      </c>
      <c r="B7" s="76"/>
      <c r="C7" s="511" t="s">
        <v>764</v>
      </c>
      <c r="D7" s="511" t="s">
        <v>92</v>
      </c>
      <c r="E7" s="511" t="s">
        <v>202</v>
      </c>
      <c r="F7" s="511" t="s">
        <v>763</v>
      </c>
      <c r="G7" s="511" t="s">
        <v>120</v>
      </c>
      <c r="H7" s="511" t="s">
        <v>765</v>
      </c>
    </row>
    <row r="8" spans="1:8" ht="15" x14ac:dyDescent="0.2">
      <c r="A8" s="5"/>
      <c r="B8" s="1"/>
      <c r="C8" s="5" t="s">
        <v>55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65</v>
      </c>
    </row>
    <row r="9" spans="1:8" ht="15" x14ac:dyDescent="0.2">
      <c r="A9" s="5"/>
      <c r="B9" s="1"/>
      <c r="C9" s="77"/>
      <c r="D9" s="506"/>
      <c r="E9" s="506"/>
      <c r="F9" s="506"/>
      <c r="G9" s="506"/>
      <c r="H9" s="506"/>
    </row>
    <row r="10" spans="1:8" ht="15" x14ac:dyDescent="0.25">
      <c r="A10" s="5">
        <v>1</v>
      </c>
      <c r="B10" s="1" t="s">
        <v>761</v>
      </c>
      <c r="C10" s="524">
        <f>'KTW-3 p6 &amp; p7 - Rate Base'!Q63</f>
        <v>384133881.54414141</v>
      </c>
      <c r="D10" s="542">
        <f>'KTW-3 p6 &amp; p7 - Rate Base'!Q77</f>
        <v>-153345015.00180417</v>
      </c>
      <c r="E10" s="542">
        <f>'KTW-3 p6 &amp; p7 - Rate Base'!Q79</f>
        <v>2455282.1246682908</v>
      </c>
      <c r="F10" s="542">
        <f>'KTW-3 p6 &amp; p7 - Rate Base'!Q80</f>
        <v>-1031896.7383333333</v>
      </c>
      <c r="G10" s="542">
        <f>'KTW-3 p6 &amp; p7 - Rate Base'!Q81</f>
        <v>2910412.3297116677</v>
      </c>
      <c r="H10" s="542">
        <f>'KTW-3 p6 &amp; p7 - Rate Base'!Q84</f>
        <v>-40456105.317660041</v>
      </c>
    </row>
    <row r="11" spans="1:8" ht="15" x14ac:dyDescent="0.2">
      <c r="A11" s="288"/>
      <c r="B11" s="288"/>
      <c r="C11" s="507"/>
      <c r="D11" s="507"/>
      <c r="E11" s="507"/>
      <c r="F11" s="507"/>
      <c r="G11" s="507"/>
      <c r="H11" s="507"/>
    </row>
    <row r="12" spans="1:8" ht="15" x14ac:dyDescent="0.25">
      <c r="A12" s="5">
        <f>+A10+1</f>
        <v>2</v>
      </c>
      <c r="B12" s="1" t="s">
        <v>762</v>
      </c>
      <c r="C12" s="524">
        <f>'KTW-3 p6 &amp; p7 - Rate Base'!P63</f>
        <v>394072788.73395652</v>
      </c>
      <c r="D12" s="542">
        <f>'KTW-3 p6 &amp; p7 - Rate Base'!P77</f>
        <v>-157763368.31372365</v>
      </c>
      <c r="E12" s="542">
        <f>'KTW-3 p6 &amp; p7 - Rate Base'!P79</f>
        <v>2454136.6740519991</v>
      </c>
      <c r="F12" s="542">
        <f>'KTW-3 p6 &amp; p7 - Rate Base'!P80</f>
        <v>-1157048.2799999998</v>
      </c>
      <c r="G12" s="542">
        <f>'KTW-3 p6 &amp; p7 - Rate Base'!P81</f>
        <v>3293802.4125120007</v>
      </c>
      <c r="H12" s="542">
        <f>'KTW-3 p6 &amp; p7 - Rate Base'!P84</f>
        <v>-40720699.532133207</v>
      </c>
    </row>
    <row r="13" spans="1:8" ht="15" x14ac:dyDescent="0.2">
      <c r="A13" s="8"/>
      <c r="B13" s="289"/>
      <c r="C13" s="508"/>
      <c r="D13" s="77"/>
      <c r="E13" s="77"/>
      <c r="F13" s="77"/>
      <c r="G13" s="77"/>
      <c r="H13" s="77"/>
    </row>
    <row r="14" spans="1:8" ht="15.75" thickBot="1" x14ac:dyDescent="0.3">
      <c r="A14" s="5">
        <v>3</v>
      </c>
      <c r="B14" s="1" t="s">
        <v>26</v>
      </c>
      <c r="C14" s="509">
        <f>C12-C10</f>
        <v>9938907.189815104</v>
      </c>
      <c r="D14" s="509">
        <f t="shared" ref="D14:H14" si="0">D12-D10</f>
        <v>-4418353.3119194806</v>
      </c>
      <c r="E14" s="509">
        <f t="shared" si="0"/>
        <v>-1145.4506162917241</v>
      </c>
      <c r="F14" s="509">
        <f t="shared" si="0"/>
        <v>-125151.54166666651</v>
      </c>
      <c r="G14" s="509">
        <f t="shared" si="0"/>
        <v>383390.08280033292</v>
      </c>
      <c r="H14" s="509">
        <f t="shared" si="0"/>
        <v>-264594.21447316557</v>
      </c>
    </row>
    <row r="15" spans="1:8" ht="13.5" thickTop="1" x14ac:dyDescent="0.2">
      <c r="A15" s="288"/>
      <c r="B15" s="288"/>
      <c r="C15" s="288"/>
    </row>
    <row r="16" spans="1:8" x14ac:dyDescent="0.2">
      <c r="A16" s="288"/>
      <c r="B16" s="288"/>
      <c r="C16" s="28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theme="5" tint="0.59999389629810485"/>
    <pageSetUpPr fitToPage="1"/>
  </sheetPr>
  <dimension ref="A1:M111"/>
  <sheetViews>
    <sheetView zoomScaleNormal="90" workbookViewId="0">
      <selection activeCell="I103" sqref="I103"/>
    </sheetView>
  </sheetViews>
  <sheetFormatPr defaultColWidth="8.85546875" defaultRowHeight="15" x14ac:dyDescent="0.2"/>
  <cols>
    <col min="1" max="3" width="5.7109375" style="45" customWidth="1"/>
    <col min="4" max="4" width="50.5703125" style="45" bestFit="1" customWidth="1"/>
    <col min="5" max="7" width="14.7109375" style="21" customWidth="1"/>
    <col min="8" max="8" width="8.85546875" style="8"/>
    <col min="9" max="9" width="11.140625" style="21" bestFit="1" customWidth="1"/>
    <col min="10" max="10" width="8.85546875" style="21"/>
    <col min="11" max="11" width="10" style="21" bestFit="1" customWidth="1"/>
    <col min="12" max="12" width="8.85546875" style="21"/>
    <col min="13" max="13" width="11" style="21" bestFit="1" customWidth="1"/>
    <col min="14" max="16384" width="8.85546875" style="21"/>
  </cols>
  <sheetData>
    <row r="1" spans="1:13" x14ac:dyDescent="0.2">
      <c r="A1" s="36" t="s">
        <v>0</v>
      </c>
      <c r="B1" s="36"/>
      <c r="C1" s="36"/>
      <c r="D1" s="36"/>
      <c r="E1" s="37"/>
      <c r="F1" s="37"/>
      <c r="G1" s="5" t="s">
        <v>746</v>
      </c>
      <c r="H1" s="21"/>
    </row>
    <row r="2" spans="1:13" x14ac:dyDescent="0.2">
      <c r="A2" s="36" t="s">
        <v>328</v>
      </c>
      <c r="B2" s="36"/>
      <c r="C2" s="36"/>
      <c r="D2" s="36"/>
      <c r="E2" s="37"/>
      <c r="F2" s="37"/>
      <c r="G2" s="5" t="s">
        <v>256</v>
      </c>
      <c r="H2" s="21"/>
    </row>
    <row r="3" spans="1:13" x14ac:dyDescent="0.2">
      <c r="A3" s="36" t="str">
        <f>'KTW-3 p1 - Test Year Results'!A3</f>
        <v>Test Year Based on Twelve Months Ended September 30, 2020</v>
      </c>
      <c r="B3" s="36"/>
      <c r="C3" s="36"/>
      <c r="D3" s="36"/>
      <c r="E3" s="36"/>
      <c r="F3" s="37"/>
      <c r="G3" s="38"/>
      <c r="H3" s="21"/>
    </row>
    <row r="4" spans="1:13" x14ac:dyDescent="0.2">
      <c r="A4" s="36"/>
      <c r="B4" s="36"/>
      <c r="C4" s="36"/>
      <c r="D4" s="36"/>
      <c r="E4" s="39" t="s">
        <v>597</v>
      </c>
      <c r="F4" s="39" t="s">
        <v>597</v>
      </c>
      <c r="G4" s="39" t="s">
        <v>597</v>
      </c>
      <c r="H4" s="21"/>
      <c r="M4" s="40"/>
    </row>
    <row r="5" spans="1:13" x14ac:dyDescent="0.2">
      <c r="A5" s="36"/>
      <c r="B5" s="36"/>
      <c r="C5" s="36"/>
      <c r="D5" s="36"/>
      <c r="E5" s="41" t="s">
        <v>7</v>
      </c>
      <c r="F5" s="41" t="s">
        <v>8</v>
      </c>
      <c r="G5" s="41" t="s">
        <v>9</v>
      </c>
      <c r="H5" s="21"/>
      <c r="M5" s="40"/>
    </row>
    <row r="6" spans="1:13" x14ac:dyDescent="0.2">
      <c r="A6" s="36" t="s">
        <v>329</v>
      </c>
      <c r="B6" s="36"/>
      <c r="C6" s="36"/>
      <c r="D6" s="36"/>
      <c r="E6" s="37"/>
      <c r="F6" s="37"/>
      <c r="G6" s="37"/>
      <c r="H6" s="21"/>
      <c r="M6" s="40"/>
    </row>
    <row r="7" spans="1:13" x14ac:dyDescent="0.2">
      <c r="A7" s="36"/>
      <c r="B7" s="36" t="s">
        <v>330</v>
      </c>
      <c r="C7" s="36"/>
      <c r="D7" s="36"/>
      <c r="E7" s="37"/>
      <c r="F7" s="37"/>
      <c r="G7" s="37"/>
      <c r="H7" s="21"/>
      <c r="M7" s="40"/>
    </row>
    <row r="8" spans="1:13" x14ac:dyDescent="0.2">
      <c r="A8" s="36"/>
      <c r="B8" s="36"/>
      <c r="C8" s="36" t="s">
        <v>331</v>
      </c>
      <c r="D8" s="36"/>
      <c r="E8" s="37"/>
      <c r="F8" s="37"/>
      <c r="G8" s="37"/>
      <c r="H8" s="21"/>
      <c r="M8" s="40"/>
    </row>
    <row r="9" spans="1:13" x14ac:dyDescent="0.2">
      <c r="A9" s="36"/>
      <c r="B9" s="36"/>
      <c r="C9" s="36" t="s">
        <v>332</v>
      </c>
      <c r="D9" s="36" t="s">
        <v>333</v>
      </c>
      <c r="E9" s="44">
        <f>'[2]2020 Short Report'!$E10</f>
        <v>487247.19000000018</v>
      </c>
      <c r="F9" s="44">
        <f>'[2]2020 Short Report'!$G10</f>
        <v>52671.421239000018</v>
      </c>
      <c r="G9" s="44">
        <f>'[2]2020 Short Report'!$I10</f>
        <v>434575.76876100001</v>
      </c>
      <c r="H9" s="21"/>
      <c r="M9" s="40"/>
    </row>
    <row r="10" spans="1:13" x14ac:dyDescent="0.2">
      <c r="A10" s="36"/>
      <c r="B10" s="36"/>
      <c r="C10" s="36" t="s">
        <v>334</v>
      </c>
      <c r="D10" s="36" t="s">
        <v>335</v>
      </c>
      <c r="E10" s="44">
        <f>'[2]2020 Short Report'!$E11</f>
        <v>135730.73000000001</v>
      </c>
      <c r="F10" s="44">
        <f>'[2]2020 Short Report'!$G11</f>
        <v>14672.491912999998</v>
      </c>
      <c r="G10" s="44">
        <f>'[2]2020 Short Report'!$I11</f>
        <v>121058.23808700002</v>
      </c>
      <c r="H10" s="21"/>
      <c r="M10" s="40"/>
    </row>
    <row r="11" spans="1:13" x14ac:dyDescent="0.2">
      <c r="A11" s="36"/>
      <c r="B11" s="36"/>
      <c r="C11" s="36" t="s">
        <v>704</v>
      </c>
      <c r="D11" s="36" t="s">
        <v>596</v>
      </c>
      <c r="E11" s="44">
        <f>'[2]2020 Short Report'!$E12</f>
        <v>0.11999999999999998</v>
      </c>
      <c r="F11" s="44">
        <f>'[2]2020 Short Report'!$G12</f>
        <v>1.2971999999999996E-2</v>
      </c>
      <c r="G11" s="44">
        <f>'[2]2020 Short Report'!$I12</f>
        <v>0.10702799999999998</v>
      </c>
      <c r="H11" s="21"/>
      <c r="M11" s="40"/>
    </row>
    <row r="12" spans="1:13" x14ac:dyDescent="0.2">
      <c r="A12" s="36"/>
      <c r="B12" s="36"/>
      <c r="C12" s="36" t="s">
        <v>336</v>
      </c>
      <c r="D12" s="36" t="s">
        <v>337</v>
      </c>
      <c r="E12" s="44">
        <f>'[2]2020 Short Report'!$E13</f>
        <v>2445855.4599999986</v>
      </c>
      <c r="F12" s="44">
        <f>'[2]2020 Short Report'!$G13</f>
        <v>263110.15201599995</v>
      </c>
      <c r="G12" s="44">
        <f>'[2]2020 Short Report'!$I13</f>
        <v>2182745.3079840001</v>
      </c>
      <c r="H12" s="21"/>
      <c r="M12" s="40"/>
    </row>
    <row r="13" spans="1:13" x14ac:dyDescent="0.2">
      <c r="A13" s="36"/>
      <c r="B13" s="36"/>
      <c r="C13" s="36" t="s">
        <v>338</v>
      </c>
      <c r="D13" s="36" t="s">
        <v>339</v>
      </c>
      <c r="E13" s="44">
        <f>'[2]2020 Short Report'!$E14</f>
        <v>70362.8</v>
      </c>
      <c r="F13" s="44">
        <f>'[2]2020 Short Report'!$G14</f>
        <v>7606.218679999999</v>
      </c>
      <c r="G13" s="44">
        <f>'[2]2020 Short Report'!$I14</f>
        <v>62756.58131999999</v>
      </c>
      <c r="H13" s="21"/>
      <c r="M13" s="40"/>
    </row>
    <row r="14" spans="1:13" x14ac:dyDescent="0.2">
      <c r="A14" s="36"/>
      <c r="B14" s="36"/>
      <c r="C14" s="36"/>
      <c r="D14" s="36"/>
      <c r="E14" s="44"/>
      <c r="F14" s="44"/>
      <c r="G14" s="44"/>
      <c r="M14" s="40"/>
    </row>
    <row r="15" spans="1:13" x14ac:dyDescent="0.2">
      <c r="A15" s="36"/>
      <c r="B15" s="36"/>
      <c r="C15" s="36" t="s">
        <v>340</v>
      </c>
      <c r="D15" s="36"/>
      <c r="E15" s="44"/>
      <c r="F15" s="44"/>
      <c r="G15" s="44"/>
      <c r="H15" s="21"/>
      <c r="M15" s="40"/>
    </row>
    <row r="16" spans="1:13" x14ac:dyDescent="0.2">
      <c r="A16" s="36"/>
      <c r="B16" s="36"/>
      <c r="C16" s="36" t="s">
        <v>341</v>
      </c>
      <c r="D16" s="36" t="s">
        <v>333</v>
      </c>
      <c r="E16" s="44">
        <f>'[2]2020 Short Report'!$E17</f>
        <v>205582.29000000004</v>
      </c>
      <c r="F16" s="44">
        <f>'[2]2020 Short Report'!$G17</f>
        <v>22223.445549</v>
      </c>
      <c r="G16" s="44">
        <f>'[2]2020 Short Report'!$I17</f>
        <v>183358.84445100007</v>
      </c>
      <c r="H16" s="21"/>
      <c r="M16" s="40"/>
    </row>
    <row r="17" spans="1:13" x14ac:dyDescent="0.2">
      <c r="A17" s="36"/>
      <c r="B17" s="36"/>
      <c r="C17" s="42">
        <v>834</v>
      </c>
      <c r="D17" s="36" t="s">
        <v>526</v>
      </c>
      <c r="E17" s="122">
        <f>'[2]2020 Short Report'!$E18</f>
        <v>628917.24000000011</v>
      </c>
      <c r="F17" s="122">
        <f>'[2]2020 Short Report'!$G18</f>
        <v>67985.953643999994</v>
      </c>
      <c r="G17" s="122">
        <f>'[2]2020 Short Report'!$I18</f>
        <v>560931.28635600011</v>
      </c>
      <c r="H17" s="426"/>
      <c r="M17" s="40"/>
    </row>
    <row r="18" spans="1:13" x14ac:dyDescent="0.2">
      <c r="A18" s="36"/>
      <c r="B18" s="36"/>
      <c r="C18" s="36"/>
      <c r="D18" s="36" t="s">
        <v>342</v>
      </c>
      <c r="E18" s="43">
        <f>SUM(E9:E17)</f>
        <v>3973695.8299999987</v>
      </c>
      <c r="F18" s="43">
        <f t="shared" ref="F18:G18" si="0">SUM(F9:F17)</f>
        <v>428269.69601299998</v>
      </c>
      <c r="G18" s="43">
        <f t="shared" si="0"/>
        <v>3545426.1339870002</v>
      </c>
      <c r="M18" s="40"/>
    </row>
    <row r="19" spans="1:13" x14ac:dyDescent="0.2">
      <c r="A19" s="36"/>
      <c r="B19" s="36"/>
      <c r="C19" s="36"/>
      <c r="D19" s="36"/>
      <c r="E19" s="399"/>
      <c r="F19" s="399"/>
      <c r="G19" s="399"/>
      <c r="H19" s="21"/>
      <c r="M19" s="40"/>
    </row>
    <row r="20" spans="1:13" x14ac:dyDescent="0.2">
      <c r="A20" s="36"/>
      <c r="B20" s="36" t="s">
        <v>343</v>
      </c>
      <c r="C20" s="36"/>
      <c r="D20" s="36"/>
      <c r="E20" s="399"/>
      <c r="F20" s="399"/>
      <c r="G20" s="399"/>
      <c r="H20" s="21"/>
      <c r="M20" s="40"/>
    </row>
    <row r="21" spans="1:13" x14ac:dyDescent="0.2">
      <c r="A21" s="36"/>
      <c r="B21" s="36"/>
      <c r="C21" s="36" t="s">
        <v>331</v>
      </c>
      <c r="D21" s="36"/>
      <c r="E21" s="399"/>
      <c r="F21" s="399"/>
      <c r="G21" s="399"/>
      <c r="H21" s="21"/>
    </row>
    <row r="22" spans="1:13" x14ac:dyDescent="0.2">
      <c r="A22" s="36"/>
      <c r="B22" s="36"/>
      <c r="C22" s="36" t="s">
        <v>344</v>
      </c>
      <c r="D22" s="36" t="s">
        <v>345</v>
      </c>
      <c r="E22" s="122">
        <f>'[2]2020 Short Report'!$E23</f>
        <v>106089.51000000001</v>
      </c>
      <c r="F22" s="122">
        <f>'[2]2020 Short Report'!$G23</f>
        <v>11468.276030999998</v>
      </c>
      <c r="G22" s="122">
        <f>'[2]2020 Short Report'!$I23</f>
        <v>94621.233969000008</v>
      </c>
      <c r="H22" s="21"/>
    </row>
    <row r="23" spans="1:13" x14ac:dyDescent="0.2">
      <c r="A23" s="36"/>
      <c r="B23" s="36"/>
      <c r="C23" s="36"/>
      <c r="D23" s="36" t="s">
        <v>346</v>
      </c>
      <c r="E23" s="43">
        <f>SUM(E22)</f>
        <v>106089.51000000001</v>
      </c>
      <c r="F23" s="43">
        <f t="shared" ref="F23:G23" si="1">SUM(F22)</f>
        <v>11468.276030999998</v>
      </c>
      <c r="G23" s="43">
        <f t="shared" si="1"/>
        <v>94621.233969000008</v>
      </c>
    </row>
    <row r="24" spans="1:13" x14ac:dyDescent="0.2">
      <c r="A24" s="36"/>
      <c r="B24" s="36"/>
      <c r="C24" s="36"/>
      <c r="D24" s="36"/>
      <c r="E24" s="399"/>
      <c r="F24" s="399"/>
      <c r="G24" s="399"/>
      <c r="H24" s="21"/>
    </row>
    <row r="25" spans="1:13" x14ac:dyDescent="0.2">
      <c r="A25" s="36"/>
      <c r="B25" s="36" t="s">
        <v>347</v>
      </c>
      <c r="C25" s="36"/>
      <c r="D25" s="36"/>
      <c r="E25" s="399"/>
      <c r="F25" s="399"/>
      <c r="G25" s="399"/>
      <c r="H25" s="21"/>
    </row>
    <row r="26" spans="1:13" x14ac:dyDescent="0.2">
      <c r="A26" s="36"/>
      <c r="B26" s="36"/>
      <c r="C26" s="36" t="s">
        <v>331</v>
      </c>
      <c r="D26" s="36"/>
      <c r="E26" s="399"/>
      <c r="F26" s="399"/>
      <c r="G26" s="399"/>
      <c r="H26" s="21"/>
    </row>
    <row r="27" spans="1:13" x14ac:dyDescent="0.2">
      <c r="A27" s="36"/>
      <c r="B27" s="36"/>
      <c r="C27" s="36" t="s">
        <v>348</v>
      </c>
      <c r="D27" s="36" t="s">
        <v>345</v>
      </c>
      <c r="E27" s="44">
        <f>'[2]2020 Short Report'!$E28</f>
        <v>1849734.1099999996</v>
      </c>
      <c r="F27" s="44">
        <f>'[2]2020 Short Report'!$G28</f>
        <v>199956.25729099987</v>
      </c>
      <c r="G27" s="44">
        <f>'[2]2020 Short Report'!$I28</f>
        <v>1649777.8527089993</v>
      </c>
    </row>
    <row r="28" spans="1:13" x14ac:dyDescent="0.2">
      <c r="A28" s="36"/>
      <c r="B28" s="36"/>
      <c r="C28" s="36" t="s">
        <v>527</v>
      </c>
      <c r="D28" s="36" t="s">
        <v>528</v>
      </c>
      <c r="E28" s="44">
        <f>'[2]2020 Short Report'!$E29</f>
        <v>-85795.860000000015</v>
      </c>
      <c r="F28" s="44">
        <f>'[2]2020 Short Report'!$G29</f>
        <v>-9274.5324659999969</v>
      </c>
      <c r="G28" s="44">
        <f>'[2]2020 Short Report'!$I29</f>
        <v>-76521.327534000011</v>
      </c>
      <c r="H28" s="21"/>
    </row>
    <row r="29" spans="1:13" x14ac:dyDescent="0.2">
      <c r="A29" s="36"/>
      <c r="B29" s="36"/>
      <c r="C29" s="36"/>
      <c r="D29" s="36"/>
      <c r="E29" s="44"/>
      <c r="F29" s="44"/>
      <c r="G29" s="44"/>
      <c r="H29" s="21"/>
    </row>
    <row r="30" spans="1:13" x14ac:dyDescent="0.2">
      <c r="A30" s="36"/>
      <c r="B30" s="36"/>
      <c r="C30" s="36" t="s">
        <v>340</v>
      </c>
      <c r="D30" s="36"/>
      <c r="E30" s="44"/>
      <c r="F30" s="44"/>
      <c r="G30" s="44"/>
      <c r="H30" s="21"/>
    </row>
    <row r="31" spans="1:13" x14ac:dyDescent="0.2">
      <c r="A31" s="36"/>
      <c r="B31" s="36"/>
      <c r="C31" s="36" t="s">
        <v>349</v>
      </c>
      <c r="D31" s="36" t="s">
        <v>345</v>
      </c>
      <c r="E31" s="122">
        <f>'[2]2020 Short Report'!$E32</f>
        <v>1194490.9000000004</v>
      </c>
      <c r="F31" s="122">
        <f>'[2]2020 Short Report'!$G32</f>
        <v>129125.53107499999</v>
      </c>
      <c r="G31" s="122">
        <f>'[2]2020 Short Report'!$I32</f>
        <v>1065365.3689249996</v>
      </c>
      <c r="H31" s="21"/>
    </row>
    <row r="32" spans="1:13" x14ac:dyDescent="0.2">
      <c r="A32" s="36"/>
      <c r="B32" s="36"/>
      <c r="C32" s="36"/>
      <c r="D32" s="36" t="s">
        <v>350</v>
      </c>
      <c r="E32" s="399"/>
      <c r="F32" s="399"/>
      <c r="G32" s="399"/>
      <c r="H32" s="21"/>
    </row>
    <row r="33" spans="1:8" x14ac:dyDescent="0.2">
      <c r="A33" s="36"/>
      <c r="B33" s="36"/>
      <c r="C33" s="36"/>
      <c r="D33" s="36"/>
      <c r="E33" s="354"/>
      <c r="F33" s="354"/>
      <c r="G33" s="354"/>
    </row>
    <row r="34" spans="1:8" x14ac:dyDescent="0.2">
      <c r="A34" s="36"/>
      <c r="B34" s="36"/>
      <c r="C34" s="36"/>
      <c r="D34" s="36" t="s">
        <v>351</v>
      </c>
      <c r="E34" s="43">
        <f>SUM(E27:E31)</f>
        <v>2958429.15</v>
      </c>
      <c r="F34" s="43">
        <f t="shared" ref="F34:G34" si="2">SUM(F27:F31)</f>
        <v>319807.25589999987</v>
      </c>
      <c r="G34" s="43">
        <f t="shared" si="2"/>
        <v>2638621.8940999992</v>
      </c>
      <c r="H34" s="21"/>
    </row>
    <row r="35" spans="1:8" x14ac:dyDescent="0.2">
      <c r="A35" s="36"/>
      <c r="B35" s="36"/>
      <c r="C35" s="36"/>
      <c r="D35" s="36"/>
      <c r="E35" s="43"/>
      <c r="F35" s="43"/>
      <c r="G35" s="43"/>
      <c r="H35" s="21"/>
    </row>
    <row r="36" spans="1:8" x14ac:dyDescent="0.2">
      <c r="A36" s="36" t="s">
        <v>352</v>
      </c>
      <c r="B36" s="36"/>
      <c r="C36" s="36"/>
      <c r="D36" s="36"/>
      <c r="E36" s="43"/>
      <c r="F36" s="43"/>
      <c r="G36" s="43"/>
      <c r="H36" s="21"/>
    </row>
    <row r="37" spans="1:8" x14ac:dyDescent="0.2">
      <c r="A37" s="36"/>
      <c r="B37" s="36"/>
      <c r="C37" s="36" t="s">
        <v>331</v>
      </c>
      <c r="D37" s="36"/>
      <c r="E37" s="43"/>
      <c r="F37" s="43"/>
      <c r="G37" s="43"/>
    </row>
    <row r="38" spans="1:8" x14ac:dyDescent="0.2">
      <c r="A38" s="36"/>
      <c r="B38" s="36"/>
      <c r="C38" s="36" t="s">
        <v>353</v>
      </c>
      <c r="D38" s="36" t="s">
        <v>354</v>
      </c>
      <c r="E38" s="44">
        <f>'[2]2020 Short Report'!$E39</f>
        <v>2373605.3799999994</v>
      </c>
      <c r="F38" s="44">
        <f>'[2]2020 Short Report'!$G39</f>
        <v>159628.15496096172</v>
      </c>
      <c r="G38" s="44">
        <f>'[2]2020 Short Report'!$I39</f>
        <v>2213977.2250390383</v>
      </c>
      <c r="H38" s="21"/>
    </row>
    <row r="39" spans="1:8" x14ac:dyDescent="0.2">
      <c r="A39" s="36"/>
      <c r="B39" s="36"/>
      <c r="C39" s="36"/>
      <c r="D39" s="36"/>
      <c r="E39" s="44"/>
      <c r="F39" s="44"/>
      <c r="G39" s="44"/>
      <c r="H39" s="21"/>
    </row>
    <row r="40" spans="1:8" x14ac:dyDescent="0.2">
      <c r="A40" s="36"/>
      <c r="B40" s="36"/>
      <c r="C40" s="36" t="s">
        <v>340</v>
      </c>
      <c r="D40" s="36"/>
      <c r="E40" s="44"/>
      <c r="F40" s="44"/>
      <c r="G40" s="44"/>
      <c r="H40" s="21"/>
    </row>
    <row r="41" spans="1:8" x14ac:dyDescent="0.2">
      <c r="A41" s="36"/>
      <c r="B41" s="36"/>
      <c r="C41" s="36" t="s">
        <v>355</v>
      </c>
      <c r="D41" s="36" t="s">
        <v>356</v>
      </c>
      <c r="E41" s="122">
        <f>'[2]2020 Short Report'!$E42</f>
        <v>-22364.28000000001</v>
      </c>
      <c r="F41" s="122">
        <f>'[2]2020 Short Report'!$G42</f>
        <v>-4115.4751678684943</v>
      </c>
      <c r="G41" s="122">
        <f>'[2]2020 Short Report'!$I42</f>
        <v>-18248.804832131504</v>
      </c>
      <c r="H41" s="426"/>
    </row>
    <row r="42" spans="1:8" x14ac:dyDescent="0.2">
      <c r="A42" s="36"/>
      <c r="B42" s="36"/>
      <c r="C42" s="36"/>
      <c r="D42" s="36" t="s">
        <v>357</v>
      </c>
      <c r="E42" s="43">
        <f>SUM(E38:E41)</f>
        <v>2351241.0999999996</v>
      </c>
      <c r="F42" s="43">
        <f t="shared" ref="F42:G42" si="3">SUM(F38:F41)</f>
        <v>155512.67979309324</v>
      </c>
      <c r="G42" s="43">
        <f t="shared" si="3"/>
        <v>2195728.4202069067</v>
      </c>
      <c r="H42" s="21"/>
    </row>
    <row r="43" spans="1:8" x14ac:dyDescent="0.2">
      <c r="A43" s="36"/>
      <c r="B43" s="36"/>
      <c r="C43" s="36"/>
      <c r="D43" s="36"/>
      <c r="E43" s="43"/>
      <c r="F43" s="43"/>
      <c r="G43" s="43"/>
      <c r="H43" s="21"/>
    </row>
    <row r="44" spans="1:8" x14ac:dyDescent="0.2">
      <c r="A44" s="36" t="s">
        <v>358</v>
      </c>
      <c r="B44" s="36"/>
      <c r="C44" s="36"/>
      <c r="D44" s="36"/>
      <c r="E44" s="43"/>
      <c r="F44" s="43"/>
      <c r="G44" s="43"/>
      <c r="H44" s="21"/>
    </row>
    <row r="45" spans="1:8" x14ac:dyDescent="0.2">
      <c r="A45" s="36"/>
      <c r="B45" s="36"/>
      <c r="C45" s="36" t="s">
        <v>331</v>
      </c>
      <c r="D45" s="36"/>
      <c r="E45" s="43"/>
      <c r="F45" s="43"/>
      <c r="G45" s="43"/>
      <c r="H45" s="21"/>
    </row>
    <row r="46" spans="1:8" x14ac:dyDescent="0.2">
      <c r="A46" s="36"/>
      <c r="B46" s="36"/>
      <c r="C46" s="36" t="s">
        <v>359</v>
      </c>
      <c r="D46" s="36" t="s">
        <v>345</v>
      </c>
      <c r="E46" s="44">
        <f>'[2]2020 Short Report'!$E47</f>
        <v>3291043.87</v>
      </c>
      <c r="F46" s="44">
        <f>'[2]2020 Short Report'!$G47</f>
        <v>281710.28069136565</v>
      </c>
      <c r="G46" s="44">
        <f>'[2]2020 Short Report'!$I47</f>
        <v>3009333.5893086353</v>
      </c>
      <c r="H46" s="21"/>
    </row>
    <row r="47" spans="1:8" x14ac:dyDescent="0.2">
      <c r="A47" s="36"/>
      <c r="B47" s="36"/>
      <c r="C47" s="36" t="s">
        <v>360</v>
      </c>
      <c r="D47" s="36" t="s">
        <v>361</v>
      </c>
      <c r="E47" s="44">
        <f>'[2]2020 Short Report'!$E48</f>
        <v>13497564.050000003</v>
      </c>
      <c r="F47" s="44">
        <f>'[2]2020 Short Report'!$G48</f>
        <v>1477393.7727072593</v>
      </c>
      <c r="G47" s="44">
        <f>'[2]2020 Short Report'!$I48</f>
        <v>12020170.277292732</v>
      </c>
      <c r="H47" s="21"/>
    </row>
    <row r="48" spans="1:8" x14ac:dyDescent="0.2">
      <c r="A48" s="36"/>
      <c r="B48" s="36"/>
      <c r="C48" s="36" t="s">
        <v>362</v>
      </c>
      <c r="D48" s="36" t="s">
        <v>363</v>
      </c>
      <c r="E48" s="44">
        <f>'[2]2020 Short Report'!$E49</f>
        <v>269671.60000000114</v>
      </c>
      <c r="F48" s="44">
        <f>'[2]2020 Short Report'!$G49</f>
        <v>25078.891335960961</v>
      </c>
      <c r="G48" s="44">
        <f>'[2]2020 Short Report'!$I49</f>
        <v>244592.70866403967</v>
      </c>
      <c r="H48" s="21"/>
    </row>
    <row r="49" spans="1:8" x14ac:dyDescent="0.2">
      <c r="A49" s="36"/>
      <c r="B49" s="36"/>
      <c r="C49" s="36" t="s">
        <v>364</v>
      </c>
      <c r="D49" s="36" t="s">
        <v>365</v>
      </c>
      <c r="E49" s="44">
        <f>'[2]2020 Short Report'!$E50</f>
        <v>589961.4800000001</v>
      </c>
      <c r="F49" s="44">
        <f>'[2]2020 Short Report'!$G50</f>
        <v>53337.193907000015</v>
      </c>
      <c r="G49" s="44">
        <f>'[2]2020 Short Report'!$I50</f>
        <v>536624.28609299986</v>
      </c>
      <c r="H49" s="21"/>
    </row>
    <row r="50" spans="1:8" x14ac:dyDescent="0.2">
      <c r="A50" s="36"/>
      <c r="B50" s="36"/>
      <c r="C50" s="36" t="s">
        <v>366</v>
      </c>
      <c r="D50" s="36" t="s">
        <v>367</v>
      </c>
      <c r="E50" s="44">
        <f>'[2]2020 Short Report'!$E51</f>
        <v>6677276.8000000045</v>
      </c>
      <c r="F50" s="44">
        <f>'[2]2020 Short Report'!$G51</f>
        <v>768063.46928663226</v>
      </c>
      <c r="G50" s="44">
        <f>'[2]2020 Short Report'!$I51</f>
        <v>5909213.330713369</v>
      </c>
      <c r="H50" s="21"/>
    </row>
    <row r="51" spans="1:8" x14ac:dyDescent="0.2">
      <c r="A51" s="36"/>
      <c r="B51" s="36"/>
      <c r="C51" s="36" t="s">
        <v>368</v>
      </c>
      <c r="D51" s="36" t="s">
        <v>369</v>
      </c>
      <c r="E51" s="44">
        <f>'[2]2020 Short Report'!$E52</f>
        <v>11359149.109999994</v>
      </c>
      <c r="F51" s="44">
        <f>'[2]2020 Short Report'!$G52</f>
        <v>1300270.1219499586</v>
      </c>
      <c r="G51" s="44">
        <f>'[2]2020 Short Report'!$I52</f>
        <v>10058878.988050042</v>
      </c>
      <c r="H51" s="21"/>
    </row>
    <row r="52" spans="1:8" x14ac:dyDescent="0.2">
      <c r="A52" s="36"/>
      <c r="B52" s="36"/>
      <c r="C52" s="36" t="s">
        <v>370</v>
      </c>
      <c r="D52" s="36" t="s">
        <v>371</v>
      </c>
      <c r="E52" s="44">
        <f>'[2]2020 Short Report'!$E53</f>
        <v>1328944.46</v>
      </c>
      <c r="F52" s="44">
        <f>'[2]2020 Short Report'!$G53</f>
        <v>138491.2250704875</v>
      </c>
      <c r="G52" s="44">
        <f>'[2]2020 Short Report'!$I53</f>
        <v>1190453.2349295134</v>
      </c>
    </row>
    <row r="53" spans="1:8" x14ac:dyDescent="0.2">
      <c r="A53" s="36"/>
      <c r="B53" s="36"/>
      <c r="C53" s="36" t="s">
        <v>372</v>
      </c>
      <c r="D53" s="36" t="s">
        <v>373</v>
      </c>
      <c r="E53" s="44">
        <f>'[2]2020 Short Report'!$E54</f>
        <v>192111.07999999996</v>
      </c>
      <c r="F53" s="44">
        <f>'[2]2020 Short Report'!$G54</f>
        <v>25533.747224000002</v>
      </c>
      <c r="G53" s="44">
        <f>'[2]2020 Short Report'!$I54</f>
        <v>166577.33277599997</v>
      </c>
    </row>
    <row r="54" spans="1:8" x14ac:dyDescent="0.2">
      <c r="A54" s="36"/>
      <c r="B54" s="36"/>
      <c r="C54" s="36"/>
      <c r="D54" s="36"/>
      <c r="E54" s="399"/>
      <c r="F54" s="399"/>
      <c r="G54" s="399"/>
      <c r="H54" s="21"/>
    </row>
    <row r="55" spans="1:8" x14ac:dyDescent="0.2">
      <c r="A55" s="36"/>
      <c r="B55" s="36"/>
      <c r="C55" s="36"/>
      <c r="D55" s="36"/>
      <c r="E55" s="399"/>
      <c r="F55" s="399"/>
      <c r="G55" s="5" t="s">
        <v>746</v>
      </c>
      <c r="H55" s="21"/>
    </row>
    <row r="56" spans="1:8" x14ac:dyDescent="0.2">
      <c r="A56" s="36"/>
      <c r="B56" s="36"/>
      <c r="C56" s="36"/>
      <c r="D56" s="36"/>
      <c r="E56" s="399"/>
      <c r="F56" s="399"/>
      <c r="G56" s="5" t="s">
        <v>770</v>
      </c>
      <c r="H56" s="21"/>
    </row>
    <row r="57" spans="1:8" x14ac:dyDescent="0.2">
      <c r="A57" s="36"/>
      <c r="B57" s="36"/>
      <c r="C57" s="36" t="s">
        <v>340</v>
      </c>
      <c r="D57" s="36"/>
      <c r="E57" s="399"/>
      <c r="F57" s="399"/>
      <c r="H57" s="21"/>
    </row>
    <row r="58" spans="1:8" x14ac:dyDescent="0.2">
      <c r="A58" s="36"/>
      <c r="B58" s="36"/>
      <c r="C58" s="36" t="s">
        <v>374</v>
      </c>
      <c r="D58" s="36" t="s">
        <v>345</v>
      </c>
      <c r="E58" s="44">
        <f>'[2]2020 Short Report'!$E58</f>
        <v>6200138.830000001</v>
      </c>
      <c r="F58" s="44">
        <f>'[2]2020 Short Report'!$G58</f>
        <v>326198.95252509316</v>
      </c>
      <c r="G58" s="44">
        <f>'[2]2020 Short Report'!$I58</f>
        <v>5873939.8774749022</v>
      </c>
      <c r="H58" s="21"/>
    </row>
    <row r="59" spans="1:8" x14ac:dyDescent="0.2">
      <c r="A59" s="36"/>
      <c r="B59" s="36"/>
      <c r="C59" s="36" t="s">
        <v>375</v>
      </c>
      <c r="D59" s="36" t="s">
        <v>376</v>
      </c>
      <c r="E59" s="44">
        <f>'[2]2020 Short Report'!$E59</f>
        <v>2779795.8099999991</v>
      </c>
      <c r="F59" s="44">
        <f>'[2]2020 Short Report'!$G59</f>
        <v>150839.52333687566</v>
      </c>
      <c r="G59" s="44">
        <f>'[2]2020 Short Report'!$I59</f>
        <v>2628956.2866631248</v>
      </c>
      <c r="H59" s="21"/>
    </row>
    <row r="60" spans="1:8" x14ac:dyDescent="0.2">
      <c r="A60" s="36"/>
      <c r="B60" s="36"/>
      <c r="C60" s="36" t="s">
        <v>377</v>
      </c>
      <c r="D60" s="36" t="s">
        <v>363</v>
      </c>
      <c r="E60" s="44">
        <f>'[2]2020 Short Report'!$E60</f>
        <v>1690338.8500000006</v>
      </c>
      <c r="F60" s="44">
        <f>'[2]2020 Short Report'!$G60</f>
        <v>151327.89715273291</v>
      </c>
      <c r="G60" s="44">
        <f>'[2]2020 Short Report'!$I60</f>
        <v>1539010.9528472673</v>
      </c>
      <c r="H60" s="21"/>
    </row>
    <row r="61" spans="1:8" x14ac:dyDescent="0.2">
      <c r="A61" s="36"/>
      <c r="B61" s="36"/>
      <c r="C61" s="36" t="s">
        <v>378</v>
      </c>
      <c r="D61" s="36" t="s">
        <v>365</v>
      </c>
      <c r="E61" s="44">
        <f>'[2]2020 Short Report'!$E61</f>
        <v>304394.90000000008</v>
      </c>
      <c r="F61" s="44">
        <f>'[2]2020 Short Report'!$G61</f>
        <v>23158.447275855786</v>
      </c>
      <c r="G61" s="44">
        <f>'[2]2020 Short Report'!$I61</f>
        <v>281236.45272414421</v>
      </c>
      <c r="H61" s="21"/>
    </row>
    <row r="62" spans="1:8" x14ac:dyDescent="0.2">
      <c r="A62" s="36"/>
      <c r="B62" s="36"/>
      <c r="C62" s="36" t="s">
        <v>379</v>
      </c>
      <c r="D62" s="36" t="s">
        <v>380</v>
      </c>
      <c r="E62" s="44">
        <f>'[2]2020 Short Report'!$E62</f>
        <v>1127525.56</v>
      </c>
      <c r="F62" s="44">
        <f>'[2]2020 Short Report'!$G62</f>
        <v>125489.31261859444</v>
      </c>
      <c r="G62" s="44">
        <f>'[2]2020 Short Report'!$I62</f>
        <v>1002036.2473814056</v>
      </c>
      <c r="H62" s="21"/>
    </row>
    <row r="63" spans="1:8" x14ac:dyDescent="0.2">
      <c r="A63" s="36"/>
      <c r="B63" s="36"/>
      <c r="C63" s="36" t="s">
        <v>381</v>
      </c>
      <c r="D63" s="36" t="s">
        <v>382</v>
      </c>
      <c r="E63" s="44">
        <f>'[2]2020 Short Report'!$E63</f>
        <v>3956270.25</v>
      </c>
      <c r="F63" s="44">
        <f>'[2]2020 Short Report'!$G63</f>
        <v>420308.99619167921</v>
      </c>
      <c r="G63" s="44">
        <f>'[2]2020 Short Report'!$I63</f>
        <v>3535961.2538083224</v>
      </c>
      <c r="H63" s="21"/>
    </row>
    <row r="64" spans="1:8" x14ac:dyDescent="0.2">
      <c r="A64" s="36"/>
      <c r="B64" s="36"/>
      <c r="C64" s="36" t="s">
        <v>383</v>
      </c>
      <c r="D64" s="36" t="s">
        <v>384</v>
      </c>
      <c r="E64" s="122">
        <f>'[2]2020 Short Report'!$E64</f>
        <v>39722.55000000001</v>
      </c>
      <c r="F64" s="122">
        <f>'[2]2020 Short Report'!$G64</f>
        <v>2255.380251567638</v>
      </c>
      <c r="G64" s="122">
        <f>'[2]2020 Short Report'!$I64</f>
        <v>37467.169748432359</v>
      </c>
    </row>
    <row r="65" spans="1:8" x14ac:dyDescent="0.2">
      <c r="A65" s="36"/>
      <c r="B65" s="36"/>
      <c r="C65" s="36"/>
      <c r="D65" s="36" t="s">
        <v>385</v>
      </c>
      <c r="E65" s="43">
        <f>SUM(E46:E64)</f>
        <v>53303909.200000003</v>
      </c>
      <c r="F65" s="43">
        <f t="shared" ref="F65:G65" si="4">SUM(F46:F64)</f>
        <v>5269457.211525063</v>
      </c>
      <c r="G65" s="43">
        <f t="shared" si="4"/>
        <v>48034451.98847492</v>
      </c>
      <c r="H65" s="21"/>
    </row>
    <row r="66" spans="1:8" x14ac:dyDescent="0.2">
      <c r="A66" s="36"/>
      <c r="B66" s="36"/>
      <c r="C66" s="36"/>
      <c r="D66" s="36"/>
      <c r="E66" s="43"/>
      <c r="F66" s="43"/>
      <c r="G66" s="43"/>
      <c r="H66" s="21"/>
    </row>
    <row r="67" spans="1:8" x14ac:dyDescent="0.2">
      <c r="A67" s="36" t="s">
        <v>386</v>
      </c>
      <c r="B67" s="36"/>
      <c r="C67" s="36"/>
      <c r="D67" s="36"/>
      <c r="E67" s="43"/>
      <c r="F67" s="43"/>
      <c r="G67" s="43"/>
      <c r="H67" s="21"/>
    </row>
    <row r="68" spans="1:8" x14ac:dyDescent="0.2">
      <c r="A68" s="36"/>
      <c r="B68" s="36"/>
      <c r="C68" s="36" t="s">
        <v>331</v>
      </c>
      <c r="D68" s="36"/>
      <c r="E68" s="43"/>
      <c r="F68" s="43"/>
      <c r="G68" s="43"/>
      <c r="H68" s="21"/>
    </row>
    <row r="69" spans="1:8" x14ac:dyDescent="0.2">
      <c r="A69" s="36"/>
      <c r="B69" s="36"/>
      <c r="C69" s="36" t="s">
        <v>387</v>
      </c>
      <c r="D69" s="36" t="s">
        <v>388</v>
      </c>
      <c r="E69" s="44">
        <f>'[2]2020 Short Report'!$E69</f>
        <v>1975468.9600000002</v>
      </c>
      <c r="F69" s="44">
        <f>'[2]2020 Short Report'!$G69</f>
        <v>227771.57108799991</v>
      </c>
      <c r="G69" s="44">
        <f>'[2]2020 Short Report'!$I69</f>
        <v>1747697.3889120002</v>
      </c>
      <c r="H69" s="21"/>
    </row>
    <row r="70" spans="1:8" x14ac:dyDescent="0.2">
      <c r="A70" s="36"/>
      <c r="B70" s="36"/>
      <c r="C70" s="36" t="s">
        <v>389</v>
      </c>
      <c r="D70" s="36" t="s">
        <v>390</v>
      </c>
      <c r="E70" s="44">
        <f>'[2]2020 Short Report'!$E70</f>
        <v>1027731.1599999999</v>
      </c>
      <c r="F70" s="44">
        <f>'[2]2020 Short Report'!$G70</f>
        <v>117250.87841799996</v>
      </c>
      <c r="G70" s="44">
        <f>'[2]2020 Short Report'!$I70</f>
        <v>910480.28158200032</v>
      </c>
      <c r="H70" s="21"/>
    </row>
    <row r="71" spans="1:8" x14ac:dyDescent="0.2">
      <c r="A71" s="36"/>
      <c r="B71" s="36"/>
      <c r="C71" s="36" t="s">
        <v>391</v>
      </c>
      <c r="D71" s="36" t="s">
        <v>392</v>
      </c>
      <c r="E71" s="44">
        <f>'[2]2020 Short Report'!$E71</f>
        <v>16368149.850000003</v>
      </c>
      <c r="F71" s="44">
        <f>'[2]2020 Short Report'!$G71</f>
        <v>1874089.5688979984</v>
      </c>
      <c r="G71" s="44">
        <f>'[2]2020 Short Report'!$I71</f>
        <v>14494060.281101998</v>
      </c>
      <c r="H71" s="21"/>
    </row>
    <row r="72" spans="1:8" x14ac:dyDescent="0.2">
      <c r="A72" s="36"/>
      <c r="B72" s="36"/>
      <c r="C72" s="36" t="s">
        <v>393</v>
      </c>
      <c r="D72" s="36" t="s">
        <v>394</v>
      </c>
      <c r="E72" s="122">
        <f>'[2]2020 Short Report'!$E72</f>
        <v>976008.45000000007</v>
      </c>
      <c r="F72" s="122">
        <f>'[2]2020 Short Report'!$G72</f>
        <v>110387.16508799998</v>
      </c>
      <c r="G72" s="122">
        <f>'[2]2020 Short Report'!$I72</f>
        <v>865621.28491200018</v>
      </c>
    </row>
    <row r="73" spans="1:8" x14ac:dyDescent="0.2">
      <c r="A73" s="36"/>
      <c r="B73" s="36"/>
      <c r="C73" s="36"/>
      <c r="D73" s="36" t="s">
        <v>395</v>
      </c>
      <c r="E73" s="43">
        <f>SUM(E69:E72)</f>
        <v>20347358.420000002</v>
      </c>
      <c r="F73" s="43">
        <f t="shared" ref="F73:G73" si="5">SUM(F69:F72)</f>
        <v>2329499.1834919979</v>
      </c>
      <c r="G73" s="43">
        <f t="shared" si="5"/>
        <v>18017859.236508001</v>
      </c>
      <c r="H73" s="21"/>
    </row>
    <row r="74" spans="1:8" x14ac:dyDescent="0.2">
      <c r="A74" s="36"/>
      <c r="B74" s="36"/>
      <c r="C74" s="36"/>
      <c r="D74" s="36"/>
      <c r="E74" s="399"/>
      <c r="F74" s="399"/>
      <c r="G74" s="399"/>
      <c r="H74" s="21"/>
    </row>
    <row r="75" spans="1:8" x14ac:dyDescent="0.2">
      <c r="A75" s="36" t="s">
        <v>396</v>
      </c>
      <c r="B75" s="36"/>
      <c r="C75" s="36"/>
      <c r="D75" s="36"/>
      <c r="E75" s="399"/>
      <c r="F75" s="399"/>
      <c r="G75" s="399"/>
      <c r="H75" s="21"/>
    </row>
    <row r="76" spans="1:8" x14ac:dyDescent="0.2">
      <c r="A76" s="36"/>
      <c r="B76" s="36"/>
      <c r="C76" s="36" t="s">
        <v>331</v>
      </c>
      <c r="D76" s="36"/>
      <c r="E76" s="399"/>
      <c r="F76" s="399"/>
      <c r="G76" s="399"/>
      <c r="H76" s="21"/>
    </row>
    <row r="77" spans="1:8" x14ac:dyDescent="0.2">
      <c r="A77" s="36"/>
      <c r="B77" s="36"/>
      <c r="C77" s="36" t="s">
        <v>397</v>
      </c>
      <c r="D77" s="36" t="s">
        <v>388</v>
      </c>
      <c r="E77" s="44">
        <f>'[2]2020 Short Report'!$E77</f>
        <v>3079.3500000000004</v>
      </c>
      <c r="F77" s="44">
        <f>'[2]2020 Short Report'!$G77</f>
        <v>358.43633999999986</v>
      </c>
      <c r="G77" s="44">
        <f>'[2]2020 Short Report'!$I77</f>
        <v>2720.9136600000002</v>
      </c>
      <c r="H77" s="21"/>
    </row>
    <row r="78" spans="1:8" x14ac:dyDescent="0.2">
      <c r="A78" s="36"/>
      <c r="B78" s="36"/>
      <c r="C78" s="36" t="s">
        <v>398</v>
      </c>
      <c r="D78" s="36" t="s">
        <v>399</v>
      </c>
      <c r="E78" s="44">
        <f>'[2]2020 Short Report'!$E78</f>
        <v>3396696.8499999996</v>
      </c>
      <c r="F78" s="44">
        <f>'[2]2020 Short Report'!$G78</f>
        <v>410623.27496699983</v>
      </c>
      <c r="G78" s="44">
        <f>'[2]2020 Short Report'!$I78</f>
        <v>2986073.5750330011</v>
      </c>
      <c r="H78" s="426"/>
    </row>
    <row r="79" spans="1:8" x14ac:dyDescent="0.2">
      <c r="A79" s="36"/>
      <c r="B79" s="36"/>
      <c r="C79" s="42">
        <v>909</v>
      </c>
      <c r="D79" s="36" t="s">
        <v>400</v>
      </c>
      <c r="E79" s="44">
        <f>'[2]2020 Short Report'!$E79</f>
        <v>2541769.9599999995</v>
      </c>
      <c r="F79" s="44">
        <f>'[2]2020 Short Report'!$G79</f>
        <v>293066.07638799987</v>
      </c>
      <c r="G79" s="44">
        <f>'[2]2020 Short Report'!$I79</f>
        <v>2248703.8836119999</v>
      </c>
      <c r="H79" s="21"/>
    </row>
    <row r="80" spans="1:8" x14ac:dyDescent="0.2">
      <c r="A80" s="36"/>
      <c r="B80" s="36"/>
      <c r="C80" s="36" t="s">
        <v>401</v>
      </c>
      <c r="D80" s="36" t="s">
        <v>402</v>
      </c>
      <c r="E80" s="122">
        <f>'[2]2020 Short Report'!$E80</f>
        <v>447995.44999999995</v>
      </c>
      <c r="F80" s="122">
        <f>'[2]2020 Short Report'!$G80</f>
        <v>52145.47697099996</v>
      </c>
      <c r="G80" s="122">
        <f>'[2]2020 Short Report'!$I80</f>
        <v>395849.9730290001</v>
      </c>
    </row>
    <row r="81" spans="1:8" x14ac:dyDescent="0.2">
      <c r="A81" s="36"/>
      <c r="B81" s="36"/>
      <c r="C81" s="36"/>
      <c r="D81" s="36" t="s">
        <v>403</v>
      </c>
      <c r="E81" s="43">
        <f>SUM(E77:E80)</f>
        <v>6389541.6099999994</v>
      </c>
      <c r="F81" s="43">
        <f t="shared" ref="F81:G81" si="6">SUM(F77:F80)</f>
        <v>756193.26466599968</v>
      </c>
      <c r="G81" s="43">
        <f t="shared" si="6"/>
        <v>5633348.3453340009</v>
      </c>
      <c r="H81" s="21"/>
    </row>
    <row r="82" spans="1:8" x14ac:dyDescent="0.2">
      <c r="A82" s="36"/>
      <c r="B82" s="36"/>
      <c r="C82" s="36"/>
      <c r="D82" s="36"/>
      <c r="E82" s="399"/>
      <c r="F82" s="399"/>
      <c r="G82" s="399"/>
      <c r="H82" s="21"/>
    </row>
    <row r="83" spans="1:8" x14ac:dyDescent="0.2">
      <c r="A83" s="36" t="s">
        <v>404</v>
      </c>
      <c r="B83" s="36"/>
      <c r="C83" s="36"/>
      <c r="D83" s="36"/>
      <c r="E83" s="399"/>
      <c r="F83" s="399"/>
      <c r="G83" s="399"/>
      <c r="H83" s="21"/>
    </row>
    <row r="84" spans="1:8" x14ac:dyDescent="0.2">
      <c r="A84" s="36"/>
      <c r="B84" s="36"/>
      <c r="C84" s="36" t="s">
        <v>331</v>
      </c>
      <c r="D84" s="36"/>
      <c r="E84" s="399"/>
      <c r="F84" s="399"/>
      <c r="G84" s="399"/>
      <c r="H84" s="21"/>
    </row>
    <row r="85" spans="1:8" x14ac:dyDescent="0.2">
      <c r="A85" s="36"/>
      <c r="B85" s="36"/>
      <c r="C85" s="36" t="s">
        <v>405</v>
      </c>
      <c r="D85" s="36" t="s">
        <v>388</v>
      </c>
      <c r="E85" s="44">
        <f>'[2]2020 Short Report'!$E85</f>
        <v>105760.99</v>
      </c>
      <c r="F85" s="44">
        <f>'[2]2020 Short Report'!$G85</f>
        <v>12194.242146999997</v>
      </c>
      <c r="G85" s="44">
        <f>'[2]2020 Short Report'!$I85</f>
        <v>93566.747853000023</v>
      </c>
      <c r="H85" s="21"/>
    </row>
    <row r="86" spans="1:8" x14ac:dyDescent="0.2">
      <c r="A86" s="36"/>
      <c r="B86" s="36"/>
      <c r="C86" s="36" t="s">
        <v>406</v>
      </c>
      <c r="D86" s="36" t="s">
        <v>407</v>
      </c>
      <c r="E86" s="44">
        <f>'[2]2020 Short Report'!$E86</f>
        <v>1967770.9000000001</v>
      </c>
      <c r="F86" s="44">
        <f>'[2]2020 Short Report'!$G86</f>
        <v>227068.88832259961</v>
      </c>
      <c r="G86" s="44">
        <f>'[2]2020 Short Report'!$I86</f>
        <v>1740702.0116774</v>
      </c>
      <c r="H86" s="21"/>
    </row>
    <row r="87" spans="1:8" x14ac:dyDescent="0.2">
      <c r="A87" s="36"/>
      <c r="B87" s="36"/>
      <c r="C87" s="36" t="s">
        <v>408</v>
      </c>
      <c r="D87" s="36" t="s">
        <v>409</v>
      </c>
      <c r="E87" s="44">
        <f>'[2]2020 Short Report'!$E87</f>
        <v>490926.62</v>
      </c>
      <c r="F87" s="44">
        <f>'[2]2020 Short Report'!$G87</f>
        <v>56602.718690999973</v>
      </c>
      <c r="G87" s="44">
        <f>'[2]2020 Short Report'!$I87</f>
        <v>434323.90130899992</v>
      </c>
      <c r="H87" s="21"/>
    </row>
    <row r="88" spans="1:8" x14ac:dyDescent="0.2">
      <c r="A88" s="36"/>
      <c r="B88" s="36"/>
      <c r="C88" s="36" t="s">
        <v>410</v>
      </c>
      <c r="D88" s="36" t="s">
        <v>411</v>
      </c>
      <c r="E88" s="122">
        <f>'[2]2020 Short Report'!$E88</f>
        <v>0</v>
      </c>
      <c r="F88" s="122">
        <f>'[2]2020 Short Report'!$G88</f>
        <v>0</v>
      </c>
      <c r="G88" s="122">
        <f>'[2]2020 Short Report'!$I88</f>
        <v>0</v>
      </c>
    </row>
    <row r="89" spans="1:8" x14ac:dyDescent="0.2">
      <c r="A89" s="36"/>
      <c r="B89" s="36"/>
      <c r="C89" s="36"/>
      <c r="D89" s="36" t="s">
        <v>412</v>
      </c>
      <c r="E89" s="43">
        <f>SUM(E85:E88)</f>
        <v>2564458.5100000002</v>
      </c>
      <c r="F89" s="43">
        <f t="shared" ref="F89:G89" si="7">SUM(F85:F88)</f>
        <v>295865.84916059958</v>
      </c>
      <c r="G89" s="43">
        <f t="shared" si="7"/>
        <v>2268592.6608393998</v>
      </c>
      <c r="H89" s="21"/>
    </row>
    <row r="90" spans="1:8" x14ac:dyDescent="0.2">
      <c r="A90" s="36"/>
      <c r="B90" s="36"/>
      <c r="C90" s="36"/>
      <c r="D90" s="36"/>
      <c r="E90" s="43"/>
      <c r="F90" s="43"/>
      <c r="G90" s="43"/>
      <c r="H90" s="21"/>
    </row>
    <row r="91" spans="1:8" x14ac:dyDescent="0.2">
      <c r="A91" s="36" t="s">
        <v>413</v>
      </c>
      <c r="B91" s="36"/>
      <c r="C91" s="36"/>
      <c r="D91" s="36"/>
      <c r="E91" s="43"/>
      <c r="F91" s="43"/>
      <c r="G91" s="43"/>
      <c r="H91" s="21"/>
    </row>
    <row r="92" spans="1:8" x14ac:dyDescent="0.2">
      <c r="A92" s="36"/>
      <c r="B92" s="36"/>
      <c r="C92" s="36" t="s">
        <v>331</v>
      </c>
      <c r="D92" s="36"/>
      <c r="E92" s="43"/>
      <c r="F92" s="43"/>
      <c r="G92" s="43"/>
      <c r="H92" s="21"/>
    </row>
    <row r="93" spans="1:8" x14ac:dyDescent="0.2">
      <c r="A93" s="36"/>
      <c r="B93" s="36"/>
      <c r="C93" s="36" t="s">
        <v>414</v>
      </c>
      <c r="D93" s="36" t="s">
        <v>415</v>
      </c>
      <c r="E93" s="44">
        <f>'[2]2020 Short Report'!$E93</f>
        <v>69094832.74999994</v>
      </c>
      <c r="F93" s="44">
        <f>'[2]2020 Short Report'!$G93</f>
        <v>7938075.5154280318</v>
      </c>
      <c r="G93" s="44">
        <f>'[2]2020 Short Report'!$I93</f>
        <v>61156757.234571956</v>
      </c>
      <c r="H93" s="426"/>
    </row>
    <row r="94" spans="1:8" x14ac:dyDescent="0.2">
      <c r="A94" s="36"/>
      <c r="B94" s="36"/>
      <c r="C94" s="36" t="s">
        <v>416</v>
      </c>
      <c r="D94" s="36" t="s">
        <v>417</v>
      </c>
      <c r="E94" s="44">
        <f>'[2]2020 Short Report'!$E94</f>
        <v>-22544531</v>
      </c>
      <c r="F94" s="44">
        <f>'[2]2020 Short Report'!$G94</f>
        <v>-2522525.4626542605</v>
      </c>
      <c r="G94" s="44">
        <f>'[2]2020 Short Report'!$I94</f>
        <v>-20022005.537345741</v>
      </c>
      <c r="H94" s="426"/>
    </row>
    <row r="95" spans="1:8" x14ac:dyDescent="0.2">
      <c r="A95" s="36"/>
      <c r="B95" s="36"/>
      <c r="C95" s="36" t="s">
        <v>418</v>
      </c>
      <c r="D95" s="36" t="s">
        <v>419</v>
      </c>
      <c r="E95" s="44">
        <f>'[2]2020 Short Report'!$E95</f>
        <v>3629753.9799999991</v>
      </c>
      <c r="F95" s="44">
        <f>'[2]2020 Short Report'!$G95</f>
        <v>397821.03620800003</v>
      </c>
      <c r="G95" s="44">
        <f>'[2]2020 Short Report'!$I95</f>
        <v>3231932.9437919995</v>
      </c>
      <c r="H95" s="426"/>
    </row>
    <row r="96" spans="1:8" x14ac:dyDescent="0.2">
      <c r="A96" s="36"/>
      <c r="B96" s="36"/>
      <c r="C96" s="36" t="s">
        <v>420</v>
      </c>
      <c r="D96" s="36" t="s">
        <v>421</v>
      </c>
      <c r="E96" s="44">
        <f>'[2]2020 Short Report'!$E96</f>
        <v>159831.29999999996</v>
      </c>
      <c r="F96" s="44">
        <f>'[2]2020 Short Report'!$G96</f>
        <v>17517.510480000004</v>
      </c>
      <c r="G96" s="44">
        <f>'[2]2020 Short Report'!$I96</f>
        <v>142313.78951999996</v>
      </c>
      <c r="H96" s="426"/>
    </row>
    <row r="97" spans="1:9" x14ac:dyDescent="0.2">
      <c r="A97" s="36"/>
      <c r="B97" s="36"/>
      <c r="C97" s="36" t="s">
        <v>422</v>
      </c>
      <c r="D97" s="36" t="s">
        <v>423</v>
      </c>
      <c r="E97" s="44">
        <f>'[2]2020 Short Report'!$E97</f>
        <v>25566573.509999998</v>
      </c>
      <c r="F97" s="44">
        <f>'[2]2020 Short Report'!$G97</f>
        <v>2024921.9384282553</v>
      </c>
      <c r="G97" s="44">
        <f>'[2]2020 Short Report'!$I97</f>
        <v>23541651.571571749</v>
      </c>
      <c r="H97" s="21"/>
    </row>
    <row r="98" spans="1:9" x14ac:dyDescent="0.2">
      <c r="A98" s="36"/>
      <c r="B98" s="36"/>
      <c r="C98" s="36" t="s">
        <v>424</v>
      </c>
      <c r="D98" s="36" t="s">
        <v>425</v>
      </c>
      <c r="E98" s="44">
        <f>'[2]2020 Short Report'!$E98</f>
        <v>0</v>
      </c>
      <c r="F98" s="44">
        <f>'[2]2020 Short Report'!$G98</f>
        <v>0</v>
      </c>
      <c r="G98" s="44">
        <f>'[2]2020 Short Report'!$I98</f>
        <v>0</v>
      </c>
      <c r="H98" s="21"/>
    </row>
    <row r="99" spans="1:9" x14ac:dyDescent="0.2">
      <c r="A99" s="36"/>
      <c r="B99" s="36"/>
      <c r="C99" s="36" t="s">
        <v>426</v>
      </c>
      <c r="D99" s="36" t="s">
        <v>427</v>
      </c>
      <c r="E99" s="44">
        <f>'[2]2020 Short Report'!$E99</f>
        <v>3228456.48</v>
      </c>
      <c r="F99" s="44">
        <f>'[2]2020 Short Report'!$G99</f>
        <v>354132.59425378992</v>
      </c>
      <c r="G99" s="44">
        <f>'[2]2020 Short Report'!$I99</f>
        <v>2874323.885746209</v>
      </c>
    </row>
    <row r="100" spans="1:9" x14ac:dyDescent="0.2">
      <c r="A100" s="36"/>
      <c r="B100" s="36"/>
      <c r="C100" s="36" t="s">
        <v>428</v>
      </c>
      <c r="D100" s="36" t="s">
        <v>373</v>
      </c>
      <c r="E100" s="44">
        <f>'[2]2020 Short Report'!$E100</f>
        <v>4873764.79</v>
      </c>
      <c r="F100" s="44">
        <f>'[2]2020 Short Report'!$G100</f>
        <v>532521.36474400014</v>
      </c>
      <c r="G100" s="44">
        <f>'[2]2020 Short Report'!$I100</f>
        <v>4341243.4252559999</v>
      </c>
      <c r="H100" s="21"/>
    </row>
    <row r="101" spans="1:9" x14ac:dyDescent="0.2">
      <c r="A101" s="36"/>
      <c r="B101" s="36"/>
      <c r="C101" s="36"/>
      <c r="D101" s="36"/>
      <c r="E101" s="44"/>
      <c r="F101" s="44"/>
      <c r="G101" s="44"/>
      <c r="H101" s="21"/>
    </row>
    <row r="102" spans="1:9" x14ac:dyDescent="0.2">
      <c r="A102" s="36"/>
      <c r="B102" s="36"/>
      <c r="C102" s="36" t="s">
        <v>340</v>
      </c>
      <c r="D102" s="36"/>
      <c r="E102" s="44"/>
      <c r="F102" s="44"/>
      <c r="G102" s="44"/>
      <c r="H102" s="21"/>
    </row>
    <row r="103" spans="1:9" x14ac:dyDescent="0.2">
      <c r="A103" s="36"/>
      <c r="B103" s="36"/>
      <c r="C103" s="36" t="s">
        <v>429</v>
      </c>
      <c r="D103" s="36" t="s">
        <v>430</v>
      </c>
      <c r="E103" s="44">
        <f>'[2]2020 Short Report'!$E103</f>
        <v>5260424.870000002</v>
      </c>
      <c r="F103" s="44">
        <f>'[2]2020 Short Report'!$G103</f>
        <v>551383.44626998785</v>
      </c>
      <c r="G103" s="44">
        <f>'[2]2020 Short Report'!$I103</f>
        <v>4709041.4237300185</v>
      </c>
      <c r="H103" s="21"/>
    </row>
    <row r="104" spans="1:9" x14ac:dyDescent="0.2">
      <c r="A104" s="36"/>
      <c r="B104" s="36"/>
      <c r="C104" s="36"/>
      <c r="D104" s="36"/>
      <c r="E104" s="354"/>
      <c r="F104" s="354"/>
      <c r="G104" s="354"/>
      <c r="H104" s="21"/>
    </row>
    <row r="105" spans="1:9" x14ac:dyDescent="0.2">
      <c r="A105" s="36"/>
      <c r="B105" s="36"/>
      <c r="C105" s="36"/>
      <c r="D105" s="36" t="s">
        <v>431</v>
      </c>
      <c r="E105" s="43">
        <f>SUM(E93:E104)</f>
        <v>89269106.679999948</v>
      </c>
      <c r="F105" s="43">
        <f t="shared" ref="F105:G105" si="8">SUM(F93:F104)</f>
        <v>9293847.9431578033</v>
      </c>
      <c r="G105" s="43">
        <f t="shared" si="8"/>
        <v>79975258.736842185</v>
      </c>
      <c r="H105" s="21"/>
    </row>
    <row r="106" spans="1:9" x14ac:dyDescent="0.2">
      <c r="A106" s="36"/>
      <c r="B106" s="36"/>
      <c r="C106" s="36"/>
      <c r="D106" s="36"/>
      <c r="E106" s="354"/>
      <c r="F106" s="354"/>
      <c r="G106" s="354"/>
      <c r="H106" s="21"/>
    </row>
    <row r="107" spans="1:9" ht="15.75" thickBot="1" x14ac:dyDescent="0.25">
      <c r="A107" s="36"/>
      <c r="B107" s="36"/>
      <c r="C107" s="36"/>
      <c r="D107" s="36" t="s">
        <v>432</v>
      </c>
      <c r="E107" s="432">
        <f>E105+E89+E81+E73+E65+E42+E34+E23+E18</f>
        <v>181263830.00999996</v>
      </c>
      <c r="F107" s="432">
        <f>F105+F89+F81+F73+F65+F42+F34+F23+F18</f>
        <v>18859921.359738555</v>
      </c>
      <c r="G107" s="432">
        <f t="shared" ref="G107" si="9">G105+G89+G81+G73+G65+G42+G34+G23+G18</f>
        <v>162403908.65026143</v>
      </c>
      <c r="I107" s="426"/>
    </row>
    <row r="108" spans="1:9" ht="15.75" thickTop="1" x14ac:dyDescent="0.2">
      <c r="D108" s="45" t="s">
        <v>593</v>
      </c>
      <c r="E108" s="376">
        <f>SUM(F108:G108)</f>
        <v>1.0000000000000002</v>
      </c>
      <c r="F108" s="46">
        <f>+F107/E107</f>
        <v>0.10404679940117172</v>
      </c>
      <c r="G108" s="46">
        <f>+G107/E107</f>
        <v>0.89595320059882844</v>
      </c>
    </row>
    <row r="110" spans="1:9" x14ac:dyDescent="0.2">
      <c r="A110" s="45" t="s">
        <v>590</v>
      </c>
      <c r="B110" s="47" t="s">
        <v>591</v>
      </c>
      <c r="C110" s="48"/>
      <c r="D110" s="48"/>
    </row>
    <row r="111" spans="1:9" x14ac:dyDescent="0.2">
      <c r="B111" s="47" t="s">
        <v>550</v>
      </c>
      <c r="C111" s="48"/>
      <c r="D111" s="48"/>
    </row>
  </sheetData>
  <customSheetViews>
    <customSheetView guid="{A7BD13BF-7E57-44D7-9B02-43E2FA430390}" showPageBreaks="1" fitToPage="1" printArea="1">
      <selection activeCell="F72" sqref="F72"/>
      <pageMargins left="0.75" right="0.75" top="1" bottom="1" header="0.5" footer="0.5"/>
      <printOptions horizontalCentered="1"/>
      <pageSetup scale="70" fitToHeight="2" orientation="portrait" r:id="rId1"/>
      <headerFooter alignWithMargins="0"/>
    </customSheetView>
    <customSheetView guid="{C29552AC-6B79-447F-B962-713ED43BDF1A}" showPageBreaks="1" fitToPage="1" printArea="1" topLeftCell="A82">
      <selection activeCell="F110" sqref="F110"/>
      <pageMargins left="0.75" right="0.75" top="1" bottom="1" header="0.5" footer="0.5"/>
      <printOptions horizontalCentered="1"/>
      <pageSetup scale="71" fitToHeight="2" orientation="portrait" r:id="rId2"/>
      <headerFooter alignWithMargins="0"/>
    </customSheetView>
    <customSheetView guid="{6ED201AA-AB2E-4FE7-B06B-B07932512C4D}" showPageBreaks="1" fitToPage="1" printArea="1" topLeftCell="A86">
      <selection activeCell="E111" sqref="E111"/>
      <pageMargins left="0.75" right="0.75" top="1" bottom="1" header="0.5" footer="0.5"/>
      <printOptions horizontalCentered="1"/>
      <pageSetup scale="70" fitToHeight="2" orientation="portrait" r:id="rId3"/>
      <headerFooter alignWithMargins="0"/>
    </customSheetView>
    <customSheetView guid="{D711E10B-9441-4991-A2CB-ED400E35790D}" fitToPage="1">
      <selection activeCell="F72" sqref="F72"/>
      <pageMargins left="0.75" right="0.75" top="1" bottom="1" header="0.5" footer="0.5"/>
      <printOptions horizontalCentered="1"/>
      <pageSetup scale="70" fitToHeight="2" orientation="portrait" r:id="rId4"/>
      <headerFooter alignWithMargins="0"/>
    </customSheetView>
  </customSheetViews>
  <phoneticPr fontId="5" type="noConversion"/>
  <printOptions horizontalCentered="1"/>
  <pageMargins left="0.75" right="0.75" top="1" bottom="1" header="0.5" footer="0.5"/>
  <pageSetup scale="81" fitToHeight="2" orientation="portrait" r:id="rId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:M41"/>
  <sheetViews>
    <sheetView topLeftCell="C5" workbookViewId="0">
      <selection activeCell="M10" sqref="M10"/>
    </sheetView>
  </sheetViews>
  <sheetFormatPr defaultColWidth="9.140625" defaultRowHeight="12.75" outlineLevelCol="1" x14ac:dyDescent="0.2"/>
  <cols>
    <col min="1" max="1" width="4.7109375" style="84" customWidth="1"/>
    <col min="2" max="2" width="41.7109375" style="84" customWidth="1"/>
    <col min="3" max="7" width="13.7109375" style="84" customWidth="1" outlineLevel="1"/>
    <col min="8" max="8" width="3.140625" style="84" customWidth="1"/>
    <col min="9" max="13" width="18.5703125" style="84" customWidth="1" outlineLevel="1"/>
    <col min="14" max="16384" width="9.140625" style="84"/>
  </cols>
  <sheetData>
    <row r="1" spans="1:13" ht="15" x14ac:dyDescent="0.2">
      <c r="A1" s="1" t="s">
        <v>0</v>
      </c>
      <c r="B1" s="1"/>
      <c r="C1" s="1"/>
      <c r="D1" s="1"/>
      <c r="E1" s="1"/>
      <c r="F1" s="1"/>
      <c r="G1" s="5" t="s">
        <v>752</v>
      </c>
      <c r="H1" s="5"/>
      <c r="I1" s="5"/>
      <c r="M1" s="5" t="s">
        <v>792</v>
      </c>
    </row>
    <row r="2" spans="1:13" ht="15" x14ac:dyDescent="0.2">
      <c r="A2" s="1" t="s">
        <v>2</v>
      </c>
      <c r="B2" s="1"/>
      <c r="C2" s="1"/>
      <c r="D2" s="1"/>
      <c r="E2" s="1"/>
      <c r="F2" s="2"/>
      <c r="G2" s="5" t="s">
        <v>747</v>
      </c>
      <c r="H2" s="5"/>
      <c r="I2" s="5"/>
      <c r="M2" s="510" t="s">
        <v>747</v>
      </c>
    </row>
    <row r="3" spans="1:13" ht="15" x14ac:dyDescent="0.2">
      <c r="A3" s="3" t="str">
        <f>+'KTW-3 p1 - Test Year Results'!A3</f>
        <v>Test Year Based on Twelve Months Ended September 30, 2020</v>
      </c>
      <c r="B3" s="1"/>
      <c r="C3" s="1"/>
      <c r="D3" s="1"/>
      <c r="E3" s="1"/>
      <c r="F3" s="2"/>
      <c r="G3" s="1"/>
      <c r="H3" s="1"/>
      <c r="I3" s="1"/>
    </row>
    <row r="4" spans="1:13" ht="15" x14ac:dyDescent="0.2">
      <c r="A4" s="1"/>
      <c r="B4" s="1"/>
      <c r="C4" s="1"/>
      <c r="D4" s="1"/>
      <c r="E4" s="1"/>
      <c r="F4" s="1"/>
      <c r="G4" s="4"/>
      <c r="H4" s="4"/>
      <c r="I4" s="4"/>
    </row>
    <row r="5" spans="1:13" ht="15.75" thickBot="1" x14ac:dyDescent="0.25">
      <c r="A5" s="1"/>
      <c r="B5" s="1"/>
      <c r="C5" s="604" t="s">
        <v>317</v>
      </c>
      <c r="D5" s="604"/>
      <c r="E5" s="604"/>
      <c r="F5" s="604"/>
      <c r="G5" s="605"/>
      <c r="H5" s="503"/>
      <c r="I5" s="605" t="s">
        <v>317</v>
      </c>
      <c r="J5" s="605"/>
      <c r="K5" s="605"/>
      <c r="L5" s="605"/>
      <c r="M5" s="605"/>
    </row>
    <row r="6" spans="1:13" ht="15" x14ac:dyDescent="0.2">
      <c r="A6" s="1"/>
      <c r="B6" s="1"/>
      <c r="C6" s="1"/>
      <c r="D6" s="5"/>
      <c r="E6" s="5"/>
      <c r="F6" s="5" t="s">
        <v>12</v>
      </c>
      <c r="G6" s="85" t="s">
        <v>13</v>
      </c>
      <c r="H6" s="503"/>
      <c r="I6" s="353"/>
      <c r="J6" s="353"/>
      <c r="K6" s="353"/>
      <c r="L6" s="514" t="s">
        <v>12</v>
      </c>
      <c r="M6" s="85" t="s">
        <v>626</v>
      </c>
    </row>
    <row r="7" spans="1:13" ht="15" x14ac:dyDescent="0.2">
      <c r="A7" s="5" t="s">
        <v>15</v>
      </c>
      <c r="B7" s="1"/>
      <c r="C7" s="5" t="s">
        <v>11</v>
      </c>
      <c r="D7" s="5"/>
      <c r="E7" s="5" t="s">
        <v>11</v>
      </c>
      <c r="F7" s="5" t="s">
        <v>17</v>
      </c>
      <c r="G7" s="379">
        <f>'KTW-3 p8 - Cost of Cap'!D13</f>
        <v>9.4E-2</v>
      </c>
      <c r="H7" s="512"/>
      <c r="I7" s="512" t="s">
        <v>624</v>
      </c>
      <c r="J7" s="6" t="s">
        <v>624</v>
      </c>
      <c r="K7" s="6" t="s">
        <v>626</v>
      </c>
      <c r="L7" s="6" t="s">
        <v>624</v>
      </c>
      <c r="M7" s="379" t="s">
        <v>664</v>
      </c>
    </row>
    <row r="8" spans="1:13" ht="15" x14ac:dyDescent="0.2">
      <c r="A8" s="7" t="s">
        <v>31</v>
      </c>
      <c r="B8" s="1"/>
      <c r="C8" s="7" t="s">
        <v>16</v>
      </c>
      <c r="D8" s="7" t="s">
        <v>32</v>
      </c>
      <c r="E8" s="7" t="s">
        <v>33</v>
      </c>
      <c r="F8" s="7" t="s">
        <v>34</v>
      </c>
      <c r="G8" s="89" t="s">
        <v>35</v>
      </c>
      <c r="H8" s="503"/>
      <c r="I8" s="502" t="s">
        <v>769</v>
      </c>
      <c r="J8" s="502" t="s">
        <v>32</v>
      </c>
      <c r="K8" s="534" t="s">
        <v>33</v>
      </c>
      <c r="L8" s="502" t="s">
        <v>662</v>
      </c>
      <c r="M8" s="89" t="s">
        <v>35</v>
      </c>
    </row>
    <row r="9" spans="1:13" ht="15" x14ac:dyDescent="0.2">
      <c r="A9" s="5"/>
      <c r="B9" s="1"/>
      <c r="C9" s="5" t="s">
        <v>55</v>
      </c>
      <c r="D9" s="5" t="s">
        <v>56</v>
      </c>
      <c r="E9" s="5" t="s">
        <v>57</v>
      </c>
      <c r="F9" s="5" t="s">
        <v>58</v>
      </c>
      <c r="G9" s="88" t="s">
        <v>59</v>
      </c>
      <c r="H9" s="503"/>
      <c r="I9" s="5" t="s">
        <v>65</v>
      </c>
      <c r="J9" s="5" t="s">
        <v>66</v>
      </c>
      <c r="K9" s="353" t="s">
        <v>67</v>
      </c>
      <c r="L9" s="267" t="s">
        <v>68</v>
      </c>
      <c r="M9" s="88" t="s">
        <v>69</v>
      </c>
    </row>
    <row r="10" spans="1:13" ht="15" x14ac:dyDescent="0.2">
      <c r="A10" s="5"/>
      <c r="B10" s="1"/>
      <c r="C10" s="8"/>
      <c r="D10" s="8"/>
      <c r="E10" s="9"/>
      <c r="F10" s="8"/>
      <c r="G10" s="90"/>
      <c r="H10" s="21"/>
      <c r="I10" s="21"/>
      <c r="J10" s="8"/>
      <c r="K10" s="8"/>
      <c r="L10" s="8"/>
      <c r="M10" s="90"/>
    </row>
    <row r="11" spans="1:13" ht="15" x14ac:dyDescent="0.2">
      <c r="A11" s="5"/>
      <c r="B11" s="1" t="s">
        <v>74</v>
      </c>
      <c r="C11" s="10"/>
      <c r="D11" s="10"/>
      <c r="E11" s="10"/>
      <c r="F11" s="8"/>
      <c r="G11" s="380"/>
      <c r="H11" s="513"/>
      <c r="I11" s="513"/>
      <c r="J11" s="10"/>
      <c r="K11" s="10"/>
      <c r="L11" s="8"/>
      <c r="M11" s="90"/>
    </row>
    <row r="12" spans="1:13" ht="15" x14ac:dyDescent="0.2">
      <c r="A12" s="5">
        <v>1</v>
      </c>
      <c r="B12" s="1" t="s">
        <v>77</v>
      </c>
      <c r="C12" s="11">
        <f>+'KTW-2 - Rev Req'!C12</f>
        <v>71678740.359525383</v>
      </c>
      <c r="D12" s="11">
        <f>+'KTW-2 - Rev Req'!D12</f>
        <v>4211997.8238110505</v>
      </c>
      <c r="E12" s="11">
        <f>+'KTW-2 - Rev Req'!E12</f>
        <v>75890738.183336437</v>
      </c>
      <c r="F12" s="11">
        <f>+'KTW-2 - Rev Req'!F12</f>
        <v>6255809.5678384118</v>
      </c>
      <c r="G12" s="91">
        <f>+'KTW-2 - Rev Req'!G12</f>
        <v>82146547.751174852</v>
      </c>
      <c r="H12" s="33"/>
      <c r="I12" s="11">
        <f>G12</f>
        <v>82146547.751174852</v>
      </c>
      <c r="J12" s="11">
        <f>+'KTW-2 - Rev Req'!H12</f>
        <v>0</v>
      </c>
      <c r="K12" s="11">
        <f>+'KTW-2 - Rev Req'!I12</f>
        <v>82146547.751174852</v>
      </c>
      <c r="L12" s="11">
        <f>+'KTW-2 - Rev Req'!J12</f>
        <v>3150116.0024598953</v>
      </c>
      <c r="M12" s="91">
        <f>+'KTW-2 - Rev Req'!K12</f>
        <v>85296663.753634751</v>
      </c>
    </row>
    <row r="13" spans="1:13" ht="15" x14ac:dyDescent="0.2">
      <c r="A13" s="5">
        <v>2</v>
      </c>
      <c r="B13" s="1" t="s">
        <v>83</v>
      </c>
      <c r="C13" s="13">
        <f>+'KTW-2 - Rev Req'!C13</f>
        <v>2292849.1400000006</v>
      </c>
      <c r="D13" s="13">
        <f>+'KTW-2 - Rev Req'!D13</f>
        <v>149867.33880180493</v>
      </c>
      <c r="E13" s="13">
        <f>+'KTW-2 - Rev Req'!E13</f>
        <v>2442716.4788018055</v>
      </c>
      <c r="F13" s="13">
        <f>+'KTW-2 - Rev Req'!F13</f>
        <v>0</v>
      </c>
      <c r="G13" s="500">
        <f>+'KTW-2 - Rev Req'!G13</f>
        <v>2442716.4788018055</v>
      </c>
      <c r="H13" s="175"/>
      <c r="I13" s="13">
        <f>G13</f>
        <v>2442716.4788018055</v>
      </c>
      <c r="J13" s="14">
        <f>+'KTW-2 - Rev Req'!H13</f>
        <v>0</v>
      </c>
      <c r="K13" s="13">
        <f>+'KTW-2 - Rev Req'!I13</f>
        <v>2442716.4788018055</v>
      </c>
      <c r="L13" s="14"/>
      <c r="M13" s="381">
        <f>+'KTW-2 - Rev Req'!K13</f>
        <v>2442716.4788018055</v>
      </c>
    </row>
    <row r="14" spans="1:13" ht="15" x14ac:dyDescent="0.2">
      <c r="A14" s="5">
        <v>3</v>
      </c>
      <c r="B14" s="1" t="s">
        <v>87</v>
      </c>
      <c r="C14" s="15">
        <f>+'KTW-2 - Rev Req'!C14</f>
        <v>-2096028.5439839992</v>
      </c>
      <c r="D14" s="15">
        <f>+'KTW-2 - Rev Req'!D14</f>
        <v>2363456.8723413325</v>
      </c>
      <c r="E14" s="15">
        <f>+'KTW-2 - Rev Req'!E14</f>
        <v>267428.32835733332</v>
      </c>
      <c r="F14" s="15">
        <f>+'KTW-2 - Rev Req'!F14</f>
        <v>0</v>
      </c>
      <c r="G14" s="501">
        <f>+'KTW-2 - Rev Req'!G14</f>
        <v>267428.32835733332</v>
      </c>
      <c r="H14" s="175"/>
      <c r="I14" s="15">
        <f>G14</f>
        <v>267428.32835733332</v>
      </c>
      <c r="J14" s="16">
        <f>+'KTW-2 - Rev Req'!H14</f>
        <v>0</v>
      </c>
      <c r="K14" s="15">
        <f>+'KTW-2 - Rev Req'!I14</f>
        <v>267428.32835733332</v>
      </c>
      <c r="L14" s="16"/>
      <c r="M14" s="382">
        <f>+'KTW-2 - Rev Req'!K14</f>
        <v>267428.32835733332</v>
      </c>
    </row>
    <row r="15" spans="1:13" ht="15" x14ac:dyDescent="0.2">
      <c r="A15" s="5"/>
      <c r="B15" s="1"/>
      <c r="C15" s="13"/>
      <c r="D15" s="13"/>
      <c r="E15" s="13"/>
      <c r="F15" s="14"/>
      <c r="G15" s="381"/>
      <c r="H15" s="189"/>
      <c r="I15" s="13"/>
      <c r="J15" s="14"/>
      <c r="K15" s="13"/>
      <c r="L15" s="14"/>
      <c r="M15" s="381"/>
    </row>
    <row r="16" spans="1:13" ht="15" x14ac:dyDescent="0.2">
      <c r="A16" s="5">
        <v>4</v>
      </c>
      <c r="B16" s="1" t="s">
        <v>96</v>
      </c>
      <c r="C16" s="13">
        <f>SUM(C12:C15)</f>
        <v>71875560.955541387</v>
      </c>
      <c r="D16" s="13">
        <f>SUM(D12:D15)</f>
        <v>6725322.0349541884</v>
      </c>
      <c r="E16" s="13">
        <f>SUM(E12:E15)</f>
        <v>78600882.990495577</v>
      </c>
      <c r="F16" s="14">
        <f>SUM(F12:F15)</f>
        <v>6255809.5678384118</v>
      </c>
      <c r="G16" s="381">
        <f>SUM(G12:G15)</f>
        <v>84856692.558333993</v>
      </c>
      <c r="H16" s="189"/>
      <c r="I16" s="13">
        <f>G16</f>
        <v>84856692.558333993</v>
      </c>
      <c r="J16" s="14">
        <f>+'KTW-2 - Rev Req'!H16</f>
        <v>0</v>
      </c>
      <c r="K16" s="13">
        <f>+'KTW-2 - Rev Req'!I16</f>
        <v>84856692.558333993</v>
      </c>
      <c r="L16" s="14">
        <f>+'KTW-2 - Rev Req'!J16</f>
        <v>3150116.0024598953</v>
      </c>
      <c r="M16" s="381">
        <f>+'KTW-2 - Rev Req'!K16</f>
        <v>88006808.560793892</v>
      </c>
    </row>
    <row r="17" spans="1:13" ht="15" x14ac:dyDescent="0.2">
      <c r="A17" s="5"/>
      <c r="B17" s="18"/>
      <c r="C17" s="13"/>
      <c r="D17" s="13"/>
      <c r="E17" s="13"/>
      <c r="F17" s="14"/>
      <c r="G17" s="381"/>
      <c r="H17" s="189"/>
      <c r="I17" s="13"/>
      <c r="J17" s="14"/>
      <c r="K17" s="13"/>
      <c r="L17" s="14"/>
      <c r="M17" s="381"/>
    </row>
    <row r="18" spans="1:13" ht="15" x14ac:dyDescent="0.2">
      <c r="A18" s="5"/>
      <c r="B18" s="1" t="s">
        <v>103</v>
      </c>
      <c r="C18" s="13"/>
      <c r="D18" s="13"/>
      <c r="E18" s="13"/>
      <c r="F18" s="14"/>
      <c r="G18" s="381"/>
      <c r="H18" s="189"/>
      <c r="I18" s="13"/>
      <c r="J18" s="14"/>
      <c r="K18" s="13"/>
      <c r="L18" s="14"/>
      <c r="M18" s="381"/>
    </row>
    <row r="19" spans="1:13" ht="15" x14ac:dyDescent="0.2">
      <c r="A19" s="5">
        <v>5</v>
      </c>
      <c r="B19" s="1" t="s">
        <v>105</v>
      </c>
      <c r="C19" s="13">
        <f>+'KTW-2 - Rev Req'!C19</f>
        <v>24325146.627437029</v>
      </c>
      <c r="D19" s="13">
        <f>+'KTW-2 - Rev Req'!D19</f>
        <v>4403405.372562971</v>
      </c>
      <c r="E19" s="13">
        <f>+'KTW-2 - Rev Req'!E19</f>
        <v>28728552</v>
      </c>
      <c r="F19" s="13">
        <f>+'KTW-2 - Rev Req'!F19</f>
        <v>0</v>
      </c>
      <c r="G19" s="500">
        <f>+'KTW-2 - Rev Req'!G19</f>
        <v>28728552</v>
      </c>
      <c r="H19" s="175"/>
      <c r="I19" s="13">
        <f>G19</f>
        <v>28728552</v>
      </c>
      <c r="J19" s="14">
        <f>+'KTW-2 - Rev Req'!H19</f>
        <v>0</v>
      </c>
      <c r="K19" s="13">
        <f>+'KTW-2 - Rev Req'!I19</f>
        <v>28728552</v>
      </c>
      <c r="L19" s="14">
        <f>+'KTW-2 - Rev Req'!J19</f>
        <v>0</v>
      </c>
      <c r="M19" s="381">
        <f>+'KTW-2 - Rev Req'!K19</f>
        <v>28728552</v>
      </c>
    </row>
    <row r="20" spans="1:13" ht="15" x14ac:dyDescent="0.2">
      <c r="A20" s="5">
        <v>6</v>
      </c>
      <c r="B20" s="1" t="s">
        <v>110</v>
      </c>
      <c r="C20" s="13">
        <f>+'KTW-2 - Rev Req'!C20</f>
        <v>110387.16508799998</v>
      </c>
      <c r="D20" s="13">
        <f>+'KTW-2 - Rev Req'!D20</f>
        <v>-21698.480459224578</v>
      </c>
      <c r="E20" s="13">
        <f>+'KTW-2 - Rev Req'!E20</f>
        <v>88688.684628775402</v>
      </c>
      <c r="F20" s="13">
        <f>+'KTW-2 - Rev Req'!F20</f>
        <v>6560.4945851024304</v>
      </c>
      <c r="G20" s="500">
        <f>+'KTW-2 - Rev Req'!G20</f>
        <v>95249.179213877826</v>
      </c>
      <c r="H20" s="175"/>
      <c r="I20" s="13">
        <f>G20</f>
        <v>95249.179213877826</v>
      </c>
      <c r="J20" s="14">
        <f>+'KTW-2 - Rev Req'!H20</f>
        <v>0</v>
      </c>
      <c r="K20" s="13">
        <f>+'KTW-2 - Rev Req'!I20</f>
        <v>95249.179213877826</v>
      </c>
      <c r="L20" s="14">
        <f>+'KTW-2 - Rev Req'!J20</f>
        <v>3303.5402936223891</v>
      </c>
      <c r="M20" s="381">
        <f>+'KTW-2 - Rev Req'!K20</f>
        <v>98552.719507500209</v>
      </c>
    </row>
    <row r="21" spans="1:13" ht="15" x14ac:dyDescent="0.2">
      <c r="A21" s="5">
        <v>7</v>
      </c>
      <c r="B21" s="1" t="s">
        <v>111</v>
      </c>
      <c r="C21" s="15">
        <f>+'KTW-2 - Rev Req'!C21</f>
        <v>18749534.194650553</v>
      </c>
      <c r="D21" s="15">
        <f>+'KTW-2 - Rev Req'!D21</f>
        <v>696463.54271876882</v>
      </c>
      <c r="E21" s="15">
        <f>+'KTW-2 - Rev Req'!E21</f>
        <v>19445997.737369321</v>
      </c>
      <c r="F21" s="15">
        <f>+'KTW-2 - Rev Req'!F21</f>
        <v>0</v>
      </c>
      <c r="G21" s="501">
        <f>+'KTW-2 - Rev Req'!G21</f>
        <v>19445997.737369321</v>
      </c>
      <c r="H21" s="175"/>
      <c r="I21" s="15">
        <f>G21</f>
        <v>19445997.737369321</v>
      </c>
      <c r="J21" s="16">
        <f>+'KTW-2 - Rev Req'!H21</f>
        <v>459931.69999999984</v>
      </c>
      <c r="K21" s="15">
        <f>+'KTW-2 - Rev Req'!I21</f>
        <v>19905929.437369321</v>
      </c>
      <c r="L21" s="16">
        <f>+'KTW-2 - Rev Req'!J21</f>
        <v>0</v>
      </c>
      <c r="M21" s="382">
        <f>+'KTW-2 - Rev Req'!K21</f>
        <v>19905929.437369321</v>
      </c>
    </row>
    <row r="22" spans="1:13" ht="15" x14ac:dyDescent="0.2">
      <c r="A22" s="5"/>
      <c r="B22" s="1"/>
      <c r="C22" s="13"/>
      <c r="D22" s="13"/>
      <c r="E22" s="13"/>
      <c r="F22" s="14"/>
      <c r="G22" s="381"/>
      <c r="H22" s="189"/>
      <c r="I22" s="13"/>
      <c r="J22" s="14"/>
      <c r="K22" s="13"/>
      <c r="L22" s="14"/>
      <c r="M22" s="381"/>
    </row>
    <row r="23" spans="1:13" ht="15" x14ac:dyDescent="0.2">
      <c r="A23" s="5">
        <v>8</v>
      </c>
      <c r="B23" s="1" t="s">
        <v>119</v>
      </c>
      <c r="C23" s="13">
        <f>SUM(C19:C22)</f>
        <v>43185067.987175584</v>
      </c>
      <c r="D23" s="13">
        <f>SUM(D18:D21)</f>
        <v>5078170.4348225156</v>
      </c>
      <c r="E23" s="13">
        <f>SUM(E18:E21)</f>
        <v>48263238.421998098</v>
      </c>
      <c r="F23" s="14">
        <f>SUM(F18:F21)</f>
        <v>6560.4945851024304</v>
      </c>
      <c r="G23" s="381">
        <f>SUM(G18:G21)</f>
        <v>48269798.916583195</v>
      </c>
      <c r="H23" s="189"/>
      <c r="I23" s="13">
        <f>G23</f>
        <v>48269798.916583195</v>
      </c>
      <c r="J23" s="14">
        <f>+'KTW-2 - Rev Req'!H23</f>
        <v>459931.69999999984</v>
      </c>
      <c r="K23" s="13">
        <f>+'KTW-2 - Rev Req'!I23</f>
        <v>48729730.616583198</v>
      </c>
      <c r="L23" s="14">
        <f>+'KTW-2 - Rev Req'!J23</f>
        <v>3303.5402936223891</v>
      </c>
      <c r="M23" s="381">
        <f>+'KTW-2 - Rev Req'!K23</f>
        <v>48733034.156876817</v>
      </c>
    </row>
    <row r="24" spans="1:13" ht="15" x14ac:dyDescent="0.2">
      <c r="A24" s="5"/>
      <c r="B24" s="2"/>
      <c r="C24" s="13"/>
      <c r="D24" s="13"/>
      <c r="E24" s="13"/>
      <c r="F24" s="14"/>
      <c r="G24" s="381"/>
      <c r="H24" s="189"/>
      <c r="I24" s="13"/>
      <c r="J24" s="14"/>
      <c r="K24" s="13"/>
      <c r="L24" s="14"/>
      <c r="M24" s="381"/>
    </row>
    <row r="25" spans="1:13" ht="15" x14ac:dyDescent="0.2">
      <c r="A25" s="5"/>
      <c r="B25" s="1"/>
      <c r="C25" s="13"/>
      <c r="D25" s="13"/>
      <c r="E25" s="13"/>
      <c r="F25" s="14"/>
      <c r="G25" s="381"/>
      <c r="H25" s="189"/>
      <c r="I25" s="13"/>
      <c r="J25" s="14"/>
      <c r="K25" s="13"/>
      <c r="L25" s="14"/>
      <c r="M25" s="381"/>
    </row>
    <row r="26" spans="1:13" ht="15" x14ac:dyDescent="0.2">
      <c r="A26" s="5">
        <v>9</v>
      </c>
      <c r="B26" s="1" t="s">
        <v>124</v>
      </c>
      <c r="C26" s="13">
        <f>+'KTW-2 - Rev Req'!C26</f>
        <v>1405065.9371478483</v>
      </c>
      <c r="D26" s="13">
        <f>+'KTW-2 - Rev Req'!D26</f>
        <v>-155881</v>
      </c>
      <c r="E26" s="13">
        <f>+'KTW-2 - Rev Req'!E26</f>
        <v>1249184.9371478483</v>
      </c>
      <c r="F26" s="13">
        <f>+'KTW-2 - Rev Req'!F26</f>
        <v>1259110.3706085442</v>
      </c>
      <c r="G26" s="500">
        <f>+'KTW-2 - Rev Req'!G26</f>
        <v>2508295.3077563923</v>
      </c>
      <c r="H26" s="175"/>
      <c r="I26" s="13">
        <f>G26</f>
        <v>2508295.3077563923</v>
      </c>
      <c r="J26" s="14">
        <f>+'KTW-2 - Rev Req'!H26</f>
        <v>-371753</v>
      </c>
      <c r="K26" s="13">
        <f>+'KTW-2 - Rev Req'!I26</f>
        <v>2136542.3077563923</v>
      </c>
      <c r="L26" s="14">
        <f>+'KTW-2 - Rev Req'!J26</f>
        <v>634025.64996678557</v>
      </c>
      <c r="M26" s="381">
        <f>+'KTW-2 - Rev Req'!K26</f>
        <v>2770567.957723178</v>
      </c>
    </row>
    <row r="27" spans="1:13" ht="15" x14ac:dyDescent="0.2">
      <c r="A27" s="5">
        <v>10</v>
      </c>
      <c r="B27" s="1" t="s">
        <v>125</v>
      </c>
      <c r="C27" s="13">
        <f>+'KTW-2 - Rev Req'!C27</f>
        <v>1671587.02</v>
      </c>
      <c r="D27" s="13">
        <f>+'KTW-2 - Rev Req'!D27</f>
        <v>-50455.099999999067</v>
      </c>
      <c r="E27" s="13">
        <f>+'KTW-2 - Rev Req'!E27</f>
        <v>1621131.9200000009</v>
      </c>
      <c r="F27" s="13">
        <f>+'KTW-2 - Rev Req'!F27</f>
        <v>0</v>
      </c>
      <c r="G27" s="500">
        <f>+'KTW-2 - Rev Req'!G27</f>
        <v>1621131.9200000009</v>
      </c>
      <c r="H27" s="175"/>
      <c r="I27" s="13">
        <f>G27</f>
        <v>1621131.9200000009</v>
      </c>
      <c r="J27" s="14">
        <f>+'KTW-2 - Rev Req'!H27</f>
        <v>0</v>
      </c>
      <c r="K27" s="13">
        <f>+'KTW-2 - Rev Req'!I27</f>
        <v>1621131.9200000009</v>
      </c>
      <c r="L27" s="14">
        <f>+'KTW-2 - Rev Req'!J27</f>
        <v>0</v>
      </c>
      <c r="M27" s="381">
        <f>+'KTW-2 - Rev Req'!K27</f>
        <v>1621131.9200000009</v>
      </c>
    </row>
    <row r="28" spans="1:13" ht="15" x14ac:dyDescent="0.2">
      <c r="A28" s="5">
        <v>11</v>
      </c>
      <c r="B28" s="1" t="s">
        <v>129</v>
      </c>
      <c r="C28" s="13">
        <f>+'KTW-2 - Rev Req'!C28</f>
        <v>3814799.1242389199</v>
      </c>
      <c r="D28" s="13">
        <f>+'KTW-2 - Rev Req'!D28</f>
        <v>303465.71493951831</v>
      </c>
      <c r="E28" s="13">
        <f>+'KTW-2 - Rev Req'!E28</f>
        <v>4118264.8391784383</v>
      </c>
      <c r="F28" s="13">
        <f>+'KTW-2 - Rev Req'!F28</f>
        <v>253485.40368881245</v>
      </c>
      <c r="G28" s="500">
        <f>+'KTW-2 - Rev Req'!G28</f>
        <v>4371750.2428672509</v>
      </c>
      <c r="H28" s="175"/>
      <c r="I28" s="13">
        <f>G28</f>
        <v>4371750.2428672509</v>
      </c>
      <c r="J28" s="14">
        <f>+'KTW-2 - Rev Req'!H28</f>
        <v>0</v>
      </c>
      <c r="K28" s="13">
        <f>+'KTW-2 - Rev Req'!I28</f>
        <v>4371750.2428672509</v>
      </c>
      <c r="L28" s="14">
        <f>+'KTW-2 - Rev Req'!J28</f>
        <v>127642.70041967496</v>
      </c>
      <c r="M28" s="381">
        <f>+'KTW-2 - Rev Req'!K28</f>
        <v>4499392.9432869256</v>
      </c>
    </row>
    <row r="29" spans="1:13" ht="15" x14ac:dyDescent="0.2">
      <c r="A29" s="5">
        <v>12</v>
      </c>
      <c r="B29" s="1" t="s">
        <v>130</v>
      </c>
      <c r="C29" s="15">
        <f>+'KTW-2 - Rev Req'!C29</f>
        <v>10935860.024140656</v>
      </c>
      <c r="D29" s="15">
        <f>+'KTW-2 - Rev Req'!D29</f>
        <v>1535700.9412241259</v>
      </c>
      <c r="E29" s="15">
        <f>+'KTW-2 - Rev Req'!E29</f>
        <v>12471560.965364782</v>
      </c>
      <c r="F29" s="15">
        <f>+'KTW-2 - Rev Req'!F29</f>
        <v>0</v>
      </c>
      <c r="G29" s="501">
        <f>+'KTW-2 - Rev Req'!G29</f>
        <v>12471560.965364782</v>
      </c>
      <c r="H29" s="175"/>
      <c r="I29" s="15">
        <f>G29</f>
        <v>12471560.965364782</v>
      </c>
      <c r="J29" s="16">
        <f>+'KTW-2 - Rev Req'!H29</f>
        <v>816145.51874545321</v>
      </c>
      <c r="K29" s="15">
        <f>+'KTW-2 - Rev Req'!I29</f>
        <v>13287706.484110236</v>
      </c>
      <c r="L29" s="16">
        <f>+'KTW-2 - Rev Req'!J29</f>
        <v>0</v>
      </c>
      <c r="M29" s="382">
        <f>+'KTW-2 - Rev Req'!K29</f>
        <v>13287706.484110236</v>
      </c>
    </row>
    <row r="30" spans="1:13" ht="15" x14ac:dyDescent="0.2">
      <c r="A30" s="5"/>
      <c r="B30" s="1"/>
      <c r="C30" s="13"/>
      <c r="D30" s="13"/>
      <c r="E30" s="13"/>
      <c r="F30" s="14"/>
      <c r="G30" s="381"/>
      <c r="H30" s="189"/>
      <c r="I30" s="13"/>
      <c r="J30" s="14"/>
      <c r="K30" s="13"/>
      <c r="L30" s="14"/>
      <c r="M30" s="381"/>
    </row>
    <row r="31" spans="1:13" ht="15" x14ac:dyDescent="0.2">
      <c r="A31" s="5">
        <v>13</v>
      </c>
      <c r="B31" s="1" t="s">
        <v>133</v>
      </c>
      <c r="C31" s="15">
        <f>SUM(C23:C30)</f>
        <v>61012380.092703015</v>
      </c>
      <c r="D31" s="15">
        <f>SUM(D23:D30)</f>
        <v>6711000.9909861609</v>
      </c>
      <c r="E31" s="15">
        <f>SUM(E23:E30)</f>
        <v>67723381.083689168</v>
      </c>
      <c r="F31" s="16">
        <f>SUM(F23:F30)</f>
        <v>1519156.268882459</v>
      </c>
      <c r="G31" s="382">
        <f>SUM(G23:G30)</f>
        <v>69242537.352571622</v>
      </c>
      <c r="H31" s="189"/>
      <c r="I31" s="15">
        <f>G31</f>
        <v>69242537.352571622</v>
      </c>
      <c r="J31" s="16">
        <f>+'KTW-2 - Rev Req'!H31</f>
        <v>904324.21874545305</v>
      </c>
      <c r="K31" s="15">
        <f>+'KTW-2 - Rev Req'!I31</f>
        <v>70146861.571317077</v>
      </c>
      <c r="L31" s="16">
        <f>+'KTW-2 - Rev Req'!J31</f>
        <v>764971.89068008296</v>
      </c>
      <c r="M31" s="382">
        <f>+'KTW-2 - Rev Req'!K31</f>
        <v>70911833.461997166</v>
      </c>
    </row>
    <row r="32" spans="1:13" ht="15" x14ac:dyDescent="0.2">
      <c r="A32" s="5"/>
      <c r="B32" s="1"/>
      <c r="C32" s="8"/>
      <c r="D32" s="8"/>
      <c r="E32" s="8"/>
      <c r="F32" s="8"/>
      <c r="G32" s="90"/>
      <c r="H32" s="21"/>
      <c r="I32" s="8"/>
      <c r="J32" s="8"/>
      <c r="K32" s="8"/>
      <c r="L32" s="8"/>
      <c r="M32" s="90"/>
    </row>
    <row r="33" spans="1:13" ht="15.75" thickBot="1" x14ac:dyDescent="0.25">
      <c r="A33" s="5">
        <v>14</v>
      </c>
      <c r="B33" s="1" t="s">
        <v>137</v>
      </c>
      <c r="C33" s="19">
        <f>C16-C31</f>
        <v>10863180.862838373</v>
      </c>
      <c r="D33" s="19">
        <f>D16-D31</f>
        <v>14321.043968027458</v>
      </c>
      <c r="E33" s="19">
        <f>E16-E31</f>
        <v>10877501.906806409</v>
      </c>
      <c r="F33" s="19">
        <f>F16-F31</f>
        <v>4736653.2989559527</v>
      </c>
      <c r="G33" s="383">
        <f>G16-G31</f>
        <v>15614155.205762371</v>
      </c>
      <c r="H33" s="193"/>
      <c r="I33" s="19">
        <f>G33</f>
        <v>15614155.205762371</v>
      </c>
      <c r="J33" s="19">
        <f>+'KTW-2 - Rev Req'!H33</f>
        <v>-904324.21874545305</v>
      </c>
      <c r="K33" s="19">
        <f>+'KTW-2 - Rev Req'!I33</f>
        <v>14709830.987016916</v>
      </c>
      <c r="L33" s="19">
        <f>+'KTW-2 - Rev Req'!J33</f>
        <v>2385144.1117798123</v>
      </c>
      <c r="M33" s="383">
        <f>+'KTW-2 - Rev Req'!K33</f>
        <v>17094975.098796729</v>
      </c>
    </row>
    <row r="34" spans="1:13" ht="15.75" thickTop="1" x14ac:dyDescent="0.2">
      <c r="A34" s="5"/>
      <c r="B34" s="1"/>
      <c r="C34" s="20"/>
      <c r="D34" s="20"/>
      <c r="E34" s="20"/>
      <c r="F34" s="20"/>
      <c r="G34" s="384"/>
      <c r="H34" s="193"/>
      <c r="I34" s="20"/>
      <c r="J34" s="20"/>
      <c r="K34" s="20"/>
      <c r="L34" s="20"/>
      <c r="M34" s="384"/>
    </row>
    <row r="35" spans="1:13" ht="15.75" thickBot="1" x14ac:dyDescent="0.25">
      <c r="A35" s="5">
        <v>15</v>
      </c>
      <c r="B35" s="1" t="s">
        <v>140</v>
      </c>
      <c r="C35" s="19">
        <f>+'KTW-2 - Rev Req'!C35</f>
        <v>194666558.94072384</v>
      </c>
      <c r="D35" s="19">
        <f>+'KTW-2 - Rev Req'!D35</f>
        <v>31200184.056402057</v>
      </c>
      <c r="E35" s="19">
        <f>+'KTW-2 - Rev Req'!E35</f>
        <v>225866742.99712589</v>
      </c>
      <c r="F35" s="19">
        <f>+'KTW-2 - Rev Req'!F35</f>
        <v>0</v>
      </c>
      <c r="G35" s="383">
        <f>+'KTW-2 - Rev Req'!G35</f>
        <v>225866742.99712589</v>
      </c>
      <c r="H35" s="193"/>
      <c r="I35" s="19">
        <f>G35</f>
        <v>225866742.99712589</v>
      </c>
      <c r="J35" s="32">
        <f>+'KTW-2 - Rev Req'!H35</f>
        <v>21420708.367492773</v>
      </c>
      <c r="K35" s="19">
        <f>+'KTW-2 - Rev Req'!I35</f>
        <v>247287451.36461866</v>
      </c>
      <c r="L35" s="32">
        <f>+'KTW-2 - Rev Req'!J35</f>
        <v>0</v>
      </c>
      <c r="M35" s="385">
        <f>+'KTW-2 - Rev Req'!K35</f>
        <v>247287451.36461866</v>
      </c>
    </row>
    <row r="36" spans="1:13" ht="15.75" thickTop="1" x14ac:dyDescent="0.2">
      <c r="A36" s="5"/>
      <c r="B36" s="1"/>
      <c r="C36" s="11"/>
      <c r="D36" s="11"/>
      <c r="E36" s="11"/>
      <c r="F36" s="11"/>
      <c r="G36" s="91"/>
      <c r="H36" s="33"/>
      <c r="I36" s="11"/>
      <c r="J36" s="11"/>
      <c r="K36" s="11"/>
      <c r="L36" s="8"/>
      <c r="M36" s="90"/>
    </row>
    <row r="37" spans="1:13" ht="15" x14ac:dyDescent="0.2">
      <c r="A37" s="5"/>
      <c r="B37" s="1"/>
      <c r="C37" s="8"/>
      <c r="D37" s="21"/>
      <c r="E37" s="8"/>
      <c r="F37" s="8"/>
      <c r="G37" s="90"/>
      <c r="H37" s="21"/>
      <c r="I37" s="8"/>
      <c r="J37" s="8"/>
      <c r="K37" s="8"/>
      <c r="L37" s="8"/>
      <c r="M37" s="90"/>
    </row>
    <row r="38" spans="1:13" ht="15.75" thickBot="1" x14ac:dyDescent="0.25">
      <c r="A38" s="5">
        <v>16</v>
      </c>
      <c r="B38" s="1" t="s">
        <v>144</v>
      </c>
      <c r="C38" s="22">
        <f>ROUND(+C33/C35,5)</f>
        <v>5.5800000000000002E-2</v>
      </c>
      <c r="D38" s="21"/>
      <c r="E38" s="22">
        <f>ROUND(+E33/E35,5)</f>
        <v>4.8160000000000001E-2</v>
      </c>
      <c r="F38" s="21"/>
      <c r="G38" s="496">
        <f>'KTW-3 p8 - Cost of Cap'!E15</f>
        <v>6.9129999999999997E-2</v>
      </c>
      <c r="H38" s="376"/>
      <c r="I38" s="22">
        <f>G38</f>
        <v>6.9129999999999997E-2</v>
      </c>
      <c r="J38" s="376"/>
      <c r="K38" s="22">
        <f>+'KTW-2 - Rev Req'!I38</f>
        <v>5.9479999999999998E-2</v>
      </c>
      <c r="L38" s="23"/>
      <c r="M38" s="496">
        <f>+'KTW-2 - Rev Req'!K38</f>
        <v>6.9129999999999997E-2</v>
      </c>
    </row>
    <row r="39" spans="1:13" ht="15.75" thickTop="1" x14ac:dyDescent="0.2">
      <c r="A39" s="5"/>
      <c r="B39" s="1"/>
      <c r="C39" s="23"/>
      <c r="D39" s="21"/>
      <c r="E39" s="23"/>
      <c r="F39" s="21"/>
      <c r="G39" s="386"/>
      <c r="H39" s="376"/>
      <c r="I39" s="23"/>
      <c r="J39" s="23"/>
      <c r="K39" s="23"/>
      <c r="L39" s="8"/>
      <c r="M39" s="386"/>
    </row>
    <row r="40" spans="1:13" ht="15.75" thickBot="1" x14ac:dyDescent="0.25">
      <c r="A40" s="5">
        <v>17</v>
      </c>
      <c r="B40" s="1" t="s">
        <v>147</v>
      </c>
      <c r="C40" s="22">
        <f>((+C38-'KTW-3 p8 - Cost of Cap'!$E$11-'KTW-3 p8 - Cost of Cap'!$E$12)/'KTW-3 p8 - Cost of Cap'!$C$13)</f>
        <v>6.6795918367346954E-2</v>
      </c>
      <c r="D40" s="21"/>
      <c r="E40" s="22">
        <f>((+E38-'KTW-3 p8 - Cost of Cap'!$E$11-'KTW-3 p8 - Cost of Cap'!$E$12)/'KTW-3 p8 - Cost of Cap'!$C$13)</f>
        <v>5.1204081632653067E-2</v>
      </c>
      <c r="F40" s="21"/>
      <c r="G40" s="387">
        <f>((+G38-'KTW-3 p8 - Cost of Cap'!$E$11-'KTW-3 p8 - Cost of Cap'!$E$12)/'KTW-3 p8 - Cost of Cap'!$C$13)</f>
        <v>9.4000000000000014E-2</v>
      </c>
      <c r="H40" s="376"/>
      <c r="I40" s="22">
        <f>G40</f>
        <v>9.4000000000000014E-2</v>
      </c>
      <c r="J40" s="376"/>
      <c r="K40" s="22">
        <f>+'KTW-2 - Rev Req'!I40</f>
        <v>7.4306122448979592E-2</v>
      </c>
      <c r="L40" s="8"/>
      <c r="M40" s="387">
        <f>+'KTW-2 - Rev Req'!K40</f>
        <v>9.4000000000000014E-2</v>
      </c>
    </row>
    <row r="41" spans="1:13" ht="13.5" thickTop="1" x14ac:dyDescent="0.2"/>
  </sheetData>
  <customSheetViews>
    <customSheetView guid="{A7BD13BF-7E57-44D7-9B02-43E2FA430390}">
      <selection activeCell="L28" sqref="L28"/>
      <pageMargins left="0.7" right="0.7" top="0.75" bottom="0.75" header="0.3" footer="0.3"/>
    </customSheetView>
    <customSheetView guid="{C29552AC-6B79-447F-B962-713ED43BDF1A}">
      <selection activeCell="F12" sqref="F12"/>
      <pageMargins left="0.7" right="0.7" top="0.75" bottom="0.75" header="0.3" footer="0.3"/>
    </customSheetView>
    <customSheetView guid="{6ED201AA-AB2E-4FE7-B06B-B07932512C4D}">
      <selection activeCell="F12" sqref="F12"/>
      <pageMargins left="0.7" right="0.7" top="0.75" bottom="0.75" header="0.3" footer="0.3"/>
    </customSheetView>
    <customSheetView guid="{D711E10B-9441-4991-A2CB-ED400E35790D}">
      <selection activeCell="L28" sqref="L28"/>
      <pageMargins left="0.7" right="0.7" top="0.75" bottom="0.75" header="0.3" footer="0.3"/>
    </customSheetView>
  </customSheetViews>
  <mergeCells count="2">
    <mergeCell ref="C5:G5"/>
    <mergeCell ref="I5:M5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6">
    <pageSetUpPr fitToPage="1"/>
  </sheetPr>
  <dimension ref="A1:R31"/>
  <sheetViews>
    <sheetView topLeftCell="B1" zoomScale="90" zoomScaleNormal="90" workbookViewId="0">
      <selection activeCell="C9" sqref="C9"/>
    </sheetView>
  </sheetViews>
  <sheetFormatPr defaultColWidth="9.140625" defaultRowHeight="12.75" x14ac:dyDescent="0.2"/>
  <cols>
    <col min="1" max="1" width="1.5703125" style="301" customWidth="1"/>
    <col min="2" max="2" width="31.140625" style="301" customWidth="1"/>
    <col min="3" max="15" width="14.42578125" style="301" customWidth="1"/>
    <col min="16" max="16" width="14" style="301" bestFit="1" customWidth="1"/>
    <col min="17" max="16384" width="9.140625" style="301"/>
  </cols>
  <sheetData>
    <row r="1" spans="1:18" ht="15" x14ac:dyDescent="0.25">
      <c r="A1" s="358" t="s">
        <v>631</v>
      </c>
    </row>
    <row r="2" spans="1:18" ht="15" x14ac:dyDescent="0.25">
      <c r="A2" s="358" t="s">
        <v>632</v>
      </c>
    </row>
    <row r="3" spans="1:18" ht="16.5" customHeight="1" x14ac:dyDescent="0.25">
      <c r="A3" s="358" t="s">
        <v>633</v>
      </c>
    </row>
    <row r="4" spans="1:18" ht="16.5" customHeight="1" x14ac:dyDescent="0.2">
      <c r="A4" s="370"/>
    </row>
    <row r="7" spans="1:18" x14ac:dyDescent="0.2">
      <c r="C7" s="359">
        <v>43738</v>
      </c>
      <c r="D7" s="359">
        <v>43769</v>
      </c>
      <c r="E7" s="359">
        <v>43799</v>
      </c>
      <c r="F7" s="359">
        <v>43830</v>
      </c>
      <c r="G7" s="359">
        <v>43861</v>
      </c>
      <c r="H7" s="359">
        <v>43890</v>
      </c>
      <c r="I7" s="359">
        <v>43921</v>
      </c>
      <c r="J7" s="359">
        <v>43951</v>
      </c>
      <c r="K7" s="359">
        <v>43982</v>
      </c>
      <c r="L7" s="359">
        <v>44012</v>
      </c>
      <c r="M7" s="359">
        <v>44043</v>
      </c>
      <c r="N7" s="359">
        <v>44074</v>
      </c>
      <c r="O7" s="359">
        <v>44104</v>
      </c>
      <c r="P7" s="461" t="s">
        <v>436</v>
      </c>
      <c r="Q7" s="360"/>
      <c r="R7" s="360"/>
    </row>
    <row r="8" spans="1:18" x14ac:dyDescent="0.2">
      <c r="B8" s="301" t="s">
        <v>634</v>
      </c>
      <c r="C8" s="302">
        <f>[25]DIT!C7</f>
        <v>-220220039.12</v>
      </c>
      <c r="D8" s="302">
        <f>[25]DIT!D7</f>
        <v>-220246153.12</v>
      </c>
      <c r="E8" s="302">
        <f>[25]DIT!E7</f>
        <v>-221147601.12</v>
      </c>
      <c r="F8" s="302">
        <f>[25]DIT!F7</f>
        <v>-221280704.12</v>
      </c>
      <c r="G8" s="302">
        <f>[25]DIT!G7</f>
        <v>-222838587.12</v>
      </c>
      <c r="H8" s="302">
        <f>[25]DIT!H7</f>
        <v>-224019995.12</v>
      </c>
      <c r="I8" s="302">
        <f>[25]DIT!I7</f>
        <v>-225645978.12</v>
      </c>
      <c r="J8" s="302">
        <f>[25]DIT!J7</f>
        <v>-226014483.12</v>
      </c>
      <c r="K8" s="302">
        <f>[25]DIT!K7</f>
        <v>-225742112.12</v>
      </c>
      <c r="L8" s="302">
        <f>[25]DIT!L7</f>
        <v>-224996314.12</v>
      </c>
      <c r="M8" s="302">
        <f>[25]DIT!M7</f>
        <v>-224060299.12</v>
      </c>
      <c r="N8" s="302">
        <f>[25]DIT!N7</f>
        <v>-223212658.12</v>
      </c>
      <c r="O8" s="302">
        <f>[25]DIT!O7</f>
        <v>-222572247.12</v>
      </c>
      <c r="P8" s="460">
        <f t="shared" ref="P8:P18" si="0">(C8/2+SUM(D8:N8)+O8/2)/12</f>
        <v>-223383419.0366666</v>
      </c>
    </row>
    <row r="9" spans="1:18" x14ac:dyDescent="0.2">
      <c r="B9" s="301" t="s">
        <v>635</v>
      </c>
      <c r="C9" s="302">
        <f>[25]DIT!C8</f>
        <v>-76281312.579999998</v>
      </c>
      <c r="D9" s="302">
        <f>[25]DIT!D8</f>
        <v>-76292163.579999998</v>
      </c>
      <c r="E9" s="302">
        <f>[25]DIT!E8</f>
        <v>-76666729.579999998</v>
      </c>
      <c r="F9" s="302">
        <f>[25]DIT!F8</f>
        <v>-76805468.579999998</v>
      </c>
      <c r="G9" s="302">
        <f>[25]DIT!G8</f>
        <v>-77443451.579999998</v>
      </c>
      <c r="H9" s="302">
        <f>[25]DIT!H8</f>
        <v>-77927261.579999998</v>
      </c>
      <c r="I9" s="302">
        <f>[25]DIT!I8</f>
        <v>-78538499.579999998</v>
      </c>
      <c r="J9" s="302">
        <f>[25]DIT!J8</f>
        <v>-78684797.579999998</v>
      </c>
      <c r="K9" s="302">
        <f>[25]DIT!K8</f>
        <v>-78576665.579999998</v>
      </c>
      <c r="L9" s="302">
        <f>[25]DIT!L8</f>
        <v>-78282580.579999998</v>
      </c>
      <c r="M9" s="302">
        <f>[25]DIT!M8</f>
        <v>-77910474.579999998</v>
      </c>
      <c r="N9" s="302">
        <f>[25]DIT!N8</f>
        <v>-77573501.579999998</v>
      </c>
      <c r="O9" s="302">
        <f>[25]DIT!O8</f>
        <v>-77318606.579999998</v>
      </c>
      <c r="P9" s="460">
        <f t="shared" si="0"/>
        <v>-77625129.49666667</v>
      </c>
    </row>
    <row r="10" spans="1:18" x14ac:dyDescent="0.2">
      <c r="P10" s="460">
        <f t="shared" si="0"/>
        <v>0</v>
      </c>
    </row>
    <row r="11" spans="1:18" x14ac:dyDescent="0.2">
      <c r="B11" s="301" t="s">
        <v>636</v>
      </c>
      <c r="C11" s="302">
        <f>[25]DIT!C10</f>
        <v>-236239114.76179999</v>
      </c>
      <c r="D11" s="302">
        <f t="shared" ref="D11:O11" si="1">D8+(D9*0.21)</f>
        <v>-236267507.4718</v>
      </c>
      <c r="E11" s="302">
        <f t="shared" si="1"/>
        <v>-237247614.33180001</v>
      </c>
      <c r="F11" s="302">
        <f t="shared" si="1"/>
        <v>-237409852.52180001</v>
      </c>
      <c r="G11" s="302">
        <f t="shared" si="1"/>
        <v>-239101711.95179999</v>
      </c>
      <c r="H11" s="302">
        <f t="shared" si="1"/>
        <v>-240384720.05180001</v>
      </c>
      <c r="I11" s="302">
        <f t="shared" si="1"/>
        <v>-242139063.0318</v>
      </c>
      <c r="J11" s="302">
        <f t="shared" si="1"/>
        <v>-242538290.61180001</v>
      </c>
      <c r="K11" s="302">
        <f t="shared" si="1"/>
        <v>-242243211.89180002</v>
      </c>
      <c r="L11" s="302">
        <f t="shared" si="1"/>
        <v>-241435656.04179999</v>
      </c>
      <c r="M11" s="302">
        <f t="shared" si="1"/>
        <v>-240421498.7818</v>
      </c>
      <c r="N11" s="302">
        <f t="shared" si="1"/>
        <v>-239503093.45179999</v>
      </c>
      <c r="O11" s="302">
        <f t="shared" si="1"/>
        <v>-238809154.5018</v>
      </c>
      <c r="P11" s="460">
        <f t="shared" si="0"/>
        <v>-239684696.2309666</v>
      </c>
    </row>
    <row r="12" spans="1:18" x14ac:dyDescent="0.2">
      <c r="B12" s="301" t="s">
        <v>738</v>
      </c>
      <c r="C12" s="361">
        <f>[25]DIT!C11</f>
        <v>0.1067206669772393</v>
      </c>
      <c r="D12" s="361">
        <f>C12</f>
        <v>0.1067206669772393</v>
      </c>
      <c r="E12" s="361">
        <f t="shared" ref="E12:O12" si="2">D12</f>
        <v>0.1067206669772393</v>
      </c>
      <c r="F12" s="361">
        <f t="shared" si="2"/>
        <v>0.1067206669772393</v>
      </c>
      <c r="G12" s="361">
        <f t="shared" si="2"/>
        <v>0.1067206669772393</v>
      </c>
      <c r="H12" s="361">
        <f t="shared" si="2"/>
        <v>0.1067206669772393</v>
      </c>
      <c r="I12" s="361">
        <f t="shared" si="2"/>
        <v>0.1067206669772393</v>
      </c>
      <c r="J12" s="361">
        <f t="shared" si="2"/>
        <v>0.1067206669772393</v>
      </c>
      <c r="K12" s="361">
        <f t="shared" si="2"/>
        <v>0.1067206669772393</v>
      </c>
      <c r="L12" s="361">
        <f t="shared" si="2"/>
        <v>0.1067206669772393</v>
      </c>
      <c r="M12" s="361">
        <f t="shared" si="2"/>
        <v>0.1067206669772393</v>
      </c>
      <c r="N12" s="361">
        <f t="shared" si="2"/>
        <v>0.1067206669772393</v>
      </c>
      <c r="O12" s="361">
        <f t="shared" si="2"/>
        <v>0.1067206669772393</v>
      </c>
      <c r="P12" s="460">
        <f t="shared" si="0"/>
        <v>0.1067206669772393</v>
      </c>
    </row>
    <row r="13" spans="1:18" x14ac:dyDescent="0.2">
      <c r="B13" s="301" t="s">
        <v>637</v>
      </c>
      <c r="C13" s="362">
        <f t="shared" ref="C13:O13" si="3">C11*C12</f>
        <v>-25211595.893491872</v>
      </c>
      <c r="D13" s="362">
        <f t="shared" si="3"/>
        <v>-25214625.982440364</v>
      </c>
      <c r="E13" s="362">
        <f t="shared" si="3"/>
        <v>-25319223.640248533</v>
      </c>
      <c r="F13" s="362">
        <f t="shared" si="3"/>
        <v>-25336537.808094513</v>
      </c>
      <c r="G13" s="362">
        <f t="shared" si="3"/>
        <v>-25517094.174895842</v>
      </c>
      <c r="H13" s="362">
        <f t="shared" si="3"/>
        <v>-25654017.655065045</v>
      </c>
      <c r="I13" s="362">
        <f t="shared" si="3"/>
        <v>-25841242.307997484</v>
      </c>
      <c r="J13" s="362">
        <f t="shared" si="3"/>
        <v>-25883848.141610794</v>
      </c>
      <c r="K13" s="362">
        <f t="shared" si="3"/>
        <v>-25852357.143801603</v>
      </c>
      <c r="L13" s="362">
        <f t="shared" si="3"/>
        <v>-25766174.24486823</v>
      </c>
      <c r="M13" s="362">
        <f t="shared" si="3"/>
        <v>-25657942.705661222</v>
      </c>
      <c r="N13" s="362">
        <f t="shared" si="3"/>
        <v>-25559929.876288168</v>
      </c>
      <c r="O13" s="362">
        <f t="shared" si="3"/>
        <v>-25485872.248702683</v>
      </c>
      <c r="P13" s="460">
        <f t="shared" si="0"/>
        <v>-25579310.646005753</v>
      </c>
    </row>
    <row r="14" spans="1:18" x14ac:dyDescent="0.2">
      <c r="B14" s="301" t="s">
        <v>638</v>
      </c>
      <c r="C14" s="302">
        <f>[25]DIT!C13</f>
        <v>-14592172.229642</v>
      </c>
      <c r="D14" s="302">
        <f>[25]DIT!D13</f>
        <v>-14592172.229642</v>
      </c>
      <c r="E14" s="302">
        <f>[25]DIT!E13</f>
        <v>-14526064</v>
      </c>
      <c r="F14" s="302">
        <f>[25]DIT!F13</f>
        <v>-14480171</v>
      </c>
      <c r="G14" s="302">
        <f>[25]DIT!G13</f>
        <v>-14327229</v>
      </c>
      <c r="H14" s="302">
        <f>[25]DIT!H13</f>
        <v>-14211246</v>
      </c>
      <c r="I14" s="302">
        <f>[25]DIT!I13</f>
        <v>-14149112</v>
      </c>
      <c r="J14" s="302">
        <f>[25]DIT!J13</f>
        <v>-14121165</v>
      </c>
      <c r="K14" s="302">
        <f>[25]DIT!K13</f>
        <v>-14141821</v>
      </c>
      <c r="L14" s="302">
        <f>[25]DIT!L13</f>
        <v>-14194813</v>
      </c>
      <c r="M14" s="302">
        <f>[25]DIT!M13</f>
        <v>-14266699</v>
      </c>
      <c r="N14" s="302">
        <f>[25]DIT!N13</f>
        <v>-14331798</v>
      </c>
      <c r="O14" s="302">
        <f>[25]DIT!O13</f>
        <v>-14381526</v>
      </c>
      <c r="P14" s="460">
        <f>(C14/2+SUM(D14:N14)+O14/2)/12</f>
        <v>-14319094.945371917</v>
      </c>
    </row>
    <row r="15" spans="1:18" ht="13.5" thickBot="1" x14ac:dyDescent="0.25">
      <c r="B15" s="301" t="s">
        <v>639</v>
      </c>
      <c r="C15" s="363">
        <f t="shared" ref="C15:O15" si="4">SUM(C13:C14)</f>
        <v>-39803768.123133868</v>
      </c>
      <c r="D15" s="363">
        <f t="shared" si="4"/>
        <v>-39806798.212082364</v>
      </c>
      <c r="E15" s="363">
        <f t="shared" si="4"/>
        <v>-39845287.640248537</v>
      </c>
      <c r="F15" s="363">
        <f t="shared" si="4"/>
        <v>-39816708.808094516</v>
      </c>
      <c r="G15" s="363">
        <f t="shared" si="4"/>
        <v>-39844323.174895838</v>
      </c>
      <c r="H15" s="363">
        <f t="shared" si="4"/>
        <v>-39865263.655065045</v>
      </c>
      <c r="I15" s="363">
        <f t="shared" si="4"/>
        <v>-39990354.30799748</v>
      </c>
      <c r="J15" s="363">
        <f t="shared" si="4"/>
        <v>-40005013.141610794</v>
      </c>
      <c r="K15" s="363">
        <f t="shared" si="4"/>
        <v>-39994178.1438016</v>
      </c>
      <c r="L15" s="363">
        <f t="shared" si="4"/>
        <v>-39960987.244868234</v>
      </c>
      <c r="M15" s="363">
        <f t="shared" si="4"/>
        <v>-39924641.705661222</v>
      </c>
      <c r="N15" s="363">
        <f t="shared" si="4"/>
        <v>-39891727.876288168</v>
      </c>
      <c r="O15" s="363">
        <f t="shared" si="4"/>
        <v>-39867398.248702683</v>
      </c>
      <c r="P15" s="460">
        <f t="shared" si="0"/>
        <v>-39898405.591377668</v>
      </c>
    </row>
    <row r="16" spans="1:18" ht="13.5" thickTop="1" x14ac:dyDescent="0.2">
      <c r="P16" s="460">
        <f t="shared" si="0"/>
        <v>0</v>
      </c>
    </row>
    <row r="17" spans="2:16" x14ac:dyDescent="0.2">
      <c r="B17" s="364" t="s">
        <v>645</v>
      </c>
      <c r="C17" s="302">
        <f>[25]DIT!C16</f>
        <v>-262098.16913421755</v>
      </c>
      <c r="D17" s="302">
        <f>[25]DIT!D16</f>
        <v>-311365.0953255762</v>
      </c>
      <c r="E17" s="302">
        <f>[25]DIT!E16</f>
        <v>-360632.02151693485</v>
      </c>
      <c r="F17" s="302">
        <f>[25]DIT!F16</f>
        <v>-409898.9477082935</v>
      </c>
      <c r="G17" s="302">
        <f>[25]DIT!G16</f>
        <v>-459165.87389965216</v>
      </c>
      <c r="H17" s="302">
        <f>[25]DIT!H16</f>
        <v>-508432.80009101081</v>
      </c>
      <c r="I17" s="302">
        <f>[25]DIT!I16</f>
        <v>-557699.72628236946</v>
      </c>
      <c r="J17" s="302">
        <f>[25]DIT!J16</f>
        <v>-606966.65247372817</v>
      </c>
      <c r="K17" s="302">
        <f>[25]DIT!K16</f>
        <v>-656233.57866508677</v>
      </c>
      <c r="L17" s="302">
        <f>[25]DIT!L16</f>
        <v>-705500.50485644536</v>
      </c>
      <c r="M17" s="302">
        <f>[25]DIT!M16</f>
        <v>-754767.43104780396</v>
      </c>
      <c r="N17" s="302">
        <f>[25]DIT!N16</f>
        <v>-804034.35723916255</v>
      </c>
      <c r="O17" s="302">
        <f>[25]DIT!O16</f>
        <v>-853301.28343052138</v>
      </c>
      <c r="P17" s="460">
        <f t="shared" si="0"/>
        <v>-557699.72628236946</v>
      </c>
    </row>
    <row r="18" spans="2:16" ht="13.5" thickBot="1" x14ac:dyDescent="0.25">
      <c r="B18" s="301" t="s">
        <v>640</v>
      </c>
      <c r="C18" s="363">
        <f>SUM(C15:C17)</f>
        <v>-40065866.292268082</v>
      </c>
      <c r="D18" s="363">
        <f t="shared" ref="D18:O18" si="5">SUM(D15:D17)</f>
        <v>-40118163.307407938</v>
      </c>
      <c r="E18" s="363">
        <f t="shared" si="5"/>
        <v>-40205919.661765471</v>
      </c>
      <c r="F18" s="363">
        <f t="shared" si="5"/>
        <v>-40226607.75580281</v>
      </c>
      <c r="G18" s="363">
        <f t="shared" si="5"/>
        <v>-40303489.048795491</v>
      </c>
      <c r="H18" s="363">
        <f t="shared" si="5"/>
        <v>-40373696.455156058</v>
      </c>
      <c r="I18" s="363">
        <f t="shared" si="5"/>
        <v>-40548054.034279853</v>
      </c>
      <c r="J18" s="363">
        <f t="shared" si="5"/>
        <v>-40611979.794084519</v>
      </c>
      <c r="K18" s="363">
        <f t="shared" si="5"/>
        <v>-40650411.722466685</v>
      </c>
      <c r="L18" s="363">
        <f t="shared" si="5"/>
        <v>-40666487.749724679</v>
      </c>
      <c r="M18" s="363">
        <f t="shared" si="5"/>
        <v>-40679409.136709027</v>
      </c>
      <c r="N18" s="363">
        <f t="shared" si="5"/>
        <v>-40695762.233527333</v>
      </c>
      <c r="O18" s="363">
        <f t="shared" si="5"/>
        <v>-40720699.532133207</v>
      </c>
      <c r="P18" s="460">
        <f t="shared" si="0"/>
        <v>-40456105.317660041</v>
      </c>
    </row>
    <row r="19" spans="2:16" ht="13.5" thickTop="1" x14ac:dyDescent="0.2"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</row>
    <row r="20" spans="2:16" ht="13.5" thickBot="1" x14ac:dyDescent="0.25"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</row>
    <row r="21" spans="2:16" ht="13.5" thickTop="1" x14ac:dyDescent="0.2"/>
    <row r="22" spans="2:16" x14ac:dyDescent="0.2">
      <c r="B22" s="301" t="s">
        <v>641</v>
      </c>
      <c r="C22" s="302">
        <f>[25]DIT!C20</f>
        <v>-128406809</v>
      </c>
      <c r="D22" s="302">
        <f>[25]DIT!D20</f>
        <v>-127870274</v>
      </c>
      <c r="E22" s="302">
        <f>[25]DIT!E20</f>
        <v>-126502333</v>
      </c>
      <c r="F22" s="302">
        <f>[25]DIT!F20</f>
        <v>-126847547</v>
      </c>
      <c r="G22" s="302">
        <f>[25]DIT!G20</f>
        <v>-125930327</v>
      </c>
      <c r="H22" s="302">
        <f>[25]DIT!H20</f>
        <v>-125234760</v>
      </c>
      <c r="I22" s="302">
        <f>[25]DIT!I20</f>
        <v>-124862134</v>
      </c>
      <c r="J22" s="302">
        <f>[25]DIT!J20</f>
        <v>-124694531</v>
      </c>
      <c r="K22" s="302">
        <f>[25]DIT!K20</f>
        <v>-124818411</v>
      </c>
      <c r="L22" s="302">
        <f>[25]DIT!L20</f>
        <v>-125136210</v>
      </c>
      <c r="M22" s="302">
        <f>[25]DIT!M20</f>
        <v>-125567321</v>
      </c>
      <c r="N22" s="302">
        <f>[25]DIT!N20</f>
        <v>-125957728</v>
      </c>
      <c r="O22" s="302">
        <f>[25]DIT!O20</f>
        <v>-126255954</v>
      </c>
      <c r="P22" s="460">
        <f t="shared" ref="P22:P27" si="6">(C22/2+SUM(D22:N22)+O22/2)/12</f>
        <v>-125896079.79166667</v>
      </c>
    </row>
    <row r="23" spans="2:16" x14ac:dyDescent="0.2">
      <c r="B23" s="301" t="s">
        <v>642</v>
      </c>
      <c r="C23" s="302">
        <f>[25]DIT!C21</f>
        <v>-10766846</v>
      </c>
      <c r="D23" s="302">
        <f>[25]DIT!D21</f>
        <v>-10285244</v>
      </c>
      <c r="E23" s="302">
        <f>[25]DIT!E21</f>
        <v>-9940728</v>
      </c>
      <c r="F23" s="302">
        <f>[25]DIT!F21</f>
        <v>-9367227</v>
      </c>
      <c r="G23" s="302">
        <f>[25]DIT!G21</f>
        <v>-8543915</v>
      </c>
      <c r="H23" s="302">
        <f>[25]DIT!H21</f>
        <v>-7919563</v>
      </c>
      <c r="I23" s="302">
        <f>[25]DIT!I21</f>
        <v>-7585088</v>
      </c>
      <c r="J23" s="302">
        <f>[25]DIT!J21</f>
        <v>-7434644</v>
      </c>
      <c r="K23" s="302">
        <f>[25]DIT!K21</f>
        <v>-7545840</v>
      </c>
      <c r="L23" s="302">
        <f>[25]DIT!L21</f>
        <v>-7831101</v>
      </c>
      <c r="M23" s="302">
        <f>[25]DIT!M21</f>
        <v>-8218073</v>
      </c>
      <c r="N23" s="302">
        <f>[25]DIT!N21</f>
        <v>-8568509</v>
      </c>
      <c r="O23" s="302">
        <f>[25]DIT!O21</f>
        <v>-8836201</v>
      </c>
      <c r="P23" s="460">
        <f t="shared" si="6"/>
        <v>-8586787.958333334</v>
      </c>
    </row>
    <row r="24" spans="2:16" x14ac:dyDescent="0.2">
      <c r="B24" s="301" t="s">
        <v>643</v>
      </c>
      <c r="C24" s="369">
        <f>SUM(C8:C9,C14,C22:C23)</f>
        <v>-450267178.92964196</v>
      </c>
      <c r="D24" s="369">
        <f t="shared" ref="D24:O24" si="7">SUM(D8:D9,D14,D22:D23)</f>
        <v>-449286006.92964196</v>
      </c>
      <c r="E24" s="369">
        <f t="shared" si="7"/>
        <v>-448783455.69999999</v>
      </c>
      <c r="F24" s="369">
        <f t="shared" si="7"/>
        <v>-448781117.69999999</v>
      </c>
      <c r="G24" s="369">
        <f t="shared" si="7"/>
        <v>-449083509.69999999</v>
      </c>
      <c r="H24" s="369">
        <f t="shared" si="7"/>
        <v>-449312825.69999999</v>
      </c>
      <c r="I24" s="369">
        <f t="shared" si="7"/>
        <v>-450780811.69999999</v>
      </c>
      <c r="J24" s="369">
        <f t="shared" si="7"/>
        <v>-450949620.69999999</v>
      </c>
      <c r="K24" s="369">
        <f t="shared" si="7"/>
        <v>-450824849.69999999</v>
      </c>
      <c r="L24" s="369">
        <f t="shared" si="7"/>
        <v>-450441018.69999999</v>
      </c>
      <c r="M24" s="369">
        <f t="shared" si="7"/>
        <v>-450022866.69999999</v>
      </c>
      <c r="N24" s="369">
        <f t="shared" si="7"/>
        <v>-449644194.69999999</v>
      </c>
      <c r="O24" s="369">
        <f t="shared" si="7"/>
        <v>-449364534.69999999</v>
      </c>
      <c r="P24" s="460">
        <f t="shared" si="6"/>
        <v>-449810511.22870517</v>
      </c>
    </row>
    <row r="25" spans="2:16" x14ac:dyDescent="0.2"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460">
        <f t="shared" si="6"/>
        <v>0</v>
      </c>
    </row>
    <row r="26" spans="2:16" x14ac:dyDescent="0.2">
      <c r="B26" s="364" t="s">
        <v>646</v>
      </c>
      <c r="C26" s="302">
        <f>[25]DIT!C24</f>
        <v>-36225617.899818346</v>
      </c>
      <c r="D26" s="302">
        <f>[25]DIT!D24</f>
        <v>-36402554.178076625</v>
      </c>
      <c r="E26" s="302">
        <f>[25]DIT!E24</f>
        <v>-36579490.456334904</v>
      </c>
      <c r="F26" s="302">
        <f>[25]DIT!F24</f>
        <v>-36756426.734593183</v>
      </c>
      <c r="G26" s="302">
        <f>[25]DIT!G24</f>
        <v>-36933363.012851462</v>
      </c>
      <c r="H26" s="302">
        <f>[25]DIT!H24</f>
        <v>-37110299.291109741</v>
      </c>
      <c r="I26" s="302">
        <f>[25]DIT!I24</f>
        <v>-37287235.56936802</v>
      </c>
      <c r="J26" s="302">
        <f>[25]DIT!J24</f>
        <v>-37464171.847626299</v>
      </c>
      <c r="K26" s="302">
        <f>[25]DIT!K24</f>
        <v>-37641108.125884578</v>
      </c>
      <c r="L26" s="302">
        <f>[25]DIT!L24</f>
        <v>-37818044.404142857</v>
      </c>
      <c r="M26" s="302">
        <f>[25]DIT!M24</f>
        <v>-37994980.682401136</v>
      </c>
      <c r="N26" s="302">
        <f>[25]DIT!N24</f>
        <v>-38171916.960659415</v>
      </c>
      <c r="O26" s="302">
        <f>[25]DIT!O24</f>
        <v>-38348853.238917738</v>
      </c>
      <c r="P26" s="460">
        <f t="shared" si="6"/>
        <v>-37287235.569368012</v>
      </c>
    </row>
    <row r="27" spans="2:16" ht="13.5" thickBot="1" x14ac:dyDescent="0.25">
      <c r="B27" s="301" t="s">
        <v>644</v>
      </c>
      <c r="C27" s="363">
        <f>SUM(C24:C26)</f>
        <v>-486492796.82946032</v>
      </c>
      <c r="D27" s="363">
        <f t="shared" ref="D27:N27" si="8">SUM(D24:D26)</f>
        <v>-485688561.10771859</v>
      </c>
      <c r="E27" s="363">
        <f t="shared" si="8"/>
        <v>-485362946.15633488</v>
      </c>
      <c r="F27" s="363">
        <f t="shared" si="8"/>
        <v>-485537544.4345932</v>
      </c>
      <c r="G27" s="363">
        <f t="shared" si="8"/>
        <v>-486016872.71285146</v>
      </c>
      <c r="H27" s="363">
        <f t="shared" si="8"/>
        <v>-486423124.99110973</v>
      </c>
      <c r="I27" s="363">
        <f t="shared" si="8"/>
        <v>-488068047.26936799</v>
      </c>
      <c r="J27" s="363">
        <f t="shared" si="8"/>
        <v>-488413792.54762626</v>
      </c>
      <c r="K27" s="363">
        <f t="shared" si="8"/>
        <v>-488465957.82588458</v>
      </c>
      <c r="L27" s="363">
        <f t="shared" si="8"/>
        <v>-488259063.10414284</v>
      </c>
      <c r="M27" s="363">
        <f t="shared" si="8"/>
        <v>-488017847.38240111</v>
      </c>
      <c r="N27" s="363">
        <f t="shared" si="8"/>
        <v>-487816111.66065943</v>
      </c>
      <c r="O27" s="363">
        <f>SUM(O24:O26)</f>
        <v>-487713387.93891776</v>
      </c>
      <c r="P27" s="460">
        <f t="shared" si="6"/>
        <v>-487097746.79807335</v>
      </c>
    </row>
    <row r="28" spans="2:16" ht="13.5" thickTop="1" x14ac:dyDescent="0.2"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</row>
    <row r="29" spans="2:16" x14ac:dyDescent="0.2">
      <c r="B29" s="372" t="s">
        <v>737</v>
      </c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</row>
    <row r="30" spans="2:16" x14ac:dyDescent="0.2"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</row>
    <row r="31" spans="2:16" x14ac:dyDescent="0.2"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</row>
  </sheetData>
  <customSheetViews>
    <customSheetView guid="{A7BD13BF-7E57-44D7-9B02-43E2FA430390}" scale="90" fitToPage="1">
      <selection activeCell="L21" sqref="L21"/>
      <pageMargins left="0.7" right="0.7" top="0.75" bottom="0.75" header="0.3" footer="0.3"/>
      <pageSetup orientation="landscape" r:id="rId1"/>
    </customSheetView>
    <customSheetView guid="{C29552AC-6B79-447F-B962-713ED43BDF1A}" scale="90" fitToPage="1">
      <selection activeCell="O40" sqref="O40"/>
      <pageMargins left="0.7" right="0.7" top="0.75" bottom="0.75" header="0.3" footer="0.3"/>
      <pageSetup scale="50" orientation="landscape" r:id="rId2"/>
    </customSheetView>
    <customSheetView guid="{6ED201AA-AB2E-4FE7-B06B-B07932512C4D}" scale="90" fitToPage="1">
      <selection activeCell="P14" sqref="P14"/>
      <pageMargins left="0.7" right="0.7" top="0.75" bottom="0.75" header="0.3" footer="0.3"/>
      <pageSetup scale="50" orientation="landscape" r:id="rId3"/>
    </customSheetView>
    <customSheetView guid="{D711E10B-9441-4991-A2CB-ED400E35790D}" scale="90" fitToPage="1">
      <selection activeCell="N37" sqref="N37"/>
      <pageMargins left="0.7" right="0.7" top="0.75" bottom="0.75" header="0.3" footer="0.3"/>
      <pageSetup orientation="landscape" r:id="rId4"/>
    </customSheetView>
  </customSheetViews>
  <hyperlinks>
    <hyperlink ref="A5" r:id="rId5" display="Source:  GRC_WA2020_PlantDeferreds_20201020.xlsx" xr:uid="{2A19ADFE-A31F-4697-895C-D04F8B42C7D3}"/>
  </hyperlinks>
  <pageMargins left="0.7" right="0.7" top="0.75" bottom="0.75" header="0.3" footer="0.3"/>
  <pageSetup scale="49" orientation="landscape" r:id="rId6"/>
  <headerFooter>
    <oddHeader>&amp;RExh. KTW-2 Walker WP1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9">
    <pageSetUpPr fitToPage="1"/>
  </sheetPr>
  <dimension ref="A1:L53"/>
  <sheetViews>
    <sheetView tabSelected="1" zoomScaleNormal="100" workbookViewId="0">
      <selection activeCell="N46" sqref="N46"/>
    </sheetView>
  </sheetViews>
  <sheetFormatPr defaultColWidth="9.140625" defaultRowHeight="15" x14ac:dyDescent="0.2"/>
  <cols>
    <col min="1" max="1" width="6.85546875" style="8" customWidth="1"/>
    <col min="2" max="2" width="3.7109375" style="8" customWidth="1"/>
    <col min="3" max="3" width="24.85546875" style="8" customWidth="1"/>
    <col min="4" max="7" width="14.7109375" style="8" customWidth="1"/>
    <col min="8" max="8" width="18.7109375" style="8" customWidth="1"/>
    <col min="9" max="9" width="9.140625" style="8"/>
    <col min="10" max="10" width="53.28515625" style="8" bestFit="1" customWidth="1"/>
    <col min="11" max="11" width="13.28515625" style="8" customWidth="1"/>
    <col min="12" max="12" width="9.5703125" style="8" bestFit="1" customWidth="1"/>
    <col min="13" max="16384" width="9.140625" style="8"/>
  </cols>
  <sheetData>
    <row r="1" spans="1:10" x14ac:dyDescent="0.2">
      <c r="A1" s="1" t="str">
        <f>+'KTW-2 - Rev Req'!A1</f>
        <v>NW Natural</v>
      </c>
    </row>
    <row r="2" spans="1:10" x14ac:dyDescent="0.2">
      <c r="A2" s="1" t="str">
        <f>+'KTW-2 - Rev Req'!A2</f>
        <v>Washington Rate Case</v>
      </c>
    </row>
    <row r="3" spans="1:10" x14ac:dyDescent="0.2">
      <c r="A3" s="1" t="str">
        <f>+'KTW-3 p1 - Test Year Results'!A3</f>
        <v>Test Year Based on Twelve Months Ended September 30, 2020</v>
      </c>
    </row>
    <row r="4" spans="1:10" x14ac:dyDescent="0.2">
      <c r="A4" s="1" t="s">
        <v>269</v>
      </c>
    </row>
    <row r="6" spans="1:10" x14ac:dyDescent="0.2">
      <c r="A6" s="77" t="s">
        <v>15</v>
      </c>
      <c r="C6" s="1"/>
      <c r="D6" s="1"/>
      <c r="E6" s="291" t="s">
        <v>8</v>
      </c>
      <c r="F6" s="291" t="s">
        <v>9</v>
      </c>
      <c r="G6" s="291" t="s">
        <v>7</v>
      </c>
      <c r="H6" s="292" t="s">
        <v>270</v>
      </c>
      <c r="J6" s="1" t="s">
        <v>599</v>
      </c>
    </row>
    <row r="7" spans="1:10" x14ac:dyDescent="0.2">
      <c r="A7" s="174" t="s">
        <v>31</v>
      </c>
      <c r="C7" s="293"/>
      <c r="D7" s="1"/>
      <c r="E7" s="293"/>
      <c r="F7" s="293"/>
      <c r="G7" s="293"/>
      <c r="H7" s="292"/>
    </row>
    <row r="8" spans="1:10" x14ac:dyDescent="0.2">
      <c r="B8" s="293" t="s">
        <v>698</v>
      </c>
      <c r="C8" s="293"/>
      <c r="D8" s="1"/>
      <c r="E8" s="293"/>
      <c r="F8" s="293"/>
      <c r="G8" s="293"/>
      <c r="H8" s="292"/>
    </row>
    <row r="9" spans="1:10" x14ac:dyDescent="0.2">
      <c r="A9" s="77">
        <v>1</v>
      </c>
      <c r="C9" s="293" t="s">
        <v>257</v>
      </c>
      <c r="D9" s="1"/>
      <c r="E9" s="412">
        <f>'[8]WA 2020 Data'!$P$10+'[8]WA 2020 Data'!$P$12+'[8]WA 2020 Data'!$P$13+'[8]WA 2020 Data'!$P$14+'[8]WA 2020 Data'!$P$15</f>
        <v>27960</v>
      </c>
      <c r="F9" s="13">
        <f>G9-E9</f>
        <v>291407.13</v>
      </c>
      <c r="G9" s="13">
        <f>'[8]System TTM Sept. 2020'!B35</f>
        <v>319367.13</v>
      </c>
      <c r="H9" s="294" t="s">
        <v>107</v>
      </c>
      <c r="J9" s="372" t="s">
        <v>808</v>
      </c>
    </row>
    <row r="10" spans="1:10" x14ac:dyDescent="0.2">
      <c r="A10" s="77">
        <f t="shared" ref="A10:A19" si="0">+A9+1</f>
        <v>2</v>
      </c>
      <c r="C10" s="293" t="s">
        <v>258</v>
      </c>
      <c r="D10" s="1"/>
      <c r="E10" s="13">
        <f>'[8]WA 2020 Data'!$P$8</f>
        <v>51073.17</v>
      </c>
      <c r="F10" s="13">
        <f t="shared" ref="F10:F17" si="1">G10-E10</f>
        <v>1063788.9999999998</v>
      </c>
      <c r="G10" s="13">
        <f>'[8]System TTM Sept. 2020'!B36</f>
        <v>1114862.1699999997</v>
      </c>
      <c r="H10" s="294" t="s">
        <v>107</v>
      </c>
      <c r="J10" s="372" t="s">
        <v>808</v>
      </c>
    </row>
    <row r="11" spans="1:10" x14ac:dyDescent="0.2">
      <c r="A11" s="77">
        <f t="shared" si="0"/>
        <v>3</v>
      </c>
      <c r="C11" s="293" t="s">
        <v>259</v>
      </c>
      <c r="D11" s="1"/>
      <c r="E11" s="13">
        <f>'[8]WA 2020 Data'!$P$17</f>
        <v>3660</v>
      </c>
      <c r="F11" s="13">
        <f t="shared" si="1"/>
        <v>21970</v>
      </c>
      <c r="G11" s="13">
        <f>'[8]System TTM Sept. 2020'!B37</f>
        <v>25630</v>
      </c>
      <c r="H11" s="294" t="s">
        <v>107</v>
      </c>
      <c r="J11" s="372" t="s">
        <v>808</v>
      </c>
    </row>
    <row r="12" spans="1:10" x14ac:dyDescent="0.2">
      <c r="A12" s="77">
        <f t="shared" si="0"/>
        <v>4</v>
      </c>
      <c r="C12" s="293" t="s">
        <v>260</v>
      </c>
      <c r="D12" s="1"/>
      <c r="E12" s="13">
        <f>'[8]WA 2020 Data'!$P$9</f>
        <v>12104.04</v>
      </c>
      <c r="F12" s="13">
        <f t="shared" si="1"/>
        <v>106275</v>
      </c>
      <c r="G12" s="13">
        <f>'[8]System TTM Sept. 2020'!B38</f>
        <v>118379.04000000001</v>
      </c>
      <c r="H12" s="294" t="s">
        <v>107</v>
      </c>
      <c r="J12" s="372" t="s">
        <v>808</v>
      </c>
    </row>
    <row r="13" spans="1:10" x14ac:dyDescent="0.2">
      <c r="A13" s="77">
        <f t="shared" si="0"/>
        <v>5</v>
      </c>
      <c r="C13" s="293" t="s">
        <v>261</v>
      </c>
      <c r="D13" s="1"/>
      <c r="E13" s="13">
        <f>'[8]WA 2020 Data'!$P$11</f>
        <v>13640</v>
      </c>
      <c r="F13" s="13">
        <f t="shared" si="1"/>
        <v>140115</v>
      </c>
      <c r="G13" s="13">
        <f>'[8]System TTM Sept. 2020'!B39</f>
        <v>153755</v>
      </c>
      <c r="H13" s="294" t="s">
        <v>107</v>
      </c>
      <c r="J13" s="372" t="s">
        <v>808</v>
      </c>
    </row>
    <row r="14" spans="1:10" x14ac:dyDescent="0.2">
      <c r="A14" s="77">
        <f t="shared" si="0"/>
        <v>6</v>
      </c>
      <c r="C14" s="293" t="s">
        <v>262</v>
      </c>
      <c r="D14" s="1"/>
      <c r="E14" s="13">
        <f>'[8]WA 2020 Data'!$P$19</f>
        <v>13615.79</v>
      </c>
      <c r="F14" s="13">
        <f t="shared" si="1"/>
        <v>175437.49999999997</v>
      </c>
      <c r="G14" s="13">
        <f>'[8]System TTM Sept. 2020'!B40</f>
        <v>189053.28999999998</v>
      </c>
      <c r="H14" s="294" t="s">
        <v>107</v>
      </c>
      <c r="J14" s="372" t="s">
        <v>808</v>
      </c>
    </row>
    <row r="15" spans="1:10" x14ac:dyDescent="0.2">
      <c r="A15" s="77">
        <f t="shared" si="0"/>
        <v>7</v>
      </c>
      <c r="C15" s="293" t="s">
        <v>263</v>
      </c>
      <c r="D15" s="1"/>
      <c r="E15" s="412">
        <f>-[9]data!$C$177*'KTW-3 p4 - Factors'!D13</f>
        <v>10876.316016000004</v>
      </c>
      <c r="F15" s="13">
        <f t="shared" si="1"/>
        <v>88360.143983999995</v>
      </c>
      <c r="G15" s="13">
        <f>'[8]System TTM Sept. 2020'!B41</f>
        <v>99236.46</v>
      </c>
      <c r="H15" s="294" t="s">
        <v>274</v>
      </c>
      <c r="J15" s="372" t="s">
        <v>809</v>
      </c>
    </row>
    <row r="16" spans="1:10" x14ac:dyDescent="0.2">
      <c r="A16" s="77">
        <f t="shared" si="0"/>
        <v>8</v>
      </c>
      <c r="C16" s="293" t="s">
        <v>510</v>
      </c>
      <c r="D16" s="1"/>
      <c r="E16" s="175">
        <f>'[8]WA 2020 Data'!$P$20</f>
        <v>23455.819999999996</v>
      </c>
      <c r="F16" s="13">
        <f t="shared" si="1"/>
        <v>329787.94000000006</v>
      </c>
      <c r="G16" s="13">
        <f>'[8]System TTM Sept. 2020'!B42</f>
        <v>353243.76000000007</v>
      </c>
      <c r="H16" s="294" t="s">
        <v>107</v>
      </c>
      <c r="J16" s="372" t="s">
        <v>808</v>
      </c>
    </row>
    <row r="17" spans="1:10" x14ac:dyDescent="0.2">
      <c r="A17" s="77">
        <f t="shared" si="0"/>
        <v>9</v>
      </c>
      <c r="C17" s="293" t="s">
        <v>598</v>
      </c>
      <c r="D17" s="1"/>
      <c r="E17" s="175">
        <f>'[8]WA 2020 Data'!$P$16</f>
        <v>0</v>
      </c>
      <c r="F17" s="13">
        <f t="shared" si="1"/>
        <v>0</v>
      </c>
      <c r="G17" s="13">
        <f>'[8]System TTM Sept. 2020'!B43</f>
        <v>0</v>
      </c>
      <c r="H17" s="294"/>
      <c r="J17" s="372" t="s">
        <v>808</v>
      </c>
    </row>
    <row r="18" spans="1:10" x14ac:dyDescent="0.2">
      <c r="A18" s="77">
        <f t="shared" si="0"/>
        <v>10</v>
      </c>
      <c r="C18" s="293" t="s">
        <v>552</v>
      </c>
      <c r="D18" s="1"/>
      <c r="E18" s="567">
        <f>'[8]Sys 2020 Data'!$R$25+'[8]Sys 2020 Data'!$R$27</f>
        <v>-2252413.6799999992</v>
      </c>
      <c r="F18" s="15">
        <f>+G18-E18</f>
        <v>3888465.5299999984</v>
      </c>
      <c r="G18" s="15">
        <f>'[8]Sys 2020 Data'!$P$30</f>
        <v>1636051.8499999992</v>
      </c>
      <c r="H18" s="294" t="s">
        <v>107</v>
      </c>
      <c r="J18" s="372" t="s">
        <v>808</v>
      </c>
    </row>
    <row r="19" spans="1:10" x14ac:dyDescent="0.2">
      <c r="A19" s="77">
        <f t="shared" si="0"/>
        <v>11</v>
      </c>
      <c r="C19" s="295" t="s">
        <v>264</v>
      </c>
      <c r="D19" s="1"/>
      <c r="E19" s="13">
        <f>SUM(E9:E18)</f>
        <v>-2096028.5439839992</v>
      </c>
      <c r="F19" s="13">
        <f>SUM(F9:F18)</f>
        <v>6105607.2439839989</v>
      </c>
      <c r="G19" s="13">
        <f>SUM(G9:G18)</f>
        <v>4009578.6999999993</v>
      </c>
      <c r="H19" s="294"/>
      <c r="J19" s="330"/>
    </row>
    <row r="20" spans="1:10" x14ac:dyDescent="0.2">
      <c r="C20" s="293"/>
      <c r="D20" s="1"/>
      <c r="E20" s="29"/>
      <c r="F20" s="29"/>
      <c r="G20" s="29"/>
      <c r="H20" s="296"/>
      <c r="J20" s="330"/>
    </row>
    <row r="21" spans="1:10" x14ac:dyDescent="0.2">
      <c r="B21" s="293" t="s">
        <v>173</v>
      </c>
      <c r="C21" s="293"/>
      <c r="D21" s="1"/>
      <c r="E21" s="29"/>
      <c r="F21" s="29"/>
      <c r="G21" s="13"/>
      <c r="H21" s="77"/>
      <c r="J21" s="330"/>
    </row>
    <row r="22" spans="1:10" x14ac:dyDescent="0.2">
      <c r="A22" s="77">
        <f>+A19+1</f>
        <v>12</v>
      </c>
      <c r="C22" s="293" t="s">
        <v>265</v>
      </c>
      <c r="D22" s="1"/>
      <c r="E22" s="535">
        <f>'[26]Order Details'!$J$45554</f>
        <v>1671587.02</v>
      </c>
      <c r="F22" s="535">
        <f>G22-E22</f>
        <v>20231645.289999999</v>
      </c>
      <c r="G22" s="535">
        <f>'[26]Order Details'!$J$290+'[26]Order Details'!$J$45531</f>
        <v>21903232.309999999</v>
      </c>
      <c r="H22" s="294" t="s">
        <v>107</v>
      </c>
      <c r="J22" s="602" t="s">
        <v>810</v>
      </c>
    </row>
    <row r="23" spans="1:10" x14ac:dyDescent="0.2">
      <c r="A23" s="77">
        <f>+A22+1</f>
        <v>13</v>
      </c>
      <c r="C23" s="293" t="s">
        <v>266</v>
      </c>
      <c r="D23" s="1"/>
      <c r="E23" s="599">
        <f>'[26]Order Details'!$J$45557</f>
        <v>2958382.6619520001</v>
      </c>
      <c r="F23" s="535">
        <f t="shared" ref="F23:F28" si="2">G23-E23</f>
        <v>14888629.948047999</v>
      </c>
      <c r="G23" s="535">
        <f>'[26]Order Details'!$J$167</f>
        <v>17847012.609999999</v>
      </c>
      <c r="H23" s="294" t="s">
        <v>107</v>
      </c>
      <c r="J23" s="602" t="s">
        <v>810</v>
      </c>
    </row>
    <row r="24" spans="1:10" x14ac:dyDescent="0.2">
      <c r="A24" s="77">
        <f t="shared" ref="A24:A29" si="3">+A23+1</f>
        <v>14</v>
      </c>
      <c r="C24" s="293" t="s">
        <v>23</v>
      </c>
      <c r="D24" s="1"/>
      <c r="E24" s="600">
        <f>'[26]Order Details'!$J$45560</f>
        <v>655144.44866692007</v>
      </c>
      <c r="F24" s="535">
        <f t="shared" si="2"/>
        <v>5878398.1313330801</v>
      </c>
      <c r="G24" s="535">
        <f>'[26]Order Details'!$J$249</f>
        <v>6533542.5800000001</v>
      </c>
      <c r="H24" s="294" t="s">
        <v>23</v>
      </c>
      <c r="J24" s="602" t="s">
        <v>810</v>
      </c>
    </row>
    <row r="25" spans="1:10" x14ac:dyDescent="0.2">
      <c r="A25" s="77">
        <f t="shared" si="3"/>
        <v>15</v>
      </c>
      <c r="C25" s="293" t="s">
        <v>267</v>
      </c>
      <c r="D25" s="1"/>
      <c r="E25" s="600">
        <f>'[26]Order Details'!$J$45563</f>
        <v>135480.5</v>
      </c>
      <c r="F25" s="535">
        <f t="shared" si="2"/>
        <v>1920622.62</v>
      </c>
      <c r="G25" s="535">
        <f>'[26]Order Details'!$J$45549</f>
        <v>2056103.12</v>
      </c>
      <c r="H25" s="294" t="s">
        <v>107</v>
      </c>
      <c r="J25" s="602" t="s">
        <v>810</v>
      </c>
    </row>
    <row r="26" spans="1:10" x14ac:dyDescent="0.2">
      <c r="A26" s="77">
        <f t="shared" si="3"/>
        <v>16</v>
      </c>
      <c r="C26" s="293" t="s">
        <v>561</v>
      </c>
      <c r="D26" s="1"/>
      <c r="E26" s="13">
        <v>0</v>
      </c>
      <c r="F26" s="297">
        <f t="shared" si="2"/>
        <v>727187.74</v>
      </c>
      <c r="G26" s="535">
        <f>'[26]Order Details'!$J$45565</f>
        <v>727187.74</v>
      </c>
      <c r="H26" s="294" t="s">
        <v>107</v>
      </c>
      <c r="J26" s="602" t="s">
        <v>810</v>
      </c>
    </row>
    <row r="27" spans="1:10" x14ac:dyDescent="0.2">
      <c r="A27" s="77">
        <f t="shared" si="3"/>
        <v>17</v>
      </c>
      <c r="C27" s="1" t="s">
        <v>568</v>
      </c>
      <c r="E27" s="13">
        <v>0</v>
      </c>
      <c r="F27" s="297">
        <f t="shared" si="2"/>
        <v>1832471</v>
      </c>
      <c r="G27" s="535">
        <f>'[26]Order Details'!$J$45567</f>
        <v>1832471</v>
      </c>
      <c r="H27" s="294" t="s">
        <v>107</v>
      </c>
      <c r="J27" s="602" t="s">
        <v>810</v>
      </c>
    </row>
    <row r="28" spans="1:10" x14ac:dyDescent="0.2">
      <c r="A28" s="77">
        <f t="shared" si="3"/>
        <v>18</v>
      </c>
      <c r="C28" s="293" t="s">
        <v>215</v>
      </c>
      <c r="D28" s="1"/>
      <c r="E28" s="601">
        <f>'[26]Order Details'!$J$45570</f>
        <v>65791.513619999998</v>
      </c>
      <c r="F28" s="536">
        <f t="shared" si="2"/>
        <v>181912.78638000001</v>
      </c>
      <c r="G28" s="536">
        <f>'[26]Order Details'!$J$24+'[26]Order Details'!$J$230</f>
        <v>247704.3</v>
      </c>
      <c r="H28" s="294" t="s">
        <v>560</v>
      </c>
      <c r="J28" s="602" t="s">
        <v>810</v>
      </c>
    </row>
    <row r="29" spans="1:10" x14ac:dyDescent="0.2">
      <c r="A29" s="77">
        <f t="shared" si="3"/>
        <v>19</v>
      </c>
      <c r="C29" s="295" t="s">
        <v>173</v>
      </c>
      <c r="D29" s="1"/>
      <c r="E29" s="13">
        <f>SUM(E22:E28)</f>
        <v>5486386.14423892</v>
      </c>
      <c r="F29" s="13">
        <f t="shared" ref="F29:G29" si="4">SUM(F22:F28)</f>
        <v>45660867.515761085</v>
      </c>
      <c r="G29" s="13">
        <f t="shared" si="4"/>
        <v>51147253.659999996</v>
      </c>
      <c r="H29" s="294"/>
      <c r="J29" s="330"/>
    </row>
    <row r="30" spans="1:10" x14ac:dyDescent="0.2">
      <c r="C30" s="1"/>
      <c r="E30" s="78"/>
      <c r="F30" s="298"/>
      <c r="G30" s="298"/>
      <c r="H30" s="77"/>
      <c r="J30" s="330"/>
    </row>
    <row r="31" spans="1:10" x14ac:dyDescent="0.2">
      <c r="B31" s="1" t="s">
        <v>268</v>
      </c>
      <c r="C31" s="1"/>
      <c r="J31" s="330"/>
    </row>
    <row r="32" spans="1:10" x14ac:dyDescent="0.2">
      <c r="A32" s="77">
        <f>+A29+1</f>
        <v>20</v>
      </c>
      <c r="B32" s="1"/>
      <c r="C32" s="1" t="s">
        <v>463</v>
      </c>
      <c r="E32" s="551">
        <f>[24]Actual!H146</f>
        <v>766024.48568799975</v>
      </c>
      <c r="F32" s="280">
        <f>[24]Actual!G146</f>
        <v>5877726.474312</v>
      </c>
      <c r="G32" s="280">
        <f>SUM(E32:F32)</f>
        <v>6643750.96</v>
      </c>
      <c r="H32" s="299" t="s">
        <v>555</v>
      </c>
      <c r="J32" s="603" t="s">
        <v>811</v>
      </c>
    </row>
    <row r="33" spans="1:12" x14ac:dyDescent="0.2">
      <c r="A33" s="77">
        <f t="shared" ref="A33:A41" si="5">+A32+1</f>
        <v>21</v>
      </c>
      <c r="B33" s="1"/>
      <c r="C33" s="1" t="s">
        <v>464</v>
      </c>
      <c r="E33" s="551">
        <f>[24]Actual!H147</f>
        <v>0</v>
      </c>
      <c r="F33" s="280">
        <f>[24]Actual!G147</f>
        <v>0</v>
      </c>
      <c r="G33" s="280">
        <f t="shared" ref="G33:G40" si="6">SUM(E33:F33)</f>
        <v>0</v>
      </c>
      <c r="H33" s="299" t="s">
        <v>107</v>
      </c>
      <c r="J33" s="603" t="s">
        <v>811</v>
      </c>
    </row>
    <row r="34" spans="1:12" x14ac:dyDescent="0.2">
      <c r="A34" s="77">
        <f t="shared" si="5"/>
        <v>22</v>
      </c>
      <c r="B34" s="1"/>
      <c r="C34" s="1" t="s">
        <v>180</v>
      </c>
      <c r="E34" s="551">
        <f>[24]Actual!H148</f>
        <v>0</v>
      </c>
      <c r="F34" s="280">
        <f>[24]Actual!G148</f>
        <v>-0.01</v>
      </c>
      <c r="G34" s="280">
        <f t="shared" si="6"/>
        <v>-0.01</v>
      </c>
      <c r="H34" s="299" t="s">
        <v>107</v>
      </c>
      <c r="J34" s="603" t="s">
        <v>811</v>
      </c>
    </row>
    <row r="35" spans="1:12" x14ac:dyDescent="0.2">
      <c r="A35" s="77">
        <f t="shared" si="5"/>
        <v>23</v>
      </c>
      <c r="B35" s="1"/>
      <c r="C35" s="1" t="s">
        <v>181</v>
      </c>
      <c r="E35" s="551">
        <f>[24]Actual!H149</f>
        <v>20967.41</v>
      </c>
      <c r="F35" s="280">
        <f>[24]Actual!G149</f>
        <v>3558755.2</v>
      </c>
      <c r="G35" s="280">
        <f t="shared" si="6"/>
        <v>3579722.6100000003</v>
      </c>
      <c r="H35" s="299" t="s">
        <v>107</v>
      </c>
      <c r="J35" s="603" t="s">
        <v>811</v>
      </c>
    </row>
    <row r="36" spans="1:12" x14ac:dyDescent="0.2">
      <c r="A36" s="77">
        <f t="shared" si="5"/>
        <v>24</v>
      </c>
      <c r="B36" s="1"/>
      <c r="C36" s="1" t="s">
        <v>182</v>
      </c>
      <c r="E36" s="551">
        <f>[24]Actual!H150</f>
        <v>8247853.3399999989</v>
      </c>
      <c r="F36" s="280">
        <f>[24]Actual!G150</f>
        <v>56602807.569999993</v>
      </c>
      <c r="G36" s="280">
        <f t="shared" si="6"/>
        <v>64850660.909999989</v>
      </c>
      <c r="H36" s="299" t="s">
        <v>107</v>
      </c>
      <c r="J36" s="603" t="s">
        <v>811</v>
      </c>
    </row>
    <row r="37" spans="1:12" x14ac:dyDescent="0.2">
      <c r="A37" s="77">
        <f t="shared" si="5"/>
        <v>25</v>
      </c>
      <c r="B37" s="1"/>
      <c r="C37" s="1" t="s">
        <v>195</v>
      </c>
      <c r="E37" s="551">
        <f>[24]Actual!H151</f>
        <v>1094952.4344320004</v>
      </c>
      <c r="F37" s="280">
        <f>[24]Actual!G151</f>
        <v>8895489.485568</v>
      </c>
      <c r="G37" s="280">
        <f t="shared" si="6"/>
        <v>9990441.9199999999</v>
      </c>
      <c r="H37" s="300" t="s">
        <v>556</v>
      </c>
      <c r="J37" s="603" t="s">
        <v>811</v>
      </c>
    </row>
    <row r="38" spans="1:12" x14ac:dyDescent="0.2">
      <c r="A38" s="77">
        <f t="shared" si="5"/>
        <v>26</v>
      </c>
      <c r="B38" s="1"/>
      <c r="C38" s="1" t="s">
        <v>553</v>
      </c>
      <c r="E38" s="551">
        <f>[24]Actual!H152+[24]Actual!$H$153</f>
        <v>139150.73311665747</v>
      </c>
      <c r="F38" s="280">
        <f>[24]Actual!G152+[24]Actual!$G$153</f>
        <v>1567760.1468833424</v>
      </c>
      <c r="G38" s="280">
        <f t="shared" si="6"/>
        <v>1706910.88</v>
      </c>
      <c r="H38" s="300" t="s">
        <v>557</v>
      </c>
      <c r="J38" s="603" t="s">
        <v>811</v>
      </c>
    </row>
    <row r="39" spans="1:12" x14ac:dyDescent="0.2">
      <c r="A39" s="77">
        <f t="shared" si="5"/>
        <v>27</v>
      </c>
      <c r="B39" s="293"/>
      <c r="C39" s="1" t="s">
        <v>216</v>
      </c>
      <c r="E39" s="551">
        <f>[24]Actual!H154</f>
        <v>658149.7442559998</v>
      </c>
      <c r="F39" s="280">
        <f>[24]Actual!G154</f>
        <v>6072592.0157439997</v>
      </c>
      <c r="G39" s="280">
        <f t="shared" si="6"/>
        <v>6730741.7599999998</v>
      </c>
      <c r="H39" s="299" t="s">
        <v>558</v>
      </c>
      <c r="J39" s="603" t="s">
        <v>811</v>
      </c>
    </row>
    <row r="40" spans="1:12" x14ac:dyDescent="0.2">
      <c r="A40" s="77">
        <f t="shared" si="5"/>
        <v>28</v>
      </c>
      <c r="B40" s="1"/>
      <c r="C40" s="1" t="s">
        <v>275</v>
      </c>
      <c r="E40" s="552">
        <f>[24]Actual!H155</f>
        <v>8761.8766480000031</v>
      </c>
      <c r="F40" s="287">
        <f>[24]Actual!G155</f>
        <v>71182.253352</v>
      </c>
      <c r="G40" s="287">
        <f t="shared" si="6"/>
        <v>79944.13</v>
      </c>
      <c r="H40" s="300" t="s">
        <v>556</v>
      </c>
      <c r="J40" s="603" t="s">
        <v>811</v>
      </c>
    </row>
    <row r="41" spans="1:12" x14ac:dyDescent="0.2">
      <c r="A41" s="77">
        <f t="shared" si="5"/>
        <v>29</v>
      </c>
      <c r="C41" s="1" t="s">
        <v>554</v>
      </c>
      <c r="E41" s="551">
        <f>SUM(E32:E40)</f>
        <v>10935860.024140656</v>
      </c>
      <c r="F41" s="280">
        <f t="shared" ref="F41:G41" si="7">SUM(F32:F40)</f>
        <v>82646313.13585934</v>
      </c>
      <c r="G41" s="280">
        <f t="shared" si="7"/>
        <v>93582173.159999982</v>
      </c>
      <c r="J41" s="603" t="s">
        <v>811</v>
      </c>
      <c r="K41" s="302"/>
    </row>
    <row r="42" spans="1:12" x14ac:dyDescent="0.2">
      <c r="A42" s="77"/>
      <c r="F42" s="9"/>
      <c r="J42" s="372"/>
      <c r="K42" s="302"/>
    </row>
    <row r="43" spans="1:12" x14ac:dyDescent="0.2">
      <c r="A43" s="77"/>
      <c r="B43" s="1" t="s">
        <v>511</v>
      </c>
      <c r="G43" s="77"/>
      <c r="J43" s="330"/>
    </row>
    <row r="44" spans="1:12" x14ac:dyDescent="0.2">
      <c r="A44" s="77">
        <f>+A41+1</f>
        <v>30</v>
      </c>
      <c r="C44" s="1" t="s">
        <v>496</v>
      </c>
      <c r="E44" s="13">
        <f>[27]WAROO_COG!P15</f>
        <v>16414445.90975103</v>
      </c>
      <c r="F44" s="259">
        <f>[27]WAROO_COG!P5</f>
        <v>156903420.57024896</v>
      </c>
      <c r="G44" s="13">
        <f>E44+F44</f>
        <v>173317866.47999999</v>
      </c>
      <c r="H44" s="272" t="s">
        <v>107</v>
      </c>
      <c r="J44" s="330" t="s">
        <v>812</v>
      </c>
      <c r="K44" s="260"/>
      <c r="L44" s="564"/>
    </row>
    <row r="45" spans="1:12" x14ac:dyDescent="0.2">
      <c r="A45" s="77">
        <f t="shared" ref="A45:A50" si="8">+A44+1</f>
        <v>31</v>
      </c>
      <c r="C45" s="1" t="s">
        <v>497</v>
      </c>
      <c r="E45" s="13">
        <f>[27]WAROO_COG!P16</f>
        <v>-500720.74999999977</v>
      </c>
      <c r="F45" s="259">
        <f>[27]WAROO_COG!P6</f>
        <v>-773132.77</v>
      </c>
      <c r="G45" s="13">
        <f t="shared" ref="G45:G48" si="9">E45+F45</f>
        <v>-1273853.5199999998</v>
      </c>
      <c r="H45" s="272" t="s">
        <v>107</v>
      </c>
      <c r="J45" s="330" t="s">
        <v>812</v>
      </c>
      <c r="K45" s="260"/>
      <c r="L45" s="564"/>
    </row>
    <row r="46" spans="1:12" x14ac:dyDescent="0.2">
      <c r="A46" s="77">
        <f t="shared" si="8"/>
        <v>32</v>
      </c>
      <c r="C46" s="1" t="s">
        <v>498</v>
      </c>
      <c r="E46" s="13">
        <f>[27]WAROO_COG!P17</f>
        <v>8518634.7976859994</v>
      </c>
      <c r="F46" s="259">
        <f>[27]WAROO_COG!P7</f>
        <v>69097752.852313995</v>
      </c>
      <c r="G46" s="13">
        <f t="shared" si="9"/>
        <v>77616387.649999991</v>
      </c>
      <c r="H46" s="272" t="s">
        <v>107</v>
      </c>
      <c r="J46" s="330" t="s">
        <v>812</v>
      </c>
      <c r="K46" s="260"/>
      <c r="L46" s="564"/>
    </row>
    <row r="47" spans="1:12" x14ac:dyDescent="0.2">
      <c r="A47" s="77">
        <f t="shared" si="8"/>
        <v>33</v>
      </c>
      <c r="C47" s="1" t="s">
        <v>499</v>
      </c>
      <c r="E47" s="13">
        <f>[27]WAROO_COG!P18</f>
        <v>-99689.040000000386</v>
      </c>
      <c r="F47" s="259">
        <f>[27]WAROO_COG!P8</f>
        <v>113099.05999999866</v>
      </c>
      <c r="G47" s="13">
        <f t="shared" si="9"/>
        <v>13410.019999998272</v>
      </c>
      <c r="H47" s="272" t="s">
        <v>107</v>
      </c>
      <c r="J47" s="330" t="s">
        <v>812</v>
      </c>
      <c r="K47" s="260"/>
      <c r="L47" s="564"/>
    </row>
    <row r="48" spans="1:12" x14ac:dyDescent="0.2">
      <c r="A48" s="77">
        <f t="shared" si="8"/>
        <v>34</v>
      </c>
      <c r="C48" s="1" t="s">
        <v>500</v>
      </c>
      <c r="E48" s="13">
        <f>[27]WAROO_COG!P19</f>
        <v>-7524.2900000000154</v>
      </c>
      <c r="F48" s="259">
        <f>[27]WAROO_COG!P9</f>
        <v>15503468.779999999</v>
      </c>
      <c r="G48" s="13">
        <f t="shared" si="9"/>
        <v>15495944.49</v>
      </c>
      <c r="H48" s="272" t="s">
        <v>107</v>
      </c>
      <c r="J48" s="330" t="s">
        <v>812</v>
      </c>
      <c r="K48" s="260"/>
      <c r="L48" s="564"/>
    </row>
    <row r="49" spans="1:10" x14ac:dyDescent="0.2">
      <c r="A49" s="77">
        <f t="shared" si="8"/>
        <v>35</v>
      </c>
      <c r="C49" s="1" t="s">
        <v>501</v>
      </c>
      <c r="E49" s="13">
        <v>0</v>
      </c>
      <c r="F49" s="259">
        <v>0</v>
      </c>
      <c r="G49" s="13">
        <v>286955.83</v>
      </c>
      <c r="H49" s="272" t="s">
        <v>615</v>
      </c>
      <c r="J49" s="330" t="s">
        <v>812</v>
      </c>
    </row>
    <row r="50" spans="1:10" x14ac:dyDescent="0.2">
      <c r="A50" s="77">
        <f t="shared" si="8"/>
        <v>36</v>
      </c>
      <c r="C50" s="221" t="s">
        <v>512</v>
      </c>
      <c r="E50" s="438">
        <f>SUM(E44:E49)</f>
        <v>24325146.627437033</v>
      </c>
      <c r="F50" s="565">
        <f>SUM(F44:F49)</f>
        <v>240844608.49256295</v>
      </c>
      <c r="G50" s="438">
        <f>SUM(G44:G49)</f>
        <v>265456710.94999999</v>
      </c>
      <c r="H50" s="53"/>
      <c r="J50" s="330"/>
    </row>
    <row r="51" spans="1:10" x14ac:dyDescent="0.2">
      <c r="E51" s="303"/>
      <c r="F51" s="9"/>
      <c r="G51" s="272"/>
      <c r="J51" s="330"/>
    </row>
    <row r="52" spans="1:10" x14ac:dyDescent="0.2">
      <c r="C52" s="1" t="s">
        <v>699</v>
      </c>
      <c r="D52" s="304"/>
      <c r="J52" s="330"/>
    </row>
    <row r="53" spans="1:10" x14ac:dyDescent="0.2">
      <c r="D53" s="304"/>
      <c r="J53" s="330"/>
    </row>
  </sheetData>
  <customSheetViews>
    <customSheetView guid="{A7BD13BF-7E57-44D7-9B02-43E2FA430390}" showPageBreaks="1" fitToPage="1" printArea="1">
      <selection activeCell="G18" sqref="G18"/>
      <pageMargins left="0.5" right="0.5" top="0.5" bottom="0.5" header="0.25" footer="0.25"/>
      <printOptions horizontalCentered="1"/>
      <pageSetup scale="73" orientation="landscape" r:id="rId1"/>
      <headerFooter alignWithMargins="0"/>
    </customSheetView>
    <customSheetView guid="{C29552AC-6B79-447F-B962-713ED43BDF1A}" showPageBreaks="1" fitToPage="1" printArea="1">
      <selection activeCell="G18" sqref="G18"/>
      <pageMargins left="0.5" right="0.5" top="0.5" bottom="0.5" header="0.25" footer="0.25"/>
      <printOptions horizontalCentered="1"/>
      <pageSetup scale="74" orientation="landscape" r:id="rId2"/>
      <headerFooter alignWithMargins="0"/>
    </customSheetView>
    <customSheetView guid="{6ED201AA-AB2E-4FE7-B06B-B07932512C4D}" showPageBreaks="1" fitToPage="1" printArea="1" topLeftCell="A28">
      <selection activeCell="E46" sqref="E46"/>
      <pageMargins left="0.5" right="0.5" top="0.5" bottom="0.5" header="0.25" footer="0.25"/>
      <printOptions horizontalCentered="1"/>
      <pageSetup scale="73" orientation="landscape" r:id="rId3"/>
      <headerFooter alignWithMargins="0"/>
    </customSheetView>
    <customSheetView guid="{D711E10B-9441-4991-A2CB-ED400E35790D}" fitToPage="1">
      <selection activeCell="G22" sqref="G22"/>
      <pageMargins left="0.5" right="0.5" top="0.5" bottom="0.5" header="0.25" footer="0.25"/>
      <printOptions horizontalCentered="1"/>
      <pageSetup scale="73" orientation="landscape" r:id="rId4"/>
      <headerFooter alignWithMargins="0"/>
    </customSheetView>
  </customSheetViews>
  <phoneticPr fontId="5" type="noConversion"/>
  <printOptions horizontalCentered="1"/>
  <pageMargins left="0.5" right="0.5" top="0.5" bottom="0.5" header="0.25" footer="0.25"/>
  <pageSetup scale="73" orientation="landscape" r:id="rId5"/>
  <headerFooter alignWithMargins="0">
    <oddHeader>&amp;RExh. KTW-2 Walker WP1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5" tint="0.59999389629810485"/>
  </sheetPr>
  <dimension ref="A1:J32"/>
  <sheetViews>
    <sheetView showGridLines="0" zoomScaleNormal="100" workbookViewId="0">
      <selection activeCell="E31" sqref="E31"/>
    </sheetView>
  </sheetViews>
  <sheetFormatPr defaultColWidth="9.140625" defaultRowHeight="15" x14ac:dyDescent="0.2"/>
  <cols>
    <col min="1" max="1" width="4.7109375" style="1" customWidth="1"/>
    <col min="2" max="2" width="36.7109375" style="1" customWidth="1"/>
    <col min="3" max="4" width="18.5703125" style="77" customWidth="1"/>
    <col min="5" max="5" width="26" style="8" bestFit="1" customWidth="1"/>
    <col min="6" max="6" width="10.140625" style="8" bestFit="1" customWidth="1"/>
    <col min="7" max="9" width="9.140625" style="8"/>
    <col min="10" max="10" width="10.5703125" style="8" bestFit="1" customWidth="1"/>
    <col min="11" max="16384" width="9.140625" style="8"/>
  </cols>
  <sheetData>
    <row r="1" spans="1:10" x14ac:dyDescent="0.2">
      <c r="A1" s="1" t="s">
        <v>0</v>
      </c>
      <c r="D1" s="5" t="s">
        <v>746</v>
      </c>
    </row>
    <row r="2" spans="1:10" x14ac:dyDescent="0.2">
      <c r="A2" s="3" t="s">
        <v>594</v>
      </c>
      <c r="D2" s="5" t="s">
        <v>748</v>
      </c>
    </row>
    <row r="3" spans="1:10" x14ac:dyDescent="0.2">
      <c r="A3" s="1" t="s">
        <v>711</v>
      </c>
    </row>
    <row r="6" spans="1:10" x14ac:dyDescent="0.2">
      <c r="A6" s="456"/>
      <c r="B6" s="324"/>
      <c r="C6" s="436" t="s">
        <v>9</v>
      </c>
      <c r="D6" s="436" t="s">
        <v>8</v>
      </c>
    </row>
    <row r="7" spans="1:10" x14ac:dyDescent="0.2">
      <c r="A7" s="436"/>
      <c r="B7" s="69"/>
      <c r="C7" s="457"/>
      <c r="D7" s="497"/>
    </row>
    <row r="8" spans="1:10" x14ac:dyDescent="0.2">
      <c r="A8" s="436">
        <v>1</v>
      </c>
      <c r="B8" s="456" t="s">
        <v>52</v>
      </c>
      <c r="C8" s="498">
        <f>1-D8</f>
        <v>0.88470000000000004</v>
      </c>
      <c r="D8" s="498">
        <f>'[3]Primary and Summary'!$D105</f>
        <v>0.11529999999999996</v>
      </c>
      <c r="E8" s="78"/>
      <c r="F8" s="9"/>
      <c r="G8" s="9"/>
      <c r="H8" s="72"/>
      <c r="I8" s="73"/>
      <c r="J8" s="566"/>
    </row>
    <row r="9" spans="1:10" x14ac:dyDescent="0.2">
      <c r="A9" s="436">
        <v>2</v>
      </c>
      <c r="B9" s="456" t="s">
        <v>458</v>
      </c>
      <c r="C9" s="498">
        <f t="shared" ref="C9:C32" si="0">1-D9</f>
        <v>0.88360000000000005</v>
      </c>
      <c r="D9" s="498">
        <f>'[3]Primary and Summary'!$D106</f>
        <v>0.11639999999999995</v>
      </c>
      <c r="E9" s="78"/>
      <c r="F9" s="9"/>
      <c r="G9" s="9"/>
      <c r="H9" s="72"/>
      <c r="I9" s="73"/>
      <c r="J9" s="566"/>
    </row>
    <row r="10" spans="1:10" x14ac:dyDescent="0.2">
      <c r="A10" s="436">
        <v>3</v>
      </c>
      <c r="B10" s="456" t="s">
        <v>459</v>
      </c>
      <c r="C10" s="498">
        <f t="shared" si="0"/>
        <v>0.8952</v>
      </c>
      <c r="D10" s="498">
        <f>'[3]Primary and Summary'!$D107</f>
        <v>0.1048</v>
      </c>
      <c r="E10" s="78"/>
      <c r="F10" s="9"/>
      <c r="G10" s="9"/>
      <c r="H10" s="72"/>
      <c r="I10" s="73"/>
      <c r="J10" s="566"/>
    </row>
    <row r="11" spans="1:10" x14ac:dyDescent="0.2">
      <c r="A11" s="436">
        <v>4</v>
      </c>
      <c r="B11" s="456" t="s">
        <v>460</v>
      </c>
      <c r="C11" s="498">
        <f t="shared" si="0"/>
        <v>0.91459999999999997</v>
      </c>
      <c r="D11" s="498">
        <f>'[3]Primary and Summary'!$D108</f>
        <v>8.5400000000000031E-2</v>
      </c>
      <c r="E11" s="78"/>
      <c r="F11" s="9"/>
      <c r="G11" s="9"/>
      <c r="H11" s="72"/>
      <c r="I11" s="73"/>
      <c r="J11" s="566"/>
    </row>
    <row r="12" spans="1:10" x14ac:dyDescent="0.2">
      <c r="A12" s="436">
        <v>5</v>
      </c>
      <c r="B12" s="456" t="s">
        <v>190</v>
      </c>
      <c r="C12" s="498">
        <f t="shared" si="0"/>
        <v>0.74819999999999998</v>
      </c>
      <c r="D12" s="498">
        <f>'[3]Primary and Summary'!$D109</f>
        <v>0.25180000000000002</v>
      </c>
      <c r="E12" s="78"/>
      <c r="F12" s="9"/>
      <c r="G12" s="9"/>
      <c r="H12" s="72"/>
      <c r="I12" s="73"/>
      <c r="J12" s="566"/>
    </row>
    <row r="13" spans="1:10" x14ac:dyDescent="0.2">
      <c r="A13" s="436">
        <v>6</v>
      </c>
      <c r="B13" s="456" t="s">
        <v>101</v>
      </c>
      <c r="C13" s="498">
        <f t="shared" si="0"/>
        <v>0.89039999999999997</v>
      </c>
      <c r="D13" s="498">
        <f>'[3]Primary and Summary'!$D110</f>
        <v>0.10960000000000003</v>
      </c>
      <c r="E13" s="78"/>
      <c r="F13" s="9"/>
      <c r="G13" s="9"/>
      <c r="H13" s="72"/>
      <c r="I13" s="73"/>
      <c r="J13" s="566"/>
    </row>
    <row r="14" spans="1:10" x14ac:dyDescent="0.2">
      <c r="A14" s="436">
        <v>7</v>
      </c>
      <c r="B14" s="456" t="s">
        <v>191</v>
      </c>
      <c r="C14" s="498">
        <f t="shared" si="0"/>
        <v>0.89190000000000003</v>
      </c>
      <c r="D14" s="498">
        <f>'[3]Primary and Summary'!$D111</f>
        <v>0.10809999999999997</v>
      </c>
      <c r="E14" s="78"/>
      <c r="F14" s="9"/>
      <c r="G14" s="9"/>
      <c r="H14" s="72"/>
      <c r="I14" s="73"/>
      <c r="J14" s="566"/>
    </row>
    <row r="15" spans="1:10" x14ac:dyDescent="0.2">
      <c r="A15" s="436">
        <v>8</v>
      </c>
      <c r="B15" s="456" t="s">
        <v>192</v>
      </c>
      <c r="C15" s="498">
        <f t="shared" si="0"/>
        <v>0.89700000000000002</v>
      </c>
      <c r="D15" s="498">
        <f>'[3]Primary and Summary'!$D112</f>
        <v>0.10299999999999998</v>
      </c>
      <c r="E15" s="78"/>
      <c r="F15" s="9"/>
      <c r="G15" s="9"/>
      <c r="H15" s="72"/>
      <c r="I15" s="73"/>
      <c r="J15" s="566"/>
    </row>
    <row r="16" spans="1:10" x14ac:dyDescent="0.2">
      <c r="A16" s="436">
        <v>9</v>
      </c>
      <c r="B16" s="456" t="s">
        <v>193</v>
      </c>
      <c r="C16" s="498">
        <f t="shared" si="0"/>
        <v>0.91439999999999999</v>
      </c>
      <c r="D16" s="498">
        <f>'[3]Primary and Summary'!$D113</f>
        <v>8.5600000000000009E-2</v>
      </c>
      <c r="E16" s="78"/>
      <c r="F16" s="9"/>
      <c r="G16" s="9"/>
      <c r="H16" s="72"/>
      <c r="I16" s="73"/>
      <c r="J16" s="566"/>
    </row>
    <row r="17" spans="1:10" x14ac:dyDescent="0.2">
      <c r="A17" s="436">
        <v>10</v>
      </c>
      <c r="B17" s="456" t="s">
        <v>194</v>
      </c>
      <c r="C17" s="498">
        <f t="shared" si="0"/>
        <v>0.90569999999999995</v>
      </c>
      <c r="D17" s="498">
        <f>'[3]Primary and Summary'!$D114</f>
        <v>9.430000000000005E-2</v>
      </c>
      <c r="E17" s="78"/>
      <c r="F17" s="9"/>
      <c r="G17" s="9"/>
      <c r="H17" s="72"/>
      <c r="I17" s="73"/>
      <c r="J17" s="566"/>
    </row>
    <row r="18" spans="1:10" x14ac:dyDescent="0.2">
      <c r="A18" s="436">
        <v>14</v>
      </c>
      <c r="B18" s="560" t="s">
        <v>23</v>
      </c>
      <c r="C18" s="562">
        <f>1-D18</f>
        <v>0.89972600000000003</v>
      </c>
      <c r="D18" s="498">
        <f>'[3]Primary and Summary'!$D115</f>
        <v>0.100274</v>
      </c>
      <c r="E18" s="78"/>
      <c r="F18" s="9"/>
      <c r="G18" s="9"/>
      <c r="H18" s="72"/>
      <c r="I18" s="73"/>
      <c r="J18" s="566"/>
    </row>
    <row r="19" spans="1:10" x14ac:dyDescent="0.2">
      <c r="A19" s="436">
        <v>15</v>
      </c>
      <c r="B19" s="560" t="s">
        <v>461</v>
      </c>
      <c r="C19" s="562">
        <f t="shared" si="0"/>
        <v>0.88721899999999998</v>
      </c>
      <c r="D19" s="498">
        <f>'[3]Primary and Summary'!$D116</f>
        <v>0.11278100000000001</v>
      </c>
      <c r="E19" s="78"/>
      <c r="F19" s="9"/>
      <c r="G19" s="9"/>
      <c r="H19" s="72"/>
      <c r="I19" s="73"/>
      <c r="J19" s="566"/>
    </row>
    <row r="20" spans="1:10" x14ac:dyDescent="0.2">
      <c r="A20" s="436">
        <v>16</v>
      </c>
      <c r="B20" s="561" t="s">
        <v>149</v>
      </c>
      <c r="C20" s="562">
        <f t="shared" si="0"/>
        <v>0.89011200000000001</v>
      </c>
      <c r="D20" s="498">
        <f>'[3]Primary and Summary'!$D117</f>
        <v>0.109888</v>
      </c>
      <c r="E20" s="78"/>
      <c r="F20" s="9"/>
      <c r="G20" s="9"/>
      <c r="H20" s="72"/>
      <c r="I20" s="73"/>
      <c r="J20" s="566"/>
    </row>
    <row r="21" spans="1:10" x14ac:dyDescent="0.2">
      <c r="A21" s="436">
        <v>17</v>
      </c>
      <c r="B21" s="69" t="s">
        <v>196</v>
      </c>
      <c r="C21" s="498">
        <f t="shared" si="0"/>
        <v>0.7</v>
      </c>
      <c r="D21" s="498">
        <f>'[3]Primary and Summary'!$D118</f>
        <v>0.30000000000000004</v>
      </c>
      <c r="E21" s="78"/>
      <c r="F21" s="9"/>
      <c r="G21" s="9"/>
      <c r="H21" s="72"/>
      <c r="I21" s="73"/>
      <c r="J21" s="566"/>
    </row>
    <row r="22" spans="1:10" x14ac:dyDescent="0.2">
      <c r="A22" s="436">
        <v>18</v>
      </c>
      <c r="B22" s="69" t="s">
        <v>197</v>
      </c>
      <c r="C22" s="498">
        <f t="shared" si="0"/>
        <v>0.88888888888888884</v>
      </c>
      <c r="D22" s="498">
        <f>'[3]Primary and Summary'!$D119</f>
        <v>0.11111111111111116</v>
      </c>
      <c r="E22" s="78"/>
      <c r="F22" s="9"/>
      <c r="G22" s="9"/>
      <c r="H22" s="72"/>
      <c r="I22" s="73"/>
      <c r="J22" s="566"/>
    </row>
    <row r="23" spans="1:10" x14ac:dyDescent="0.2">
      <c r="A23" s="436">
        <v>19</v>
      </c>
      <c r="B23" s="456" t="s">
        <v>198</v>
      </c>
      <c r="C23" s="498">
        <f t="shared" si="0"/>
        <v>0</v>
      </c>
      <c r="D23" s="498">
        <f>'[3]Primary and Summary'!$D120</f>
        <v>1</v>
      </c>
      <c r="E23" s="78"/>
      <c r="F23" s="9"/>
      <c r="G23" s="9"/>
      <c r="H23" s="72"/>
      <c r="I23" s="73"/>
      <c r="J23" s="566"/>
    </row>
    <row r="24" spans="1:10" x14ac:dyDescent="0.2">
      <c r="A24" s="436">
        <v>20</v>
      </c>
      <c r="B24" s="456" t="s">
        <v>199</v>
      </c>
      <c r="C24" s="498">
        <f t="shared" si="0"/>
        <v>1</v>
      </c>
      <c r="D24" s="498">
        <f>'[3]Primary and Summary'!$D121</f>
        <v>0</v>
      </c>
      <c r="E24" s="78"/>
      <c r="F24" s="9"/>
      <c r="G24" s="9"/>
      <c r="H24" s="72"/>
      <c r="I24" s="73"/>
      <c r="J24" s="566"/>
    </row>
    <row r="25" spans="1:10" x14ac:dyDescent="0.2">
      <c r="A25" s="436">
        <v>21</v>
      </c>
      <c r="B25" s="69" t="s">
        <v>200</v>
      </c>
      <c r="C25" s="498">
        <f t="shared" si="0"/>
        <v>0.88029999999999997</v>
      </c>
      <c r="D25" s="498">
        <f>'[3]Primary and Summary'!$D122</f>
        <v>0.11970000000000003</v>
      </c>
      <c r="E25" s="78"/>
      <c r="F25" s="9"/>
      <c r="G25" s="9"/>
      <c r="H25" s="72"/>
      <c r="I25" s="73"/>
      <c r="J25" s="566"/>
    </row>
    <row r="26" spans="1:10" x14ac:dyDescent="0.2">
      <c r="A26" s="436">
        <v>22</v>
      </c>
      <c r="B26" s="69" t="s">
        <v>181</v>
      </c>
      <c r="C26" s="498">
        <f t="shared" si="0"/>
        <v>0.98777901275695978</v>
      </c>
      <c r="D26" s="498">
        <f>'[3]Primary and Summary'!$D123</f>
        <v>1.2220987243040216E-2</v>
      </c>
      <c r="E26" s="78"/>
      <c r="F26" s="9"/>
      <c r="G26" s="9"/>
      <c r="H26" s="72"/>
      <c r="I26" s="73"/>
      <c r="J26" s="566"/>
    </row>
    <row r="27" spans="1:10" x14ac:dyDescent="0.2">
      <c r="A27" s="436">
        <v>23</v>
      </c>
      <c r="B27" s="458" t="s">
        <v>201</v>
      </c>
      <c r="C27" s="498">
        <f t="shared" si="0"/>
        <v>0.88443916716336679</v>
      </c>
      <c r="D27" s="498">
        <f>'[3]Primary and Summary'!$D124</f>
        <v>0.11556083283663321</v>
      </c>
      <c r="E27" s="78"/>
      <c r="F27" s="9"/>
      <c r="G27" s="9"/>
      <c r="H27" s="72"/>
      <c r="I27" s="73"/>
      <c r="J27" s="566"/>
    </row>
    <row r="28" spans="1:10" x14ac:dyDescent="0.2">
      <c r="A28" s="436">
        <v>25</v>
      </c>
      <c r="B28" s="45" t="s">
        <v>182</v>
      </c>
      <c r="C28" s="498">
        <f t="shared" si="0"/>
        <v>0.85734874535595984</v>
      </c>
      <c r="D28" s="498">
        <f>'[3]Primary and Summary'!$D125</f>
        <v>0.14265125464404022</v>
      </c>
      <c r="E28" s="78"/>
      <c r="F28" s="9"/>
      <c r="G28" s="9"/>
      <c r="H28" s="72"/>
      <c r="I28" s="73"/>
      <c r="J28" s="566"/>
    </row>
    <row r="29" spans="1:10" x14ac:dyDescent="0.2">
      <c r="A29" s="436">
        <v>26</v>
      </c>
      <c r="B29" s="45" t="s">
        <v>462</v>
      </c>
      <c r="C29" s="498">
        <f t="shared" si="0"/>
        <v>0.9375</v>
      </c>
      <c r="D29" s="498">
        <f>'[3]Primary and Summary'!$D126</f>
        <v>6.25E-2</v>
      </c>
      <c r="E29" s="78"/>
      <c r="F29" s="9"/>
      <c r="G29" s="9"/>
      <c r="H29" s="72"/>
      <c r="I29" s="73"/>
      <c r="J29" s="566"/>
    </row>
    <row r="30" spans="1:10" x14ac:dyDescent="0.2">
      <c r="A30" s="436">
        <v>27</v>
      </c>
      <c r="B30" s="45" t="s">
        <v>595</v>
      </c>
      <c r="C30" s="498">
        <f t="shared" si="0"/>
        <v>0.96679999999999999</v>
      </c>
      <c r="D30" s="498">
        <f>'[3]Primary and Summary'!$D127</f>
        <v>3.3200000000000007E-2</v>
      </c>
      <c r="F30" s="9"/>
      <c r="G30" s="9"/>
      <c r="H30" s="72"/>
      <c r="I30" s="73"/>
      <c r="J30" s="566"/>
    </row>
    <row r="31" spans="1:10" x14ac:dyDescent="0.2">
      <c r="A31" s="436">
        <v>28</v>
      </c>
      <c r="B31" s="45" t="s">
        <v>179</v>
      </c>
      <c r="C31" s="498">
        <f t="shared" si="0"/>
        <v>0.86480682756809357</v>
      </c>
      <c r="D31" s="498">
        <f>'[3]Primary and Summary'!$D128</f>
        <v>0.13519317243190643</v>
      </c>
      <c r="F31" s="9"/>
      <c r="G31" s="9"/>
      <c r="H31" s="72"/>
      <c r="I31" s="73"/>
      <c r="J31" s="566"/>
    </row>
    <row r="32" spans="1:10" x14ac:dyDescent="0.2">
      <c r="A32" s="436">
        <v>29</v>
      </c>
      <c r="B32" s="45" t="s">
        <v>92</v>
      </c>
      <c r="C32" s="498">
        <f t="shared" si="0"/>
        <v>0.89327933302276075</v>
      </c>
      <c r="D32" s="498">
        <f>'[3]Primary and Summary'!$D129</f>
        <v>0.1067206669772393</v>
      </c>
      <c r="F32" s="9"/>
      <c r="G32" s="9"/>
      <c r="H32" s="72"/>
      <c r="I32" s="73"/>
      <c r="J32" s="566"/>
    </row>
  </sheetData>
  <customSheetViews>
    <customSheetView guid="{A7BD13BF-7E57-44D7-9B02-43E2FA430390}" showPageBreaks="1" showGridLines="0">
      <selection activeCell="I15" sqref="I15"/>
      <pageMargins left="0.5" right="0.5" top="0.5" bottom="0.5" header="0.25" footer="0.25"/>
      <printOptions horizontalCentered="1"/>
      <pageSetup scale="66" fitToHeight="2" orientation="landscape" r:id="rId1"/>
      <headerFooter alignWithMargins="0"/>
    </customSheetView>
    <customSheetView guid="{C29552AC-6B79-447F-B962-713ED43BDF1A}" showPageBreaks="1" printArea="1">
      <selection activeCell="J7" sqref="J7"/>
      <pageMargins left="0.5" right="0.5" top="0.5" bottom="0.5" header="0.25" footer="0.25"/>
      <printOptions horizontalCentered="1"/>
      <pageSetup scale="66" fitToHeight="2" orientation="landscape" r:id="rId2"/>
      <headerFooter alignWithMargins="0"/>
    </customSheetView>
    <customSheetView guid="{6ED201AA-AB2E-4FE7-B06B-B07932512C4D}" showPageBreaks="1" printArea="1">
      <selection activeCell="D20" sqref="D20"/>
      <pageMargins left="0.5" right="0.5" top="0.5" bottom="0.5" header="0.25" footer="0.25"/>
      <printOptions horizontalCentered="1"/>
      <pageSetup scale="66" fitToHeight="2" orientation="landscape" r:id="rId3"/>
      <headerFooter alignWithMargins="0"/>
    </customSheetView>
    <customSheetView guid="{D711E10B-9441-4991-A2CB-ED400E35790D}" showGridLines="0">
      <selection activeCell="D18" sqref="D18"/>
      <pageMargins left="0.5" right="0.5" top="0.5" bottom="0.5" header="0.25" footer="0.25"/>
      <printOptions horizontalCentered="1"/>
      <pageSetup scale="66" fitToHeight="2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66" fitToHeight="2" orientation="landscape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 tint="0.59999389629810485"/>
    <pageSetUpPr fitToPage="1"/>
  </sheetPr>
  <dimension ref="A1:O34"/>
  <sheetViews>
    <sheetView topLeftCell="A4" workbookViewId="0">
      <selection activeCell="C13" sqref="C13"/>
    </sheetView>
  </sheetViews>
  <sheetFormatPr defaultColWidth="9.140625" defaultRowHeight="15" x14ac:dyDescent="0.2"/>
  <cols>
    <col min="1" max="1" width="5.7109375" style="1" customWidth="1"/>
    <col min="2" max="2" width="50" style="1" customWidth="1"/>
    <col min="3" max="3" width="14.7109375" style="8" customWidth="1"/>
    <col min="4" max="4" width="12.28515625" style="8" customWidth="1"/>
    <col min="5" max="5" width="19.5703125" style="8" customWidth="1"/>
    <col min="6" max="6" width="4.140625" style="8" customWidth="1"/>
    <col min="7" max="7" width="5.7109375" style="8" customWidth="1"/>
    <col min="8" max="8" width="45.7109375" style="8" customWidth="1"/>
    <col min="9" max="9" width="14.7109375" style="8" customWidth="1"/>
    <col min="10" max="11" width="4.42578125" style="8" customWidth="1"/>
    <col min="12" max="12" width="40.85546875" style="8" bestFit="1" customWidth="1"/>
    <col min="13" max="13" width="13.28515625" style="8" customWidth="1"/>
    <col min="14" max="14" width="9.140625" style="8"/>
    <col min="15" max="15" width="12.5703125" style="8" bestFit="1" customWidth="1"/>
    <col min="16" max="16384" width="9.140625" style="8"/>
  </cols>
  <sheetData>
    <row r="1" spans="1:15" s="1" customFormat="1" x14ac:dyDescent="0.2">
      <c r="A1" s="1" t="s">
        <v>0</v>
      </c>
      <c r="C1" s="5" t="s">
        <v>746</v>
      </c>
    </row>
    <row r="2" spans="1:15" s="1" customFormat="1" x14ac:dyDescent="0.2">
      <c r="A2" s="1" t="str">
        <f>'KTW-4,5,8 p1 - Adjust Issues'!A3</f>
        <v>Test Year Based on Twelve Months Ended September 30, 2020</v>
      </c>
      <c r="C2" s="5" t="s">
        <v>771</v>
      </c>
    </row>
    <row r="3" spans="1:15" s="1" customFormat="1" x14ac:dyDescent="0.2">
      <c r="A3" s="1" t="s">
        <v>3</v>
      </c>
    </row>
    <row r="4" spans="1:15" s="1" customFormat="1" x14ac:dyDescent="0.2"/>
    <row r="5" spans="1:15" s="1" customFormat="1" x14ac:dyDescent="0.2">
      <c r="A5" s="604" t="s">
        <v>8</v>
      </c>
      <c r="B5" s="604"/>
      <c r="C5" s="604"/>
      <c r="G5" s="604" t="s">
        <v>7</v>
      </c>
      <c r="H5" s="604"/>
      <c r="I5" s="604"/>
    </row>
    <row r="6" spans="1:15" s="1" customFormat="1" x14ac:dyDescent="0.2"/>
    <row r="7" spans="1:15" s="1" customFormat="1" x14ac:dyDescent="0.2">
      <c r="A7" s="5" t="s">
        <v>15</v>
      </c>
      <c r="G7" s="5" t="s">
        <v>15</v>
      </c>
    </row>
    <row r="8" spans="1:15" s="1" customFormat="1" x14ac:dyDescent="0.2">
      <c r="A8" s="477" t="s">
        <v>31</v>
      </c>
      <c r="B8" s="45"/>
      <c r="C8" s="477" t="s">
        <v>50</v>
      </c>
      <c r="D8" s="45"/>
      <c r="E8" s="45"/>
      <c r="F8" s="45"/>
      <c r="G8" s="477" t="s">
        <v>31</v>
      </c>
      <c r="H8" s="45"/>
      <c r="I8" s="477" t="s">
        <v>50</v>
      </c>
    </row>
    <row r="9" spans="1:15" s="1" customFormat="1" x14ac:dyDescent="0.2">
      <c r="A9" s="353"/>
      <c r="C9" s="481" t="s">
        <v>55</v>
      </c>
      <c r="G9" s="482"/>
      <c r="I9" s="481" t="s">
        <v>55</v>
      </c>
    </row>
    <row r="10" spans="1:15" x14ac:dyDescent="0.2">
      <c r="A10" s="5"/>
    </row>
    <row r="11" spans="1:15" x14ac:dyDescent="0.2">
      <c r="A11" s="5">
        <v>1</v>
      </c>
      <c r="B11" s="1" t="s">
        <v>78</v>
      </c>
      <c r="C11" s="11">
        <f>'KTW-2 - Rev Req'!C16-'KTW-2 - Rev Req'!C23-'KTW-2 - Rev Req'!C27-'KTW-2 - Rev Req'!C28-'KTW-2 - Rev Req'!C29</f>
        <v>12268246.799986228</v>
      </c>
      <c r="G11" s="5">
        <v>1</v>
      </c>
      <c r="H11" s="1" t="s">
        <v>78</v>
      </c>
      <c r="I11" s="11">
        <f>+'KTW-3 p1 - Test Year Results'!C16-'KTW-3 p1 - Test Year Results'!C23-'KTW-3 p1 - Test Year Results'!C28-'KTW-3 p1 - Test Year Results'!C29-'KTW-3 p1 - Test Year Results'!C30</f>
        <v>106472813.86000021</v>
      </c>
    </row>
    <row r="12" spans="1:15" x14ac:dyDescent="0.2">
      <c r="A12" s="5"/>
      <c r="C12" s="29"/>
      <c r="G12" s="5"/>
      <c r="H12" s="1"/>
      <c r="I12" s="29"/>
    </row>
    <row r="13" spans="1:15" x14ac:dyDescent="0.2">
      <c r="A13" s="5">
        <v>2</v>
      </c>
      <c r="B13" s="1" t="s">
        <v>88</v>
      </c>
      <c r="C13" s="49">
        <f>'KTW-2 - Rev Req'!C35*'KTW-3 p8 - Cost of Cap'!C41</f>
        <v>4490957.5147624994</v>
      </c>
      <c r="G13" s="5">
        <v>2</v>
      </c>
      <c r="H13" s="1" t="s">
        <v>88</v>
      </c>
      <c r="I13" s="49">
        <f>+'KTW-3 p1 - Test Year Results'!C36*'KTW-3 p8 - Cost of Cap'!C41</f>
        <v>33218818.923895631</v>
      </c>
      <c r="L13" s="357"/>
    </row>
    <row r="14" spans="1:15" x14ac:dyDescent="0.2">
      <c r="A14" s="5"/>
      <c r="C14" s="29"/>
      <c r="G14" s="5"/>
      <c r="H14" s="1"/>
      <c r="I14" s="29"/>
      <c r="L14" s="50" t="s">
        <v>740</v>
      </c>
      <c r="M14" s="51"/>
    </row>
    <row r="15" spans="1:15" x14ac:dyDescent="0.2">
      <c r="A15" s="5">
        <v>3</v>
      </c>
      <c r="B15" s="1" t="s">
        <v>97</v>
      </c>
      <c r="C15" s="29">
        <f>C11-C13</f>
        <v>7777289.285223729</v>
      </c>
      <c r="G15" s="5">
        <v>3</v>
      </c>
      <c r="H15" s="1" t="s">
        <v>97</v>
      </c>
      <c r="I15" s="29">
        <f>+I11-I13</f>
        <v>73253994.936104581</v>
      </c>
      <c r="L15" s="52" t="s">
        <v>793</v>
      </c>
      <c r="M15" s="531">
        <f>[4]Perms!$K$10</f>
        <v>7350000</v>
      </c>
      <c r="O15" s="53"/>
    </row>
    <row r="16" spans="1:15" x14ac:dyDescent="0.2">
      <c r="A16" s="5"/>
      <c r="C16" s="29"/>
      <c r="G16" s="5"/>
      <c r="H16" s="1"/>
      <c r="I16" s="29"/>
      <c r="L16" s="54" t="s">
        <v>794</v>
      </c>
      <c r="M16" s="532">
        <f>[4]Perms!$K$11</f>
        <v>-1175000</v>
      </c>
    </row>
    <row r="17" spans="1:15" x14ac:dyDescent="0.2">
      <c r="A17" s="5">
        <v>4</v>
      </c>
      <c r="B17" s="1" t="s">
        <v>162</v>
      </c>
      <c r="C17" s="14">
        <f>M21*D17</f>
        <v>866935.63452792983</v>
      </c>
      <c r="D17" s="55">
        <f>+'KTW-3 p4 - Factors'!D27</f>
        <v>0.11556083283663321</v>
      </c>
      <c r="E17" s="56" t="s">
        <v>214</v>
      </c>
      <c r="G17" s="5">
        <v>4</v>
      </c>
      <c r="H17" s="1" t="s">
        <v>162</v>
      </c>
      <c r="I17" s="16">
        <f>-M21+M23</f>
        <v>-7501985</v>
      </c>
      <c r="L17" s="54" t="s">
        <v>795</v>
      </c>
      <c r="M17" s="532">
        <f>[4]Perms!$K$8</f>
        <v>675867</v>
      </c>
      <c r="N17" s="31"/>
    </row>
    <row r="18" spans="1:15" x14ac:dyDescent="0.2">
      <c r="A18" s="5"/>
      <c r="C18" s="57"/>
      <c r="G18" s="5"/>
      <c r="H18" s="1"/>
      <c r="I18" s="57"/>
      <c r="L18" s="54" t="s">
        <v>796</v>
      </c>
      <c r="M18" s="532">
        <f>[4]Perms!$K$9</f>
        <v>448517</v>
      </c>
      <c r="N18" s="31"/>
    </row>
    <row r="19" spans="1:15" x14ac:dyDescent="0.2">
      <c r="A19" s="5">
        <v>5</v>
      </c>
      <c r="B19" s="1" t="s">
        <v>588</v>
      </c>
      <c r="C19" s="29">
        <f>C15+C17</f>
        <v>8644224.919751659</v>
      </c>
      <c r="G19" s="5">
        <v>5</v>
      </c>
      <c r="H19" s="1" t="s">
        <v>588</v>
      </c>
      <c r="I19" s="29">
        <f>+I15+I17</f>
        <v>65752009.936104581</v>
      </c>
      <c r="L19" s="54" t="s">
        <v>797</v>
      </c>
      <c r="M19" s="532">
        <f>[4]Perms!$K$12</f>
        <v>112728</v>
      </c>
      <c r="N19" s="31"/>
    </row>
    <row r="20" spans="1:15" x14ac:dyDescent="0.2">
      <c r="A20" s="5"/>
      <c r="C20" s="29"/>
      <c r="G20" s="5"/>
      <c r="H20" s="1"/>
      <c r="I20" s="29"/>
      <c r="L20" s="58" t="s">
        <v>606</v>
      </c>
      <c r="M20" s="533">
        <f>[4]Perms!$K$13</f>
        <v>89873</v>
      </c>
      <c r="N20" s="31"/>
      <c r="O20" s="59"/>
    </row>
    <row r="21" spans="1:15" ht="15.75" thickBot="1" x14ac:dyDescent="0.25">
      <c r="A21" s="5">
        <v>6</v>
      </c>
      <c r="B21" s="1" t="s">
        <v>115</v>
      </c>
      <c r="C21" s="60">
        <f>'KTW-3 p8 - Cost of Cap'!C43</f>
        <v>0.21</v>
      </c>
      <c r="G21" s="5">
        <v>6</v>
      </c>
      <c r="H21" s="1" t="s">
        <v>578</v>
      </c>
      <c r="I21" s="60">
        <v>7.5999999999999998E-2</v>
      </c>
      <c r="L21" s="61" t="s">
        <v>605</v>
      </c>
      <c r="M21" s="62">
        <f>SUM(M15:M20)</f>
        <v>7501985</v>
      </c>
      <c r="N21" s="63"/>
    </row>
    <row r="22" spans="1:15" ht="15.75" thickTop="1" x14ac:dyDescent="0.2">
      <c r="A22" s="5"/>
      <c r="C22" s="64"/>
      <c r="G22" s="5"/>
      <c r="H22" s="1"/>
      <c r="I22" s="64"/>
    </row>
    <row r="23" spans="1:15" ht="15.75" thickBot="1" x14ac:dyDescent="0.3">
      <c r="A23" s="5">
        <v>7</v>
      </c>
      <c r="B23" s="1" t="s">
        <v>581</v>
      </c>
      <c r="C23" s="65">
        <f>+C19*C21</f>
        <v>1815287.2331478484</v>
      </c>
      <c r="G23" s="5">
        <v>7</v>
      </c>
      <c r="H23" s="1" t="s">
        <v>579</v>
      </c>
      <c r="I23" s="32">
        <f>+I19*I21</f>
        <v>4997152.7551439479</v>
      </c>
      <c r="L23" s="66"/>
      <c r="M23" s="406"/>
    </row>
    <row r="24" spans="1:15" ht="15.75" thickTop="1" x14ac:dyDescent="0.2">
      <c r="B24" s="8"/>
      <c r="M24" s="67"/>
    </row>
    <row r="25" spans="1:15" x14ac:dyDescent="0.25">
      <c r="A25" s="5">
        <v>8</v>
      </c>
      <c r="B25" s="1" t="s">
        <v>749</v>
      </c>
      <c r="C25" s="14">
        <f>+D25*M25+M29</f>
        <v>-410221.29599999997</v>
      </c>
      <c r="D25" s="55">
        <f>+'KTW-3 p4 - Factors'!D13</f>
        <v>0.10960000000000003</v>
      </c>
      <c r="E25" s="8" t="s">
        <v>556</v>
      </c>
      <c r="G25" s="5">
        <v>8</v>
      </c>
      <c r="H25" s="1" t="s">
        <v>589</v>
      </c>
      <c r="I25" s="8">
        <f>+I19-I23</f>
        <v>60754857.180960633</v>
      </c>
      <c r="L25" s="66" t="s">
        <v>577</v>
      </c>
      <c r="M25" s="541">
        <f>[4]Perms!$K$18</f>
        <v>-93260</v>
      </c>
      <c r="N25" s="31"/>
    </row>
    <row r="26" spans="1:15" x14ac:dyDescent="0.2">
      <c r="A26" s="5"/>
      <c r="G26" s="5"/>
      <c r="L26" s="31"/>
    </row>
    <row r="27" spans="1:15" ht="15.75" thickBot="1" x14ac:dyDescent="0.3">
      <c r="A27" s="5">
        <v>9</v>
      </c>
      <c r="B27" s="1" t="s">
        <v>582</v>
      </c>
      <c r="C27" s="32">
        <f>+C23+C25</f>
        <v>1405065.9371478483</v>
      </c>
      <c r="G27" s="5">
        <v>9</v>
      </c>
      <c r="H27" s="1" t="s">
        <v>580</v>
      </c>
      <c r="I27" s="60">
        <v>0.21</v>
      </c>
      <c r="L27" s="8" t="s">
        <v>656</v>
      </c>
      <c r="M27" s="28">
        <v>-5641514</v>
      </c>
      <c r="N27" s="31"/>
    </row>
    <row r="28" spans="1:15" ht="15.75" thickTop="1" x14ac:dyDescent="0.2">
      <c r="G28" s="5"/>
      <c r="H28" s="1"/>
      <c r="I28" s="64"/>
    </row>
    <row r="29" spans="1:15" x14ac:dyDescent="0.25">
      <c r="G29" s="5">
        <v>10</v>
      </c>
      <c r="H29" s="1" t="s">
        <v>581</v>
      </c>
      <c r="I29" s="65">
        <f>+I25*I27</f>
        <v>12758520.008001732</v>
      </c>
      <c r="L29" s="8" t="s">
        <v>657</v>
      </c>
      <c r="M29" s="28">
        <v>-400000</v>
      </c>
    </row>
    <row r="31" spans="1:15" x14ac:dyDescent="0.25">
      <c r="G31" s="5">
        <v>11</v>
      </c>
      <c r="H31" s="1" t="s">
        <v>749</v>
      </c>
      <c r="I31" s="375">
        <f>(+M25)+M27+M29</f>
        <v>-6134774</v>
      </c>
      <c r="L31" s="8" t="s">
        <v>658</v>
      </c>
      <c r="M31" s="28">
        <v>-375000</v>
      </c>
    </row>
    <row r="32" spans="1:15" x14ac:dyDescent="0.2">
      <c r="G32" s="5"/>
      <c r="H32" s="1"/>
    </row>
    <row r="33" spans="7:13" ht="15.75" thickBot="1" x14ac:dyDescent="0.25">
      <c r="G33" s="5">
        <v>12</v>
      </c>
      <c r="H33" s="1" t="s">
        <v>453</v>
      </c>
      <c r="I33" s="32">
        <f>+I29+I31</f>
        <v>6623746.0080017317</v>
      </c>
      <c r="L33" s="8" t="s">
        <v>661</v>
      </c>
      <c r="M33" s="61">
        <f>M31-M29</f>
        <v>25000</v>
      </c>
    </row>
    <row r="34" spans="7:13" ht="15.75" thickTop="1" x14ac:dyDescent="0.2"/>
  </sheetData>
  <customSheetViews>
    <customSheetView guid="{A7BD13BF-7E57-44D7-9B02-43E2FA430390}" showPageBreaks="1" fitToPage="1" printArea="1">
      <selection activeCell="A2" sqref="A2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showPageBreaks="1" fitToPage="1" printArea="1" topLeftCell="A7">
      <selection activeCell="L35" sqref="L35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showPageBreaks="1" fitToPage="1" printArea="1">
      <selection activeCell="L35" sqref="L35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 topLeftCell="A4">
      <selection activeCell="C25" sqref="C25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mergeCells count="2">
    <mergeCell ref="A5:C5"/>
    <mergeCell ref="G5:I5"/>
  </mergeCells>
  <phoneticPr fontId="0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5" tint="0.59999389629810485"/>
    <pageSetUpPr fitToPage="1"/>
  </sheetPr>
  <dimension ref="A1:R97"/>
  <sheetViews>
    <sheetView zoomScale="90" zoomScaleNormal="90" workbookViewId="0">
      <pane xSplit="3" ySplit="8" topLeftCell="F9" activePane="bottomRight" state="frozen"/>
      <selection pane="topRight" activeCell="D1" sqref="D1"/>
      <selection pane="bottomLeft" activeCell="A9" sqref="A9"/>
      <selection pane="bottomRight" activeCell="P81" sqref="P81"/>
    </sheetView>
  </sheetViews>
  <sheetFormatPr defaultColWidth="9.140625" defaultRowHeight="15" outlineLevelRow="1" x14ac:dyDescent="0.2"/>
  <cols>
    <col min="1" max="1" width="4.7109375" style="8" customWidth="1"/>
    <col min="2" max="2" width="30.5703125" style="8" customWidth="1"/>
    <col min="3" max="3" width="10.42578125" style="21" customWidth="1"/>
    <col min="4" max="14" width="15.7109375" style="8" customWidth="1"/>
    <col min="15" max="15" width="16.42578125" style="8" customWidth="1"/>
    <col min="16" max="17" width="15.7109375" style="8" customWidth="1"/>
    <col min="18" max="18" width="14.85546875" style="21" bestFit="1" customWidth="1"/>
    <col min="19" max="16384" width="9.140625" style="8"/>
  </cols>
  <sheetData>
    <row r="1" spans="1:18" ht="15" customHeight="1" x14ac:dyDescent="0.2">
      <c r="A1" s="74" t="s">
        <v>0</v>
      </c>
      <c r="C1" s="306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68" t="s">
        <v>746</v>
      </c>
    </row>
    <row r="2" spans="1:18" ht="15" customHeight="1" x14ac:dyDescent="0.2">
      <c r="A2" s="74" t="s">
        <v>2</v>
      </c>
      <c r="C2" s="306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68" t="s">
        <v>772</v>
      </c>
    </row>
    <row r="3" spans="1:18" ht="15" customHeight="1" x14ac:dyDescent="0.2">
      <c r="A3" s="3" t="str">
        <f>+'KTW-3 p1 - Test Year Results'!A3</f>
        <v>Test Year Based on Twelve Months Ended September 30, 2020</v>
      </c>
      <c r="C3" s="306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8" ht="15" customHeight="1" x14ac:dyDescent="0.2">
      <c r="A4" s="74" t="s">
        <v>309</v>
      </c>
      <c r="C4" s="306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573"/>
    </row>
    <row r="5" spans="1:18" ht="15" customHeight="1" x14ac:dyDescent="0.25">
      <c r="B5" s="188"/>
      <c r="C5" s="306"/>
      <c r="D5" s="307" t="s">
        <v>304</v>
      </c>
      <c r="E5" s="307" t="s">
        <v>305</v>
      </c>
      <c r="F5" s="307" t="s">
        <v>306</v>
      </c>
      <c r="G5" s="307" t="s">
        <v>307</v>
      </c>
      <c r="H5" s="307" t="s">
        <v>297</v>
      </c>
      <c r="I5" s="307" t="s">
        <v>298</v>
      </c>
      <c r="J5" s="307" t="s">
        <v>299</v>
      </c>
      <c r="K5" s="307" t="s">
        <v>300</v>
      </c>
      <c r="L5" s="307" t="s">
        <v>18</v>
      </c>
      <c r="M5" s="307" t="s">
        <v>301</v>
      </c>
      <c r="N5" s="307" t="s">
        <v>302</v>
      </c>
      <c r="O5" s="307" t="s">
        <v>303</v>
      </c>
      <c r="P5" s="307" t="s">
        <v>304</v>
      </c>
      <c r="Q5" s="307" t="s">
        <v>435</v>
      </c>
      <c r="R5" s="573"/>
    </row>
    <row r="6" spans="1:18" ht="15" customHeight="1" x14ac:dyDescent="0.25">
      <c r="B6" s="188"/>
      <c r="C6" s="306"/>
      <c r="D6" s="308">
        <v>2019</v>
      </c>
      <c r="E6" s="308">
        <f>+D6</f>
        <v>2019</v>
      </c>
      <c r="F6" s="308">
        <f t="shared" ref="F6:P6" si="0">+E6</f>
        <v>2019</v>
      </c>
      <c r="G6" s="308">
        <f t="shared" si="0"/>
        <v>2019</v>
      </c>
      <c r="H6" s="308">
        <v>2020</v>
      </c>
      <c r="I6" s="308">
        <f t="shared" si="0"/>
        <v>2020</v>
      </c>
      <c r="J6" s="308">
        <f t="shared" si="0"/>
        <v>2020</v>
      </c>
      <c r="K6" s="308">
        <f t="shared" si="0"/>
        <v>2020</v>
      </c>
      <c r="L6" s="308">
        <f t="shared" si="0"/>
        <v>2020</v>
      </c>
      <c r="M6" s="308">
        <f t="shared" si="0"/>
        <v>2020</v>
      </c>
      <c r="N6" s="308">
        <f t="shared" si="0"/>
        <v>2020</v>
      </c>
      <c r="O6" s="308">
        <f t="shared" si="0"/>
        <v>2020</v>
      </c>
      <c r="P6" s="308">
        <f t="shared" si="0"/>
        <v>2020</v>
      </c>
      <c r="Q6" s="309" t="s">
        <v>436</v>
      </c>
      <c r="R6" s="573"/>
    </row>
    <row r="7" spans="1:18" ht="15" customHeight="1" thickBot="1" x14ac:dyDescent="0.25">
      <c r="A7" s="607" t="s">
        <v>7</v>
      </c>
      <c r="B7" s="607"/>
      <c r="C7" s="607"/>
      <c r="D7" s="436" t="s">
        <v>55</v>
      </c>
      <c r="E7" s="436" t="s">
        <v>56</v>
      </c>
      <c r="F7" s="437" t="s">
        <v>57</v>
      </c>
      <c r="G7" s="436" t="s">
        <v>58</v>
      </c>
      <c r="H7" s="436" t="s">
        <v>59</v>
      </c>
      <c r="I7" s="68" t="s">
        <v>65</v>
      </c>
      <c r="J7" s="68" t="s">
        <v>66</v>
      </c>
      <c r="K7" s="68" t="s">
        <v>67</v>
      </c>
      <c r="L7" s="68" t="s">
        <v>68</v>
      </c>
      <c r="M7" s="68" t="s">
        <v>69</v>
      </c>
      <c r="N7" s="68" t="s">
        <v>70</v>
      </c>
      <c r="O7" s="68" t="s">
        <v>272</v>
      </c>
      <c r="P7" s="68" t="s">
        <v>273</v>
      </c>
      <c r="Q7" s="68" t="s">
        <v>71</v>
      </c>
      <c r="R7" s="573"/>
    </row>
    <row r="8" spans="1:18" ht="15" customHeight="1" outlineLevel="1" x14ac:dyDescent="0.25">
      <c r="A8" s="212" t="s">
        <v>36</v>
      </c>
      <c r="B8" s="214"/>
      <c r="C8" s="310"/>
      <c r="D8" s="311"/>
      <c r="E8" s="311"/>
      <c r="F8" s="311"/>
      <c r="G8" s="312"/>
      <c r="H8" s="306"/>
      <c r="I8" s="188"/>
      <c r="J8" s="188"/>
      <c r="K8" s="188"/>
      <c r="L8" s="188"/>
      <c r="M8" s="188"/>
      <c r="N8" s="188"/>
      <c r="O8" s="188"/>
      <c r="P8" s="188"/>
      <c r="Q8" s="188"/>
    </row>
    <row r="9" spans="1:18" ht="15" customHeight="1" outlineLevel="1" x14ac:dyDescent="0.25">
      <c r="A9" s="313"/>
      <c r="B9" s="313" t="s">
        <v>463</v>
      </c>
      <c r="C9" s="310"/>
      <c r="D9" s="315">
        <f>[5]Summary!E49</f>
        <v>123274685.10999998</v>
      </c>
      <c r="E9" s="315">
        <f>[5]Summary!F49</f>
        <v>124781269.97999999</v>
      </c>
      <c r="F9" s="315">
        <f>[5]Summary!G49</f>
        <v>124835762.41999999</v>
      </c>
      <c r="G9" s="315">
        <f>[5]Summary!H49</f>
        <v>126083550.66999997</v>
      </c>
      <c r="H9" s="315">
        <f>[5]Summary!I49</f>
        <v>126361928.32999997</v>
      </c>
      <c r="I9" s="315">
        <f>[5]Summary!J49</f>
        <v>126902292.18999997</v>
      </c>
      <c r="J9" s="315">
        <f>[5]Summary!K49</f>
        <v>127269224.40999997</v>
      </c>
      <c r="K9" s="315">
        <f>[5]Summary!L49</f>
        <v>128070083.59999996</v>
      </c>
      <c r="L9" s="315">
        <f>[5]Summary!M49</f>
        <v>142483946.00999999</v>
      </c>
      <c r="M9" s="315">
        <f>[5]Summary!N49</f>
        <v>142561912.15999997</v>
      </c>
      <c r="N9" s="315">
        <f>[5]Summary!O49</f>
        <v>142850694.39000002</v>
      </c>
      <c r="O9" s="315">
        <f>[5]Summary!P49</f>
        <v>143502503.77000001</v>
      </c>
      <c r="P9" s="315">
        <f>[5]Summary!Q49</f>
        <v>148078451.06999999</v>
      </c>
      <c r="Q9" s="315">
        <f>((D9/2)+SUM(E9:O9)+(P9/2))/12</f>
        <v>132614978.00166668</v>
      </c>
    </row>
    <row r="10" spans="1:18" ht="15" customHeight="1" outlineLevel="1" x14ac:dyDescent="0.25">
      <c r="A10" s="313"/>
      <c r="B10" s="313" t="s">
        <v>464</v>
      </c>
      <c r="C10" s="310"/>
      <c r="D10" s="315">
        <f>[5]Summary!E50</f>
        <v>84795.27</v>
      </c>
      <c r="E10" s="315">
        <f>[5]Summary!F50</f>
        <v>84795.27</v>
      </c>
      <c r="F10" s="315">
        <f>[5]Summary!G50</f>
        <v>84795.27</v>
      </c>
      <c r="G10" s="315">
        <f>[5]Summary!H50</f>
        <v>84795.27</v>
      </c>
      <c r="H10" s="315">
        <f>[5]Summary!I50</f>
        <v>84795.27</v>
      </c>
      <c r="I10" s="315">
        <f>[5]Summary!J50</f>
        <v>84795.27</v>
      </c>
      <c r="J10" s="315">
        <f>[5]Summary!K50</f>
        <v>84795.27</v>
      </c>
      <c r="K10" s="315">
        <f>[5]Summary!L50</f>
        <v>84795.27</v>
      </c>
      <c r="L10" s="315">
        <f>[5]Summary!M50</f>
        <v>84795.27</v>
      </c>
      <c r="M10" s="315">
        <f>[5]Summary!N50</f>
        <v>84795.27</v>
      </c>
      <c r="N10" s="315">
        <f>[5]Summary!O50</f>
        <v>84795.27</v>
      </c>
      <c r="O10" s="315">
        <f>[5]Summary!P50</f>
        <v>84795.27</v>
      </c>
      <c r="P10" s="315">
        <f>[5]Summary!Q50</f>
        <v>84795.27</v>
      </c>
      <c r="Q10" s="315">
        <f>((D10/2)+SUM(E10:O10)+(P10/2))/12</f>
        <v>84795.27</v>
      </c>
    </row>
    <row r="11" spans="1:18" ht="15" customHeight="1" outlineLevel="1" x14ac:dyDescent="0.25">
      <c r="A11" s="313"/>
      <c r="B11" s="313" t="s">
        <v>180</v>
      </c>
      <c r="C11" s="310"/>
      <c r="D11" s="315">
        <f>[5]Summary!E51</f>
        <v>675198</v>
      </c>
      <c r="E11" s="315">
        <f>[5]Summary!F51</f>
        <v>675198</v>
      </c>
      <c r="F11" s="315">
        <f>[5]Summary!G51</f>
        <v>675198</v>
      </c>
      <c r="G11" s="315">
        <f>[5]Summary!H51</f>
        <v>675198</v>
      </c>
      <c r="H11" s="315">
        <f>[5]Summary!I51</f>
        <v>675198</v>
      </c>
      <c r="I11" s="315">
        <f>[5]Summary!J51</f>
        <v>675198</v>
      </c>
      <c r="J11" s="315">
        <f>[5]Summary!K51</f>
        <v>675198</v>
      </c>
      <c r="K11" s="315">
        <f>[5]Summary!L51</f>
        <v>675198</v>
      </c>
      <c r="L11" s="315">
        <f>[5]Summary!M51</f>
        <v>675198</v>
      </c>
      <c r="M11" s="315">
        <f>[5]Summary!N51</f>
        <v>675198</v>
      </c>
      <c r="N11" s="315">
        <f>[5]Summary!O51</f>
        <v>675198</v>
      </c>
      <c r="O11" s="315">
        <f>[5]Summary!P51</f>
        <v>675198</v>
      </c>
      <c r="P11" s="315">
        <f>[5]Summary!Q51</f>
        <v>675198</v>
      </c>
      <c r="Q11" s="315">
        <f t="shared" ref="Q11:Q72" si="1">((D11/2)+SUM(E11:O11)+(P11/2))/12</f>
        <v>675198</v>
      </c>
    </row>
    <row r="12" spans="1:18" ht="15" customHeight="1" outlineLevel="1" x14ac:dyDescent="0.25">
      <c r="A12" s="313"/>
      <c r="B12" s="313" t="s">
        <v>181</v>
      </c>
      <c r="C12" s="310"/>
      <c r="D12" s="315">
        <f>[5]Summary!E52</f>
        <v>189500741.28</v>
      </c>
      <c r="E12" s="315">
        <f>[5]Summary!F52</f>
        <v>191385638.89000002</v>
      </c>
      <c r="F12" s="315">
        <f>[5]Summary!G52</f>
        <v>191639508.67000002</v>
      </c>
      <c r="G12" s="315">
        <f>[5]Summary!H52</f>
        <v>192013583.40000001</v>
      </c>
      <c r="H12" s="315">
        <f>[5]Summary!I52</f>
        <v>192106203.5</v>
      </c>
      <c r="I12" s="315">
        <f>[5]Summary!J52</f>
        <v>192161416.25</v>
      </c>
      <c r="J12" s="315">
        <f>[5]Summary!K52</f>
        <v>192375286.74000001</v>
      </c>
      <c r="K12" s="315">
        <f>[5]Summary!L52</f>
        <v>192371065.69</v>
      </c>
      <c r="L12" s="315">
        <f>[5]Summary!M52</f>
        <v>192536004.01999998</v>
      </c>
      <c r="M12" s="315">
        <f>[5]Summary!N52</f>
        <v>192560956.14999998</v>
      </c>
      <c r="N12" s="315">
        <f>[5]Summary!O52</f>
        <v>192784607.14999998</v>
      </c>
      <c r="O12" s="315">
        <f>[5]Summary!P52</f>
        <v>192809906.41999999</v>
      </c>
      <c r="P12" s="315">
        <f>[5]Summary!Q52</f>
        <v>194512128.98999998</v>
      </c>
      <c r="Q12" s="315">
        <f t="shared" si="1"/>
        <v>192229217.66791666</v>
      </c>
    </row>
    <row r="13" spans="1:18" ht="15" customHeight="1" outlineLevel="1" x14ac:dyDescent="0.25">
      <c r="A13" s="313"/>
      <c r="B13" s="313" t="s">
        <v>182</v>
      </c>
      <c r="C13" s="310"/>
      <c r="D13" s="315">
        <f>[5]Summary!E53</f>
        <v>2327611703.3399997</v>
      </c>
      <c r="E13" s="315">
        <f>[5]Summary!F53</f>
        <v>2338705080.4499998</v>
      </c>
      <c r="F13" s="315">
        <f>[5]Summary!G53</f>
        <v>2345896964.3500004</v>
      </c>
      <c r="G13" s="315">
        <f>[5]Summary!H53</f>
        <v>2373283799.6799998</v>
      </c>
      <c r="H13" s="315">
        <f>[5]Summary!I53</f>
        <v>2382356018.9400001</v>
      </c>
      <c r="I13" s="315">
        <f>[5]Summary!J53</f>
        <v>2388897735.7599998</v>
      </c>
      <c r="J13" s="315">
        <f>[5]Summary!K53</f>
        <v>2401160966.6500001</v>
      </c>
      <c r="K13" s="315">
        <f>[5]Summary!L53</f>
        <v>2406620571.0899992</v>
      </c>
      <c r="L13" s="315">
        <f>[5]Summary!M53</f>
        <v>2417848886.4399996</v>
      </c>
      <c r="M13" s="315">
        <f>[5]Summary!N53</f>
        <v>2427637708.9799995</v>
      </c>
      <c r="N13" s="315">
        <f>[5]Summary!O53</f>
        <v>2433654068.1799994</v>
      </c>
      <c r="O13" s="315">
        <f>[5]Summary!P53</f>
        <v>2444067223.0299993</v>
      </c>
      <c r="P13" s="315">
        <f>[5]Summary!Q53</f>
        <v>2453023843.7699995</v>
      </c>
      <c r="Q13" s="315">
        <f t="shared" si="1"/>
        <v>2395870566.425416</v>
      </c>
    </row>
    <row r="14" spans="1:18" ht="15" customHeight="1" outlineLevel="1" x14ac:dyDescent="0.25">
      <c r="A14" s="313"/>
      <c r="B14" s="313" t="s">
        <v>195</v>
      </c>
      <c r="C14" s="310"/>
      <c r="D14" s="315">
        <f>[5]Summary!E54</f>
        <v>11648059.540000001</v>
      </c>
      <c r="E14" s="315">
        <f>[5]Summary!F54</f>
        <v>11652361.450000001</v>
      </c>
      <c r="F14" s="315">
        <f>[5]Summary!G54</f>
        <v>11652361.450000001</v>
      </c>
      <c r="G14" s="315">
        <f>[5]Summary!H54</f>
        <v>11652361.450000001</v>
      </c>
      <c r="H14" s="315">
        <f>[5]Summary!I54</f>
        <v>11657756.950000001</v>
      </c>
      <c r="I14" s="315">
        <f>[5]Summary!J54</f>
        <v>11657756.950000001</v>
      </c>
      <c r="J14" s="315">
        <f>[5]Summary!K54</f>
        <v>11657756.950000001</v>
      </c>
      <c r="K14" s="315">
        <f>[5]Summary!L54</f>
        <v>11652361.450000001</v>
      </c>
      <c r="L14" s="315">
        <f>[5]Summary!M54</f>
        <v>11655418.9</v>
      </c>
      <c r="M14" s="315">
        <f>[5]Summary!N54</f>
        <v>12629043.970000001</v>
      </c>
      <c r="N14" s="315">
        <f>[5]Summary!O54</f>
        <v>12633408.030000001</v>
      </c>
      <c r="O14" s="315">
        <f>[5]Summary!P54</f>
        <v>12629290.590000002</v>
      </c>
      <c r="P14" s="315">
        <f>[5]Summary!Q54</f>
        <v>12639875.300000003</v>
      </c>
      <c r="Q14" s="315">
        <f t="shared" si="1"/>
        <v>11939487.130000003</v>
      </c>
    </row>
    <row r="15" spans="1:18" ht="15" customHeight="1" outlineLevel="1" x14ac:dyDescent="0.25">
      <c r="A15" s="313"/>
      <c r="B15" s="212" t="s">
        <v>465</v>
      </c>
      <c r="C15" s="310"/>
      <c r="D15" s="315">
        <f>[5]Summary!E55</f>
        <v>74934549.640000001</v>
      </c>
      <c r="E15" s="315">
        <f>[5]Summary!F55</f>
        <v>74964041.629999995</v>
      </c>
      <c r="F15" s="315">
        <f>[5]Summary!G55</f>
        <v>74966478.699999988</v>
      </c>
      <c r="G15" s="315">
        <f>[5]Summary!H55</f>
        <v>74981091.379999995</v>
      </c>
      <c r="H15" s="315">
        <f>[5]Summary!I55</f>
        <v>74985643.679999992</v>
      </c>
      <c r="I15" s="315">
        <f>[5]Summary!J55</f>
        <v>74992223.939999998</v>
      </c>
      <c r="J15" s="315">
        <f>[5]Summary!K55</f>
        <v>75303801.329999998</v>
      </c>
      <c r="K15" s="315">
        <f>[5]Summary!L55</f>
        <v>75340238.5</v>
      </c>
      <c r="L15" s="315">
        <f>[5]Summary!M55</f>
        <v>75344263.030000001</v>
      </c>
      <c r="M15" s="315">
        <f>[5]Summary!N55</f>
        <v>75391362</v>
      </c>
      <c r="N15" s="315">
        <f>[5]Summary!O55</f>
        <v>75393743.609999999</v>
      </c>
      <c r="O15" s="315">
        <f>[5]Summary!P55</f>
        <v>75464986.489999995</v>
      </c>
      <c r="P15" s="315">
        <f>[5]Summary!Q55</f>
        <v>75474055.069999993</v>
      </c>
      <c r="Q15" s="315">
        <f t="shared" si="1"/>
        <v>75194348.053749993</v>
      </c>
    </row>
    <row r="16" spans="1:18" ht="15" customHeight="1" outlineLevel="1" x14ac:dyDescent="0.25">
      <c r="A16" s="313"/>
      <c r="B16" s="212" t="s">
        <v>466</v>
      </c>
      <c r="C16" s="310"/>
      <c r="D16" s="315">
        <f>[5]Summary!E56</f>
        <v>147786586.55999997</v>
      </c>
      <c r="E16" s="315">
        <f>[5]Summary!F56</f>
        <v>149953582.78999999</v>
      </c>
      <c r="F16" s="315">
        <f>[5]Summary!G56</f>
        <v>149818567.19</v>
      </c>
      <c r="G16" s="315">
        <f>[5]Summary!H56</f>
        <v>157236228.91999999</v>
      </c>
      <c r="H16" s="315">
        <f>[5]Summary!I56</f>
        <v>159856637.59</v>
      </c>
      <c r="I16" s="315">
        <f>[5]Summary!J56</f>
        <v>161443203.04000002</v>
      </c>
      <c r="J16" s="315">
        <f>[5]Summary!K56</f>
        <v>170437365.63</v>
      </c>
      <c r="K16" s="315">
        <f>[5]Summary!L56</f>
        <v>175084820.16</v>
      </c>
      <c r="L16" s="315">
        <f>[5]Summary!M56</f>
        <v>180905118.75000003</v>
      </c>
      <c r="M16" s="315">
        <f>[5]Summary!N56</f>
        <v>184938570.67000002</v>
      </c>
      <c r="N16" s="315">
        <f>[5]Summary!O56</f>
        <v>185421791.88999999</v>
      </c>
      <c r="O16" s="315">
        <f>[5]Summary!P56</f>
        <v>186044442.30000001</v>
      </c>
      <c r="P16" s="315">
        <f>[5]Summary!Q56</f>
        <v>189557928.74000001</v>
      </c>
      <c r="Q16" s="315">
        <f t="shared" si="1"/>
        <v>169151048.88166666</v>
      </c>
    </row>
    <row r="17" spans="1:17" ht="15" customHeight="1" outlineLevel="1" x14ac:dyDescent="0.25">
      <c r="A17" s="313"/>
      <c r="B17" s="313" t="s">
        <v>216</v>
      </c>
      <c r="C17" s="310"/>
      <c r="D17" s="315">
        <f>[5]Summary!E57</f>
        <v>334179675.88</v>
      </c>
      <c r="E17" s="315">
        <f>[5]Summary!F57</f>
        <v>336469533.38999999</v>
      </c>
      <c r="F17" s="315">
        <f>[5]Summary!G57</f>
        <v>336485827.44999993</v>
      </c>
      <c r="G17" s="315">
        <f>[5]Summary!H57</f>
        <v>338708360.52999991</v>
      </c>
      <c r="H17" s="315">
        <f>[5]Summary!I57</f>
        <v>338721539.31999993</v>
      </c>
      <c r="I17" s="315">
        <f>[5]Summary!J57</f>
        <v>338714042.94999987</v>
      </c>
      <c r="J17" s="315">
        <f>[5]Summary!K57</f>
        <v>339293939.7899999</v>
      </c>
      <c r="K17" s="315">
        <f>[5]Summary!L57</f>
        <v>339301386.70999992</v>
      </c>
      <c r="L17" s="315">
        <f>[5]Summary!M57</f>
        <v>341466980.88999987</v>
      </c>
      <c r="M17" s="315">
        <f>[5]Summary!N57</f>
        <v>341483441.55999988</v>
      </c>
      <c r="N17" s="315">
        <f>[5]Summary!O57</f>
        <v>341577204.68999988</v>
      </c>
      <c r="O17" s="315">
        <f>[5]Summary!P57</f>
        <v>341578123.69999987</v>
      </c>
      <c r="P17" s="315">
        <f>[5]Summary!Q57</f>
        <v>341578134.98999989</v>
      </c>
      <c r="Q17" s="316">
        <f t="shared" si="1"/>
        <v>339306607.2012499</v>
      </c>
    </row>
    <row r="18" spans="1:17" ht="15" customHeight="1" outlineLevel="1" x14ac:dyDescent="0.25">
      <c r="A18" s="313"/>
      <c r="B18" s="313" t="s">
        <v>275</v>
      </c>
      <c r="C18" s="310"/>
      <c r="D18" s="317">
        <f>[5]Summary!E58</f>
        <v>3790768.49</v>
      </c>
      <c r="E18" s="317">
        <f>[5]Summary!F58</f>
        <v>3790768.49</v>
      </c>
      <c r="F18" s="317">
        <f>[5]Summary!G58</f>
        <v>3790768.49</v>
      </c>
      <c r="G18" s="317">
        <f>[5]Summary!H58</f>
        <v>3790768.49</v>
      </c>
      <c r="H18" s="317">
        <f>[5]Summary!I58</f>
        <v>3790768.49</v>
      </c>
      <c r="I18" s="317">
        <f>[5]Summary!J58</f>
        <v>3790768.49</v>
      </c>
      <c r="J18" s="317">
        <f>[5]Summary!K58</f>
        <v>3790768.49</v>
      </c>
      <c r="K18" s="317">
        <f>[5]Summary!L58</f>
        <v>3790768.49</v>
      </c>
      <c r="L18" s="317">
        <f>[5]Summary!M58</f>
        <v>3790768.49</v>
      </c>
      <c r="M18" s="317">
        <f>[5]Summary!N58</f>
        <v>3790768.49</v>
      </c>
      <c r="N18" s="317">
        <f>[5]Summary!O58</f>
        <v>3790768.49</v>
      </c>
      <c r="O18" s="317">
        <f>[5]Summary!P58</f>
        <v>3790768.49</v>
      </c>
      <c r="P18" s="317">
        <f>[5]Summary!Q58</f>
        <v>3790768.49</v>
      </c>
      <c r="Q18" s="317">
        <f t="shared" si="1"/>
        <v>3790768.4900000007</v>
      </c>
    </row>
    <row r="19" spans="1:17" ht="15" customHeight="1" outlineLevel="1" x14ac:dyDescent="0.25">
      <c r="A19" s="313"/>
      <c r="B19" s="313"/>
      <c r="C19" s="310"/>
      <c r="D19" s="314"/>
      <c r="E19" s="314"/>
      <c r="F19" s="314"/>
      <c r="G19" s="314"/>
      <c r="H19" s="314"/>
      <c r="I19" s="314"/>
      <c r="J19" s="314"/>
      <c r="K19" s="314"/>
      <c r="L19" s="315"/>
      <c r="M19" s="315"/>
      <c r="N19" s="315"/>
      <c r="O19" s="315"/>
      <c r="P19" s="315"/>
      <c r="Q19" s="315"/>
    </row>
    <row r="20" spans="1:17" ht="15" customHeight="1" outlineLevel="1" thickBot="1" x14ac:dyDescent="0.3">
      <c r="A20" s="313"/>
      <c r="B20" s="313" t="s">
        <v>217</v>
      </c>
      <c r="C20" s="310"/>
      <c r="D20" s="318">
        <f>SUM(D9:D19)</f>
        <v>3213486763.1099992</v>
      </c>
      <c r="E20" s="318">
        <f t="shared" ref="E20:P20" si="2">SUM(E9:E19)</f>
        <v>3232462270.3399992</v>
      </c>
      <c r="F20" s="318">
        <f t="shared" si="2"/>
        <v>3239846231.9899998</v>
      </c>
      <c r="G20" s="318">
        <f t="shared" si="2"/>
        <v>3278509737.7899995</v>
      </c>
      <c r="H20" s="318">
        <f t="shared" si="2"/>
        <v>3290596490.0699997</v>
      </c>
      <c r="I20" s="318">
        <f t="shared" si="2"/>
        <v>3299319432.8399992</v>
      </c>
      <c r="J20" s="318">
        <f t="shared" si="2"/>
        <v>3322049103.2599998</v>
      </c>
      <c r="K20" s="318">
        <f t="shared" si="2"/>
        <v>3332991288.9599986</v>
      </c>
      <c r="L20" s="318">
        <f t="shared" si="2"/>
        <v>3366791379.7999997</v>
      </c>
      <c r="M20" s="318">
        <f t="shared" si="2"/>
        <v>3381753757.249999</v>
      </c>
      <c r="N20" s="318">
        <f t="shared" si="2"/>
        <v>3388866279.6999993</v>
      </c>
      <c r="O20" s="318">
        <f t="shared" si="2"/>
        <v>3400647238.059999</v>
      </c>
      <c r="P20" s="318">
        <f t="shared" si="2"/>
        <v>3419415179.6899996</v>
      </c>
      <c r="Q20" s="318">
        <f>SUM(Q9:Q19)</f>
        <v>3320857015.121666</v>
      </c>
    </row>
    <row r="21" spans="1:17" ht="15" customHeight="1" outlineLevel="1" thickTop="1" x14ac:dyDescent="0.25">
      <c r="A21" s="213"/>
      <c r="B21" s="213"/>
      <c r="C21" s="310"/>
      <c r="D21" s="319"/>
      <c r="E21" s="319"/>
      <c r="F21" s="319"/>
      <c r="G21" s="319"/>
      <c r="H21" s="319"/>
      <c r="I21" s="319"/>
      <c r="J21" s="319"/>
      <c r="K21" s="319"/>
      <c r="L21" s="320"/>
      <c r="M21" s="320"/>
      <c r="N21" s="320"/>
      <c r="O21" s="320"/>
      <c r="P21" s="320"/>
      <c r="Q21" s="188"/>
    </row>
    <row r="22" spans="1:17" ht="15" customHeight="1" outlineLevel="1" x14ac:dyDescent="0.25">
      <c r="A22" s="212" t="s">
        <v>467</v>
      </c>
      <c r="B22" s="214"/>
      <c r="C22" s="310"/>
      <c r="D22" s="314"/>
      <c r="E22" s="314"/>
      <c r="F22" s="314"/>
      <c r="G22" s="314"/>
      <c r="H22" s="314"/>
      <c r="I22" s="314"/>
      <c r="J22" s="314"/>
      <c r="K22" s="314"/>
      <c r="L22" s="315"/>
      <c r="M22" s="315"/>
      <c r="N22" s="315"/>
      <c r="O22" s="315"/>
      <c r="P22" s="315"/>
      <c r="Q22" s="315"/>
    </row>
    <row r="23" spans="1:17" ht="15" customHeight="1" outlineLevel="1" x14ac:dyDescent="0.25">
      <c r="A23" s="313"/>
      <c r="B23" s="313" t="s">
        <v>463</v>
      </c>
      <c r="C23" s="310"/>
      <c r="D23" s="315">
        <f>-[5]Summary!E64</f>
        <v>-70817474.159999996</v>
      </c>
      <c r="E23" s="315">
        <f>-[5]Summary!F64</f>
        <v>-71308176.510000005</v>
      </c>
      <c r="F23" s="315">
        <f>-[5]Summary!G64</f>
        <v>-71803278.640000001</v>
      </c>
      <c r="G23" s="315">
        <f>-[5]Summary!H64</f>
        <v>-72302109.320000008</v>
      </c>
      <c r="H23" s="315">
        <f>-[5]Summary!I64</f>
        <v>-72842193.760000005</v>
      </c>
      <c r="I23" s="315">
        <f>-[5]Summary!J64</f>
        <v>-73357371.919999987</v>
      </c>
      <c r="J23" s="315">
        <f>-[5]Summary!K64</f>
        <v>-73875107.36999999</v>
      </c>
      <c r="K23" s="315">
        <f>-[5]Summary!L64</f>
        <v>-74396153.549999997</v>
      </c>
      <c r="L23" s="315">
        <f>-[5]Summary!M64</f>
        <v>-74960175.389999986</v>
      </c>
      <c r="M23" s="315">
        <f>-[5]Summary!N64</f>
        <v>-74891940.939999998</v>
      </c>
      <c r="N23" s="315">
        <f>-[5]Summary!O64</f>
        <v>-75513963.730000004</v>
      </c>
      <c r="O23" s="315">
        <f>-[5]Summary!P64</f>
        <v>-76136296.830000013</v>
      </c>
      <c r="P23" s="315">
        <f>-[5]Summary!Q64</f>
        <v>-76778332.569999993</v>
      </c>
      <c r="Q23" s="315">
        <f>((D23/2)+SUM(E23:O23)+(P23/2))/12</f>
        <v>-73765389.277083352</v>
      </c>
    </row>
    <row r="24" spans="1:17" ht="15" customHeight="1" outlineLevel="1" x14ac:dyDescent="0.25">
      <c r="A24" s="313"/>
      <c r="B24" s="313" t="s">
        <v>464</v>
      </c>
      <c r="C24" s="310"/>
      <c r="D24" s="315">
        <f>-[5]Summary!E65</f>
        <v>0</v>
      </c>
      <c r="E24" s="315">
        <f>-[5]Summary!F65</f>
        <v>0</v>
      </c>
      <c r="F24" s="315">
        <f>-[5]Summary!G65</f>
        <v>0</v>
      </c>
      <c r="G24" s="315">
        <f>-[5]Summary!H65</f>
        <v>0</v>
      </c>
      <c r="H24" s="315">
        <f>-[5]Summary!I65</f>
        <v>0</v>
      </c>
      <c r="I24" s="315">
        <f>-[5]Summary!J65</f>
        <v>0</v>
      </c>
      <c r="J24" s="315">
        <f>-[5]Summary!K65</f>
        <v>0</v>
      </c>
      <c r="K24" s="315">
        <f>-[5]Summary!L65</f>
        <v>0</v>
      </c>
      <c r="L24" s="315">
        <f>-[5]Summary!M65</f>
        <v>0</v>
      </c>
      <c r="M24" s="315">
        <f>-[5]Summary!N65</f>
        <v>0</v>
      </c>
      <c r="N24" s="315">
        <f>-[5]Summary!O65</f>
        <v>0</v>
      </c>
      <c r="O24" s="315">
        <f>-[5]Summary!P65</f>
        <v>0</v>
      </c>
      <c r="P24" s="315">
        <f>-[5]Summary!Q65</f>
        <v>0</v>
      </c>
      <c r="Q24" s="315">
        <f>((D24/2)+SUM(E24:O24)+(P24/2))/12</f>
        <v>0</v>
      </c>
    </row>
    <row r="25" spans="1:17" ht="15" customHeight="1" outlineLevel="1" x14ac:dyDescent="0.25">
      <c r="A25" s="313"/>
      <c r="B25" s="313" t="s">
        <v>180</v>
      </c>
      <c r="C25" s="310"/>
      <c r="D25" s="315">
        <f>-[5]Summary!E66</f>
        <v>-691035.67999999993</v>
      </c>
      <c r="E25" s="315">
        <f>-[5]Summary!F66</f>
        <v>-691035.66999999993</v>
      </c>
      <c r="F25" s="315">
        <f>-[5]Summary!G66</f>
        <v>-691035.67999999993</v>
      </c>
      <c r="G25" s="315">
        <f>-[5]Summary!H66</f>
        <v>-691035.67999999993</v>
      </c>
      <c r="H25" s="315">
        <f>-[5]Summary!I66</f>
        <v>-691035.66999999993</v>
      </c>
      <c r="I25" s="315">
        <f>-[5]Summary!J66</f>
        <v>-691035.67999999993</v>
      </c>
      <c r="J25" s="315">
        <f>-[5]Summary!K66</f>
        <v>-691035.67999999993</v>
      </c>
      <c r="K25" s="315">
        <f>-[5]Summary!L66</f>
        <v>-691035.67999999993</v>
      </c>
      <c r="L25" s="315">
        <f>-[5]Summary!M66</f>
        <v>-691035.69</v>
      </c>
      <c r="M25" s="315">
        <f>-[5]Summary!N66</f>
        <v>-691035.67999999993</v>
      </c>
      <c r="N25" s="315">
        <f>-[5]Summary!O66</f>
        <v>-691035.67999999993</v>
      </c>
      <c r="O25" s="315">
        <f>-[5]Summary!P66</f>
        <v>-691035.66999999993</v>
      </c>
      <c r="P25" s="315">
        <f>-[5]Summary!Q66</f>
        <v>-691035.66999999993</v>
      </c>
      <c r="Q25" s="315">
        <f t="shared" si="1"/>
        <v>-691035.67791666661</v>
      </c>
    </row>
    <row r="26" spans="1:17" ht="15" customHeight="1" outlineLevel="1" x14ac:dyDescent="0.25">
      <c r="A26" s="313"/>
      <c r="B26" s="313" t="s">
        <v>181</v>
      </c>
      <c r="C26" s="310"/>
      <c r="D26" s="315">
        <f>-[5]Summary!E67</f>
        <v>-43275682.759999998</v>
      </c>
      <c r="E26" s="315">
        <f>-[5]Summary!F67</f>
        <v>-43571193.059999995</v>
      </c>
      <c r="F26" s="315">
        <f>-[5]Summary!G67</f>
        <v>-43868332.060000002</v>
      </c>
      <c r="G26" s="315">
        <f>-[5]Summary!H67</f>
        <v>-44166051.469999999</v>
      </c>
      <c r="H26" s="315">
        <f>-[5]Summary!I67</f>
        <v>-44464096.359999999</v>
      </c>
      <c r="I26" s="315">
        <f>-[5]Summary!J67</f>
        <v>-44762261.399999999</v>
      </c>
      <c r="J26" s="315">
        <f>-[5]Summary!K67</f>
        <v>-45060632.950000003</v>
      </c>
      <c r="K26" s="315">
        <f>-[5]Summary!L67</f>
        <v>-45359170.68</v>
      </c>
      <c r="L26" s="315">
        <f>-[5]Summary!M67</f>
        <v>-45657832.25</v>
      </c>
      <c r="M26" s="315">
        <f>-[5]Summary!N67</f>
        <v>-45956644.829999998</v>
      </c>
      <c r="N26" s="315">
        <f>-[5]Summary!O67</f>
        <v>-46255649.919999994</v>
      </c>
      <c r="O26" s="315">
        <f>-[5]Summary!P67</f>
        <v>-46554849.910000004</v>
      </c>
      <c r="P26" s="315">
        <f>-[5]Summary!Q67</f>
        <v>-46855405.36999999</v>
      </c>
      <c r="Q26" s="315">
        <f t="shared" si="1"/>
        <v>-45061854.912916668</v>
      </c>
    </row>
    <row r="27" spans="1:17" ht="15" customHeight="1" outlineLevel="1" x14ac:dyDescent="0.25">
      <c r="A27" s="313"/>
      <c r="B27" s="313" t="s">
        <v>182</v>
      </c>
      <c r="C27" s="310"/>
      <c r="D27" s="315">
        <f>-[5]Summary!E68</f>
        <v>-1074144075.1670001</v>
      </c>
      <c r="E27" s="315">
        <f>-[5]Summary!F68</f>
        <v>-1077556317.8989999</v>
      </c>
      <c r="F27" s="315">
        <f>-[5]Summary!G68</f>
        <v>-1081383352.8000002</v>
      </c>
      <c r="G27" s="315">
        <f>-[5]Summary!H68</f>
        <v>-1084945810.4424999</v>
      </c>
      <c r="H27" s="315">
        <f>-[5]Summary!I68</f>
        <v>-1089103715.4345002</v>
      </c>
      <c r="I27" s="315">
        <f>-[5]Summary!J68</f>
        <v>-1092819125.8755</v>
      </c>
      <c r="J27" s="315">
        <f>-[5]Summary!K68</f>
        <v>-1096280838.7780001</v>
      </c>
      <c r="K27" s="315">
        <f>-[5]Summary!L68</f>
        <v>-1099277956.9475002</v>
      </c>
      <c r="L27" s="315">
        <f>-[5]Summary!M68</f>
        <v>-1102803754.1920002</v>
      </c>
      <c r="M27" s="315">
        <f>-[5]Summary!N68</f>
        <v>-1105745923.6234999</v>
      </c>
      <c r="N27" s="315">
        <f>-[5]Summary!O68</f>
        <v>-1107580268.4235003</v>
      </c>
      <c r="O27" s="315">
        <f>-[5]Summary!P68</f>
        <v>-1111538084.099</v>
      </c>
      <c r="P27" s="315">
        <f>-[5]Summary!Q68</f>
        <v>-1114283724.8189998</v>
      </c>
      <c r="Q27" s="315">
        <f t="shared" si="1"/>
        <v>-1095270754.0423334</v>
      </c>
    </row>
    <row r="28" spans="1:17" ht="15" customHeight="1" outlineLevel="1" x14ac:dyDescent="0.25">
      <c r="A28" s="313"/>
      <c r="B28" s="313" t="s">
        <v>195</v>
      </c>
      <c r="C28" s="310"/>
      <c r="D28" s="315">
        <f>-[5]Summary!E69</f>
        <v>-437351</v>
      </c>
      <c r="E28" s="315">
        <f>-[5]Summary!F69</f>
        <v>-437351</v>
      </c>
      <c r="F28" s="315">
        <f>-[5]Summary!G69</f>
        <v>-437351</v>
      </c>
      <c r="G28" s="315">
        <f>-[5]Summary!H69</f>
        <v>-437351</v>
      </c>
      <c r="H28" s="315">
        <f>-[5]Summary!I69</f>
        <v>-437351</v>
      </c>
      <c r="I28" s="315">
        <f>-[5]Summary!J69</f>
        <v>-437351</v>
      </c>
      <c r="J28" s="315">
        <f>-[5]Summary!K69</f>
        <v>-437351</v>
      </c>
      <c r="K28" s="315">
        <f>-[5]Summary!L69</f>
        <v>-437351</v>
      </c>
      <c r="L28" s="315">
        <f>-[5]Summary!M69</f>
        <v>-437351</v>
      </c>
      <c r="M28" s="315">
        <f>-[5]Summary!N69</f>
        <v>-437351</v>
      </c>
      <c r="N28" s="315">
        <f>-[5]Summary!O69</f>
        <v>-437351</v>
      </c>
      <c r="O28" s="315">
        <f>-[5]Summary!P69</f>
        <v>-437351</v>
      </c>
      <c r="P28" s="315">
        <f>-[5]Summary!Q69</f>
        <v>-437351</v>
      </c>
      <c r="Q28" s="315">
        <f t="shared" si="1"/>
        <v>-437351</v>
      </c>
    </row>
    <row r="29" spans="1:17" ht="15" customHeight="1" outlineLevel="1" x14ac:dyDescent="0.25">
      <c r="A29" s="313"/>
      <c r="B29" s="212" t="s">
        <v>465</v>
      </c>
      <c r="C29" s="310"/>
      <c r="D29" s="315">
        <f>-[5]Summary!E70</f>
        <v>-13126977.52</v>
      </c>
      <c r="E29" s="315">
        <f>-[5]Summary!F70</f>
        <v>-13268756.950000001</v>
      </c>
      <c r="F29" s="315">
        <f>-[5]Summary!G70</f>
        <v>-13410566.51</v>
      </c>
      <c r="G29" s="315">
        <f>-[5]Summary!H70</f>
        <v>-13552390.620000001</v>
      </c>
      <c r="H29" s="315">
        <f>-[5]Summary!I70</f>
        <v>-13694233.760000002</v>
      </c>
      <c r="I29" s="315">
        <f>-[5]Summary!J70</f>
        <v>-13836088.42</v>
      </c>
      <c r="J29" s="315">
        <f>-[5]Summary!K70</f>
        <v>-13978243.299999999</v>
      </c>
      <c r="K29" s="315">
        <f>-[5]Summary!L70</f>
        <v>-14120727.689999999</v>
      </c>
      <c r="L29" s="315">
        <f>-[5]Summary!M70</f>
        <v>-14263249.85</v>
      </c>
      <c r="M29" s="315">
        <f>-[5]Summary!N70</f>
        <v>-14230523.25</v>
      </c>
      <c r="N29" s="315">
        <f>-[5]Summary!O70</f>
        <v>-14373140.169999998</v>
      </c>
      <c r="O29" s="315">
        <f>-[5]Summary!P70</f>
        <v>-14515826.109999999</v>
      </c>
      <c r="P29" s="315">
        <f>-[5]Summary!Q70</f>
        <v>-14658590.65</v>
      </c>
      <c r="Q29" s="315">
        <f t="shared" si="1"/>
        <v>-13928044.226249998</v>
      </c>
    </row>
    <row r="30" spans="1:17" ht="15" customHeight="1" outlineLevel="1" x14ac:dyDescent="0.25">
      <c r="A30" s="313"/>
      <c r="B30" s="212" t="s">
        <v>466</v>
      </c>
      <c r="C30" s="310"/>
      <c r="D30" s="315">
        <f>-[5]Summary!E71</f>
        <v>-50719922.009999998</v>
      </c>
      <c r="E30" s="315">
        <f>-[5]Summary!F71</f>
        <v>-51885423.340000004</v>
      </c>
      <c r="F30" s="315">
        <f>-[5]Summary!G71</f>
        <v>-49728387.910000004</v>
      </c>
      <c r="G30" s="315">
        <f>-[5]Summary!H71</f>
        <v>-50641827.20000001</v>
      </c>
      <c r="H30" s="315">
        <f>-[5]Summary!I71</f>
        <v>-51131891.409999989</v>
      </c>
      <c r="I30" s="315">
        <f>-[5]Summary!J71</f>
        <v>-52399010.510000013</v>
      </c>
      <c r="J30" s="315">
        <f>-[5]Summary!K71</f>
        <v>-53436277.129999995</v>
      </c>
      <c r="K30" s="315">
        <f>-[5]Summary!L71</f>
        <v>-54498099.640000015</v>
      </c>
      <c r="L30" s="315">
        <f>-[5]Summary!M71</f>
        <v>-55735591.079999991</v>
      </c>
      <c r="M30" s="315">
        <f>-[5]Summary!N71</f>
        <v>-57057147.989999987</v>
      </c>
      <c r="N30" s="315">
        <f>-[5]Summary!O71</f>
        <v>-58398037.050000004</v>
      </c>
      <c r="O30" s="315">
        <f>-[5]Summary!P71</f>
        <v>-59565174.579999998</v>
      </c>
      <c r="P30" s="315">
        <f>-[5]Summary!Q71</f>
        <v>-60733755.599999987</v>
      </c>
      <c r="Q30" s="315">
        <f t="shared" si="1"/>
        <v>-54183642.220416665</v>
      </c>
    </row>
    <row r="31" spans="1:17" ht="15" customHeight="1" outlineLevel="1" x14ac:dyDescent="0.25">
      <c r="A31" s="313"/>
      <c r="B31" s="313" t="s">
        <v>216</v>
      </c>
      <c r="C31" s="310"/>
      <c r="D31" s="315">
        <f>-[5]Summary!E72</f>
        <v>-147473205.33999997</v>
      </c>
      <c r="E31" s="315">
        <f>-[5]Summary!F72</f>
        <v>-148491945.03999999</v>
      </c>
      <c r="F31" s="315">
        <f>-[5]Summary!G72</f>
        <v>-149048873.13</v>
      </c>
      <c r="G31" s="315">
        <f>-[5]Summary!H72</f>
        <v>-149607170.42999998</v>
      </c>
      <c r="H31" s="315">
        <f>-[5]Summary!I72</f>
        <v>-150166871.00999999</v>
      </c>
      <c r="I31" s="315">
        <f>-[5]Summary!J72</f>
        <v>-150726649.70999998</v>
      </c>
      <c r="J31" s="315">
        <f>-[5]Summary!K72</f>
        <v>-151286712.84999999</v>
      </c>
      <c r="K31" s="315">
        <f>-[5]Summary!L72</f>
        <v>-151847180.91999996</v>
      </c>
      <c r="L31" s="315">
        <f>-[5]Summary!M72</f>
        <v>-152409565.12999997</v>
      </c>
      <c r="M31" s="315">
        <f>-[5]Summary!N72</f>
        <v>-152973976.94999999</v>
      </c>
      <c r="N31" s="315">
        <f>-[5]Summary!O72</f>
        <v>-153538671.63999999</v>
      </c>
      <c r="O31" s="315">
        <f>-[5]Summary!P72</f>
        <v>-154102993.49000001</v>
      </c>
      <c r="P31" s="315">
        <f>-[5]Summary!Q72</f>
        <v>-154667557.43000004</v>
      </c>
      <c r="Q31" s="316">
        <f t="shared" si="1"/>
        <v>-151272582.64041665</v>
      </c>
    </row>
    <row r="32" spans="1:17" ht="15" customHeight="1" outlineLevel="1" x14ac:dyDescent="0.25">
      <c r="A32" s="313"/>
      <c r="B32" s="313" t="s">
        <v>275</v>
      </c>
      <c r="C32" s="310"/>
      <c r="D32" s="317">
        <f>-[5]Summary!E73</f>
        <v>-2231463.81</v>
      </c>
      <c r="E32" s="317">
        <f>-[5]Summary!F73</f>
        <v>-2238125.7800000003</v>
      </c>
      <c r="F32" s="317">
        <f>-[5]Summary!G73</f>
        <v>-2244787.7000000002</v>
      </c>
      <c r="G32" s="317">
        <f>-[5]Summary!H73</f>
        <v>-2251449.91</v>
      </c>
      <c r="H32" s="317">
        <f>-[5]Summary!I73</f>
        <v>-2258111.96</v>
      </c>
      <c r="I32" s="317">
        <f>-[5]Summary!J73</f>
        <v>-2264773.91</v>
      </c>
      <c r="J32" s="317">
        <f>-[5]Summary!K73</f>
        <v>-2271436.0099999998</v>
      </c>
      <c r="K32" s="317">
        <f>-[5]Summary!L73</f>
        <v>-2278098.0300000003</v>
      </c>
      <c r="L32" s="317">
        <f>-[5]Summary!M73</f>
        <v>-2284759.98</v>
      </c>
      <c r="M32" s="317">
        <f>-[5]Summary!N73</f>
        <v>-2291421.92</v>
      </c>
      <c r="N32" s="317">
        <f>-[5]Summary!O73</f>
        <v>-2298083.9299999997</v>
      </c>
      <c r="O32" s="317">
        <f>-[5]Summary!P73</f>
        <v>-2304745.83</v>
      </c>
      <c r="P32" s="317">
        <f>-[5]Summary!Q73</f>
        <v>-2311407.94</v>
      </c>
      <c r="Q32" s="317">
        <f t="shared" si="1"/>
        <v>-2271435.9029166666</v>
      </c>
    </row>
    <row r="33" spans="1:18" ht="15" customHeight="1" outlineLevel="1" x14ac:dyDescent="0.25">
      <c r="A33" s="313"/>
      <c r="B33" s="313"/>
      <c r="C33" s="310"/>
      <c r="D33" s="314"/>
      <c r="E33" s="314"/>
      <c r="F33" s="314"/>
      <c r="G33" s="314"/>
      <c r="H33" s="314"/>
      <c r="I33" s="314"/>
      <c r="J33" s="314"/>
      <c r="K33" s="314"/>
      <c r="L33" s="315"/>
      <c r="M33" s="315"/>
      <c r="N33" s="315"/>
      <c r="O33" s="315"/>
      <c r="P33" s="315"/>
      <c r="Q33" s="315"/>
    </row>
    <row r="34" spans="1:18" ht="15" customHeight="1" outlineLevel="1" thickBot="1" x14ac:dyDescent="0.3">
      <c r="A34" s="313"/>
      <c r="B34" s="313" t="s">
        <v>468</v>
      </c>
      <c r="C34" s="310"/>
      <c r="D34" s="318">
        <f>SUM(D23:D32)</f>
        <v>-1402917187.4469998</v>
      </c>
      <c r="E34" s="318">
        <f t="shared" ref="E34:P34" si="3">SUM(E23:E32)</f>
        <v>-1409448325.2489998</v>
      </c>
      <c r="F34" s="318">
        <f t="shared" si="3"/>
        <v>-1412615965.4300005</v>
      </c>
      <c r="G34" s="318">
        <f t="shared" si="3"/>
        <v>-1418595196.0725</v>
      </c>
      <c r="H34" s="318">
        <f t="shared" si="3"/>
        <v>-1424789500.3645003</v>
      </c>
      <c r="I34" s="318">
        <f t="shared" si="3"/>
        <v>-1431293668.4255002</v>
      </c>
      <c r="J34" s="318">
        <f t="shared" si="3"/>
        <v>-1437317635.0680001</v>
      </c>
      <c r="K34" s="318">
        <f t="shared" si="3"/>
        <v>-1442905774.1375005</v>
      </c>
      <c r="L34" s="318">
        <f t="shared" si="3"/>
        <v>-1449243314.5619998</v>
      </c>
      <c r="M34" s="318">
        <f t="shared" si="3"/>
        <v>-1454275966.1835001</v>
      </c>
      <c r="N34" s="318">
        <f t="shared" si="3"/>
        <v>-1459086201.5435002</v>
      </c>
      <c r="O34" s="318">
        <f t="shared" si="3"/>
        <v>-1465846357.5189998</v>
      </c>
      <c r="P34" s="318">
        <f t="shared" si="3"/>
        <v>-1471417161.0489998</v>
      </c>
      <c r="Q34" s="318">
        <f t="shared" ref="Q34" si="4">SUM(Q23:Q33)</f>
        <v>-1436882089.9002497</v>
      </c>
    </row>
    <row r="35" spans="1:18" ht="15" customHeight="1" outlineLevel="1" thickTop="1" x14ac:dyDescent="0.2">
      <c r="A35" s="77"/>
      <c r="B35" s="194"/>
      <c r="C35" s="310"/>
      <c r="D35" s="314"/>
      <c r="E35" s="314"/>
      <c r="F35" s="314"/>
      <c r="G35" s="321"/>
      <c r="H35" s="322"/>
      <c r="I35" s="323"/>
      <c r="J35" s="323"/>
      <c r="K35" s="323"/>
      <c r="L35" s="188"/>
      <c r="M35" s="188"/>
      <c r="N35" s="188"/>
      <c r="O35" s="188"/>
      <c r="P35" s="188"/>
      <c r="Q35" s="188"/>
    </row>
    <row r="36" spans="1:18" ht="15" customHeight="1" outlineLevel="1" x14ac:dyDescent="0.2">
      <c r="A36" s="77"/>
      <c r="B36" s="194" t="s">
        <v>202</v>
      </c>
      <c r="C36" s="310"/>
      <c r="D36" s="315">
        <f>'[6]Other Rate Base'!C$52</f>
        <v>22721949.550000001</v>
      </c>
      <c r="E36" s="315">
        <f>'[6]Other Rate Base'!D$52</f>
        <v>22720795.5</v>
      </c>
      <c r="F36" s="315">
        <f>'[6]Other Rate Base'!E$52</f>
        <v>22719544.039999999</v>
      </c>
      <c r="G36" s="315">
        <f>'[6]Other Rate Base'!F$52</f>
        <v>22718207.759999998</v>
      </c>
      <c r="H36" s="315">
        <f>'[6]Other Rate Base'!G$52</f>
        <v>22716519.969999999</v>
      </c>
      <c r="I36" s="315">
        <f>'[6]Other Rate Base'!H$52</f>
        <v>22714910.030000001</v>
      </c>
      <c r="J36" s="315">
        <f>'[6]Other Rate Base'!I$52</f>
        <v>22713526.649999999</v>
      </c>
      <c r="K36" s="315">
        <f>'[6]Other Rate Base'!J$52</f>
        <v>22711937.300000001</v>
      </c>
      <c r="L36" s="315">
        <f>'[6]Other Rate Base'!K$52</f>
        <v>22710187.419999998</v>
      </c>
      <c r="M36" s="315">
        <f>'[6]Other Rate Base'!L$52</f>
        <v>22708215.890000001</v>
      </c>
      <c r="N36" s="315">
        <f>'[6]Other Rate Base'!M$52</f>
        <v>22706315.18</v>
      </c>
      <c r="O36" s="315">
        <f>'[6]Other Rate Base'!N$52</f>
        <v>22704389.620000001</v>
      </c>
      <c r="P36" s="315">
        <f>'[6]Other Rate Base'!O$52</f>
        <v>22702466.919999998</v>
      </c>
      <c r="Q36" s="315">
        <f t="shared" si="1"/>
        <v>22713063.13291667</v>
      </c>
    </row>
    <row r="37" spans="1:18" ht="15" customHeight="1" outlineLevel="1" x14ac:dyDescent="0.2">
      <c r="A37" s="77"/>
      <c r="B37" s="194" t="s">
        <v>106</v>
      </c>
      <c r="C37" s="310"/>
      <c r="D37" s="315">
        <f>'[6]Other Rate Base'!C$37</f>
        <v>-5197343.25</v>
      </c>
      <c r="E37" s="315">
        <f>'[6]Other Rate Base'!D$37</f>
        <v>-5293473.25</v>
      </c>
      <c r="F37" s="315">
        <f>'[6]Other Rate Base'!E$37</f>
        <v>-5408334.25</v>
      </c>
      <c r="G37" s="315">
        <f>'[6]Other Rate Base'!F$37</f>
        <v>-7367883.71</v>
      </c>
      <c r="H37" s="315">
        <f>'[6]Other Rate Base'!G$37</f>
        <v>-7532633.4800000004</v>
      </c>
      <c r="I37" s="315">
        <f>'[6]Other Rate Base'!H$37</f>
        <v>-7655812.25</v>
      </c>
      <c r="J37" s="315">
        <f>'[6]Other Rate Base'!I$37</f>
        <v>-5635850.8300000001</v>
      </c>
      <c r="K37" s="315">
        <f>'[6]Other Rate Base'!J$37</f>
        <v>-5756413.0300000003</v>
      </c>
      <c r="L37" s="315">
        <f>'[6]Other Rate Base'!K$37</f>
        <v>-5848988.7000000002</v>
      </c>
      <c r="M37" s="315">
        <f>'[6]Other Rate Base'!L$37</f>
        <v>-6008002.3700000001</v>
      </c>
      <c r="N37" s="315">
        <f>'[6]Other Rate Base'!M$37</f>
        <v>-6138374.8700000001</v>
      </c>
      <c r="O37" s="315">
        <f>'[6]Other Rate Base'!N$37</f>
        <v>-6309949.2000000002</v>
      </c>
      <c r="P37" s="315">
        <f>'[6]Other Rate Base'!O$37</f>
        <v>-6434528.2000000002</v>
      </c>
      <c r="Q37" s="315">
        <f t="shared" si="1"/>
        <v>-6230970.9720833329</v>
      </c>
    </row>
    <row r="38" spans="1:18" ht="15" customHeight="1" outlineLevel="1" x14ac:dyDescent="0.2">
      <c r="A38" s="77"/>
      <c r="B38" s="194" t="s">
        <v>120</v>
      </c>
      <c r="C38" s="310"/>
      <c r="D38" s="315">
        <f>'[6]Other Rate Base'!C$22</f>
        <v>14282972.769999998</v>
      </c>
      <c r="E38" s="315">
        <f>'[6]Other Rate Base'!D$22</f>
        <v>16494833.389999999</v>
      </c>
      <c r="F38" s="315">
        <f>'[6]Other Rate Base'!E$22</f>
        <v>20058020.810000002</v>
      </c>
      <c r="G38" s="315">
        <f>'[6]Other Rate Base'!F$22</f>
        <v>23370721.02</v>
      </c>
      <c r="H38" s="315">
        <f>'[6]Other Rate Base'!G$22</f>
        <v>27497732.75</v>
      </c>
      <c r="I38" s="315">
        <f>'[6]Other Rate Base'!H$22</f>
        <v>28885297.140000001</v>
      </c>
      <c r="J38" s="315">
        <f>'[6]Other Rate Base'!I$22</f>
        <v>29561221.450000003</v>
      </c>
      <c r="K38" s="315">
        <f>'[6]Other Rate Base'!J$22</f>
        <v>29835734.850000001</v>
      </c>
      <c r="L38" s="315">
        <f>'[6]Other Rate Base'!K$22</f>
        <v>30062468.379999999</v>
      </c>
      <c r="M38" s="315">
        <f>'[6]Other Rate Base'!L$22</f>
        <v>30152104.280000001</v>
      </c>
      <c r="N38" s="315">
        <f>'[6]Other Rate Base'!M$22</f>
        <v>30318544.299999997</v>
      </c>
      <c r="O38" s="315">
        <f>'[6]Other Rate Base'!N$22</f>
        <v>30253648.660000004</v>
      </c>
      <c r="P38" s="315">
        <f>'[6]Other Rate Base'!O$22</f>
        <v>30052941.719999999</v>
      </c>
      <c r="Q38" s="315">
        <f t="shared" si="1"/>
        <v>26554857.022916671</v>
      </c>
    </row>
    <row r="39" spans="1:18" ht="15" customHeight="1" outlineLevel="1" x14ac:dyDescent="0.2">
      <c r="A39" s="77"/>
      <c r="B39" s="194"/>
      <c r="C39" s="310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5"/>
    </row>
    <row r="40" spans="1:18" ht="15" customHeight="1" outlineLevel="1" x14ac:dyDescent="0.2">
      <c r="A40" s="77"/>
      <c r="C40" s="310"/>
      <c r="D40" s="314"/>
      <c r="E40" s="314"/>
      <c r="F40" s="314"/>
      <c r="G40" s="321"/>
      <c r="H40" s="322"/>
      <c r="I40" s="323"/>
      <c r="J40" s="323"/>
      <c r="K40" s="323"/>
      <c r="L40" s="188"/>
      <c r="M40" s="188"/>
      <c r="N40" s="188"/>
      <c r="O40" s="188"/>
      <c r="P40" s="188"/>
      <c r="Q40" s="188"/>
    </row>
    <row r="41" spans="1:18" ht="15" customHeight="1" outlineLevel="1" x14ac:dyDescent="0.2">
      <c r="A41" s="77"/>
      <c r="B41" s="194" t="s">
        <v>122</v>
      </c>
      <c r="C41" s="310"/>
      <c r="D41" s="317">
        <f>'WP - Deferred Tax'!C27</f>
        <v>-486492796.82946032</v>
      </c>
      <c r="E41" s="317">
        <f>'WP - Deferred Tax'!D27</f>
        <v>-485688561.10771859</v>
      </c>
      <c r="F41" s="317">
        <f>'WP - Deferred Tax'!E27</f>
        <v>-485362946.15633488</v>
      </c>
      <c r="G41" s="317">
        <f>'WP - Deferred Tax'!F27</f>
        <v>-485537544.4345932</v>
      </c>
      <c r="H41" s="317">
        <f>'WP - Deferred Tax'!G27</f>
        <v>-486016872.71285146</v>
      </c>
      <c r="I41" s="317">
        <f>'WP - Deferred Tax'!H27</f>
        <v>-486423124.99110973</v>
      </c>
      <c r="J41" s="317">
        <f>'WP - Deferred Tax'!I27</f>
        <v>-488068047.26936799</v>
      </c>
      <c r="K41" s="317">
        <f>'WP - Deferred Tax'!J27</f>
        <v>-488413792.54762626</v>
      </c>
      <c r="L41" s="317">
        <f>'WP - Deferred Tax'!K27</f>
        <v>-488465957.82588458</v>
      </c>
      <c r="M41" s="317">
        <f>'WP - Deferred Tax'!L27</f>
        <v>-488259063.10414284</v>
      </c>
      <c r="N41" s="317">
        <f>'WP - Deferred Tax'!M27</f>
        <v>-488017847.38240111</v>
      </c>
      <c r="O41" s="317">
        <f>'WP - Deferred Tax'!N27</f>
        <v>-487816111.66065943</v>
      </c>
      <c r="P41" s="317">
        <f>'WP - Deferred Tax'!O27</f>
        <v>-487713387.93891776</v>
      </c>
      <c r="Q41" s="317">
        <f>((D41/2)+SUM(E41:O41)+(P41/2))/12</f>
        <v>-487097746.79807335</v>
      </c>
      <c r="R41" s="426"/>
    </row>
    <row r="42" spans="1:18" ht="15" customHeight="1" outlineLevel="1" x14ac:dyDescent="0.2">
      <c r="A42" s="77"/>
      <c r="B42" s="194"/>
      <c r="C42" s="310"/>
      <c r="D42" s="315"/>
      <c r="E42" s="315"/>
      <c r="F42" s="315"/>
      <c r="G42" s="324"/>
      <c r="H42" s="306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1:18" ht="15" customHeight="1" outlineLevel="1" thickBot="1" x14ac:dyDescent="0.25">
      <c r="A43" s="77"/>
      <c r="B43" s="325" t="s">
        <v>276</v>
      </c>
      <c r="C43" s="310"/>
      <c r="D43" s="318">
        <f>+D20+D34+D36+D37+D38+D41+D39</f>
        <v>1355884357.9035389</v>
      </c>
      <c r="E43" s="318">
        <f t="shared" ref="E43:P43" si="5">+E20+E34+E36+E37+E38+E41+E39</f>
        <v>1371247539.623281</v>
      </c>
      <c r="F43" s="318">
        <f t="shared" si="5"/>
        <v>1379236551.0036643</v>
      </c>
      <c r="G43" s="318">
        <f t="shared" si="5"/>
        <v>1413098042.3529062</v>
      </c>
      <c r="H43" s="318">
        <f>+H20+H34+H36+H37+H38+H41+H39</f>
        <v>1422471736.2326479</v>
      </c>
      <c r="I43" s="318">
        <f t="shared" si="5"/>
        <v>1425547034.3433895</v>
      </c>
      <c r="J43" s="318">
        <f t="shared" si="5"/>
        <v>1443302318.192632</v>
      </c>
      <c r="K43" s="318">
        <f t="shared" si="5"/>
        <v>1448462981.3948717</v>
      </c>
      <c r="L43" s="318">
        <f t="shared" si="5"/>
        <v>1476005774.5121155</v>
      </c>
      <c r="M43" s="318">
        <f t="shared" si="5"/>
        <v>1486071045.7623563</v>
      </c>
      <c r="N43" s="318">
        <f t="shared" si="5"/>
        <v>1488648715.3840981</v>
      </c>
      <c r="O43" s="318">
        <f t="shared" si="5"/>
        <v>1493632857.9603395</v>
      </c>
      <c r="P43" s="318">
        <f t="shared" si="5"/>
        <v>1506605511.1420822</v>
      </c>
      <c r="Q43" s="318">
        <f>+Q20+Q34+Q36+Q37+Q38+Q41+Q39</f>
        <v>1439914127.6070929</v>
      </c>
    </row>
    <row r="44" spans="1:18" ht="15" customHeight="1" outlineLevel="1" thickTop="1" x14ac:dyDescent="0.2">
      <c r="A44" s="77"/>
      <c r="B44" s="188"/>
      <c r="C44" s="306"/>
      <c r="D44" s="306"/>
      <c r="E44" s="306"/>
      <c r="F44" s="306"/>
      <c r="G44" s="306"/>
      <c r="H44" s="306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8" ht="15" customHeight="1" outlineLevel="1" x14ac:dyDescent="0.2">
      <c r="A45" s="77"/>
      <c r="B45" s="74" t="s">
        <v>134</v>
      </c>
      <c r="C45" s="306"/>
      <c r="D45" s="306"/>
      <c r="E45" s="306"/>
      <c r="F45" s="306"/>
      <c r="G45" s="306"/>
      <c r="H45" s="306"/>
      <c r="I45" s="188"/>
      <c r="J45" s="188"/>
      <c r="K45" s="188"/>
      <c r="L45" s="188"/>
      <c r="M45" s="188"/>
      <c r="N45" s="188"/>
      <c r="O45" s="188"/>
      <c r="P45" s="13"/>
      <c r="Q45" s="13">
        <f>P43</f>
        <v>1506605511.1420822</v>
      </c>
    </row>
    <row r="46" spans="1:18" ht="15" customHeight="1" outlineLevel="1" x14ac:dyDescent="0.2">
      <c r="A46" s="77"/>
      <c r="B46" s="71" t="s">
        <v>135</v>
      </c>
      <c r="C46" s="30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13">
        <f>-+Q41</f>
        <v>487097746.79807335</v>
      </c>
    </row>
    <row r="47" spans="1:18" ht="15" customHeight="1" outlineLevel="1" x14ac:dyDescent="0.2">
      <c r="A47" s="77"/>
      <c r="B47" s="98" t="s">
        <v>138</v>
      </c>
      <c r="C47" s="306"/>
      <c r="D47" s="326"/>
      <c r="E47" s="326"/>
      <c r="F47" s="326"/>
      <c r="G47" s="326"/>
      <c r="H47" s="326"/>
      <c r="I47" s="326"/>
      <c r="J47" s="326"/>
      <c r="K47" s="188"/>
      <c r="L47" s="188"/>
      <c r="M47" s="188"/>
      <c r="N47" s="188"/>
      <c r="O47" s="29"/>
      <c r="P47" s="175"/>
      <c r="Q47" s="175">
        <f>+P41</f>
        <v>-487713387.93891776</v>
      </c>
    </row>
    <row r="48" spans="1:18" ht="15" customHeight="1" outlineLevel="1" thickBot="1" x14ac:dyDescent="0.25">
      <c r="A48" s="77"/>
      <c r="B48" s="327" t="s">
        <v>277</v>
      </c>
      <c r="C48" s="306"/>
      <c r="D48" s="306"/>
      <c r="E48" s="306"/>
      <c r="F48" s="306"/>
      <c r="G48" s="306"/>
      <c r="H48" s="306"/>
      <c r="I48" s="188"/>
      <c r="J48" s="188"/>
      <c r="K48" s="188"/>
      <c r="L48" s="188"/>
      <c r="M48" s="188"/>
      <c r="N48" s="188"/>
      <c r="O48" s="188"/>
      <c r="P48" s="33"/>
      <c r="Q48" s="305">
        <f>SUM(Q45:Q47)</f>
        <v>1505989870.0012379</v>
      </c>
    </row>
    <row r="49" spans="1:17" ht="15" customHeight="1" thickTop="1" x14ac:dyDescent="0.2">
      <c r="A49" s="77"/>
      <c r="B49" s="188"/>
      <c r="C49" s="306"/>
      <c r="D49" s="306"/>
      <c r="E49" s="306"/>
      <c r="F49" s="306"/>
      <c r="G49" s="306"/>
      <c r="H49" s="306"/>
      <c r="I49" s="188"/>
      <c r="J49" s="188"/>
      <c r="K49" s="188"/>
      <c r="L49" s="188"/>
      <c r="M49" s="188"/>
      <c r="N49" s="188"/>
      <c r="O49" s="188"/>
      <c r="P49" s="306"/>
      <c r="Q49" s="188"/>
    </row>
    <row r="50" spans="1:17" ht="15" customHeight="1" thickBot="1" x14ac:dyDescent="0.25">
      <c r="A50" s="607" t="s">
        <v>8</v>
      </c>
      <c r="B50" s="607"/>
      <c r="C50" s="607"/>
      <c r="D50" s="306"/>
      <c r="E50" s="306"/>
      <c r="F50" s="306"/>
      <c r="G50" s="306"/>
      <c r="H50" s="306"/>
      <c r="I50" s="188"/>
      <c r="J50" s="188"/>
      <c r="K50" s="188"/>
      <c r="L50" s="188"/>
      <c r="M50" s="188"/>
      <c r="N50" s="188"/>
      <c r="O50" s="188"/>
      <c r="P50" s="188"/>
      <c r="Q50" s="68" t="s">
        <v>746</v>
      </c>
    </row>
    <row r="51" spans="1:17" ht="15" customHeight="1" x14ac:dyDescent="0.25">
      <c r="A51" s="212" t="s">
        <v>36</v>
      </c>
      <c r="B51" s="214"/>
      <c r="C51" s="310"/>
      <c r="D51" s="311"/>
      <c r="E51" s="311"/>
      <c r="F51" s="311"/>
      <c r="G51" s="312"/>
      <c r="H51" s="306"/>
      <c r="I51" s="188"/>
      <c r="J51" s="188"/>
      <c r="K51" s="188"/>
      <c r="L51" s="188"/>
      <c r="M51" s="188"/>
      <c r="N51" s="188"/>
      <c r="O51" s="188"/>
      <c r="P51" s="188"/>
      <c r="Q51" s="68" t="s">
        <v>753</v>
      </c>
    </row>
    <row r="52" spans="1:17" ht="15" customHeight="1" x14ac:dyDescent="0.25">
      <c r="A52" s="313"/>
      <c r="B52" s="313" t="s">
        <v>463</v>
      </c>
      <c r="C52" s="310"/>
      <c r="D52" s="315">
        <f>[5]Summary!E6</f>
        <v>14213571.193182994</v>
      </c>
      <c r="E52" s="315">
        <f>[5]Summary!F6</f>
        <v>14387280.428693993</v>
      </c>
      <c r="F52" s="315">
        <f>[5]Summary!G6</f>
        <v>14393563.407025993</v>
      </c>
      <c r="G52" s="315">
        <f>[5]Summary!H6</f>
        <v>14537433.392250992</v>
      </c>
      <c r="H52" s="315">
        <f>[5]Summary!I6</f>
        <v>14569530.336448992</v>
      </c>
      <c r="I52" s="315">
        <f>[5]Summary!J6</f>
        <v>14631834.28950699</v>
      </c>
      <c r="J52" s="315">
        <f>[5]Summary!K6</f>
        <v>14674141.57447299</v>
      </c>
      <c r="K52" s="315">
        <f>[5]Summary!L6</f>
        <v>14766480.63907999</v>
      </c>
      <c r="L52" s="315">
        <f>[5]Summary!M6</f>
        <v>16428398.974952992</v>
      </c>
      <c r="M52" s="315">
        <f>[5]Summary!N6</f>
        <v>16437388.47204799</v>
      </c>
      <c r="N52" s="315">
        <f>[5]Summary!O6</f>
        <v>16470685.063166996</v>
      </c>
      <c r="O52" s="315">
        <f>[5]Summary!P6</f>
        <v>16545838.684680995</v>
      </c>
      <c r="P52" s="315">
        <f>[5]Summary!Q6</f>
        <v>17073445.408370994</v>
      </c>
      <c r="Q52" s="315">
        <f>((D52/2)+SUM(E52:O52)+(P52/2))/12</f>
        <v>15290506.963592159</v>
      </c>
    </row>
    <row r="53" spans="1:17" ht="15" customHeight="1" x14ac:dyDescent="0.25">
      <c r="A53" s="313"/>
      <c r="B53" s="313" t="s">
        <v>464</v>
      </c>
      <c r="C53" s="310"/>
      <c r="D53" s="315">
        <f>[5]Summary!E7</f>
        <v>447</v>
      </c>
      <c r="E53" s="315">
        <f>[5]Summary!F7</f>
        <v>447</v>
      </c>
      <c r="F53" s="315">
        <f>[5]Summary!G7</f>
        <v>447</v>
      </c>
      <c r="G53" s="315">
        <f>[5]Summary!H7</f>
        <v>447</v>
      </c>
      <c r="H53" s="315">
        <f>[5]Summary!I7</f>
        <v>447</v>
      </c>
      <c r="I53" s="315">
        <f>[5]Summary!J7</f>
        <v>447</v>
      </c>
      <c r="J53" s="315">
        <f>[5]Summary!K7</f>
        <v>447</v>
      </c>
      <c r="K53" s="315">
        <f>[5]Summary!L7</f>
        <v>447</v>
      </c>
      <c r="L53" s="315">
        <f>[5]Summary!M7</f>
        <v>447</v>
      </c>
      <c r="M53" s="315">
        <f>[5]Summary!N7</f>
        <v>447</v>
      </c>
      <c r="N53" s="315">
        <f>[5]Summary!O7</f>
        <v>447</v>
      </c>
      <c r="O53" s="315">
        <f>[5]Summary!P7</f>
        <v>447</v>
      </c>
      <c r="P53" s="315">
        <f>[5]Summary!Q7</f>
        <v>447</v>
      </c>
      <c r="Q53" s="315">
        <f t="shared" si="1"/>
        <v>447</v>
      </c>
    </row>
    <row r="54" spans="1:17" ht="15" customHeight="1" x14ac:dyDescent="0.25">
      <c r="A54" s="313"/>
      <c r="B54" s="313" t="s">
        <v>180</v>
      </c>
      <c r="C54" s="310"/>
      <c r="D54" s="315">
        <f>[5]Summary!E8</f>
        <v>0</v>
      </c>
      <c r="E54" s="315">
        <f>[5]Summary!F8</f>
        <v>0</v>
      </c>
      <c r="F54" s="315">
        <f>[5]Summary!G8</f>
        <v>0</v>
      </c>
      <c r="G54" s="315">
        <f>[5]Summary!H8</f>
        <v>0</v>
      </c>
      <c r="H54" s="315">
        <f>[5]Summary!I8</f>
        <v>0</v>
      </c>
      <c r="I54" s="315">
        <f>[5]Summary!J8</f>
        <v>0</v>
      </c>
      <c r="J54" s="315">
        <f>[5]Summary!K8</f>
        <v>0</v>
      </c>
      <c r="K54" s="315">
        <f>[5]Summary!L8</f>
        <v>0</v>
      </c>
      <c r="L54" s="315">
        <f>[5]Summary!M8</f>
        <v>0</v>
      </c>
      <c r="M54" s="315">
        <f>[5]Summary!N8</f>
        <v>0</v>
      </c>
      <c r="N54" s="315">
        <f>[5]Summary!O8</f>
        <v>0</v>
      </c>
      <c r="O54" s="315">
        <f>[5]Summary!P8</f>
        <v>0</v>
      </c>
      <c r="P54" s="315">
        <f>[5]Summary!Q8</f>
        <v>0</v>
      </c>
      <c r="Q54" s="315">
        <f t="shared" si="1"/>
        <v>0</v>
      </c>
    </row>
    <row r="55" spans="1:17" ht="15" customHeight="1" x14ac:dyDescent="0.25">
      <c r="A55" s="313"/>
      <c r="B55" s="313" t="s">
        <v>181</v>
      </c>
      <c r="C55" s="310"/>
      <c r="D55" s="315">
        <f>[5]Summary!E9</f>
        <v>1115001.07</v>
      </c>
      <c r="E55" s="315">
        <f>[5]Summary!F9</f>
        <v>1115001.0699999996</v>
      </c>
      <c r="F55" s="315">
        <f>[5]Summary!G9</f>
        <v>1115001.0699999996</v>
      </c>
      <c r="G55" s="315">
        <f>[5]Summary!H9</f>
        <v>1115001.07</v>
      </c>
      <c r="H55" s="315">
        <f>[5]Summary!I9</f>
        <v>1115001.0699999996</v>
      </c>
      <c r="I55" s="315">
        <f>[5]Summary!J9</f>
        <v>1115202.1499999997</v>
      </c>
      <c r="J55" s="315">
        <f>[5]Summary!K9</f>
        <v>1115202.1499999997</v>
      </c>
      <c r="K55" s="315">
        <f>[5]Summary!L9</f>
        <v>1115202.1499999997</v>
      </c>
      <c r="L55" s="315">
        <f>[5]Summary!M9</f>
        <v>1115634.2599999998</v>
      </c>
      <c r="M55" s="315">
        <f>[5]Summary!N9</f>
        <v>1115634.2599999998</v>
      </c>
      <c r="N55" s="315">
        <f>[5]Summary!O9</f>
        <v>1115634.2599999998</v>
      </c>
      <c r="O55" s="315">
        <f>[5]Summary!P9</f>
        <v>1115634.2599999998</v>
      </c>
      <c r="P55" s="315">
        <f>[5]Summary!Q9</f>
        <v>1115634.2599999998</v>
      </c>
      <c r="Q55" s="315">
        <f t="shared" si="1"/>
        <v>1115288.7862499997</v>
      </c>
    </row>
    <row r="56" spans="1:17" ht="15" customHeight="1" x14ac:dyDescent="0.25">
      <c r="A56" s="313"/>
      <c r="B56" s="313" t="s">
        <v>182</v>
      </c>
      <c r="C56" s="310"/>
      <c r="D56" s="315">
        <f>[5]Summary!E10</f>
        <v>300721252.83999997</v>
      </c>
      <c r="E56" s="315">
        <f>[5]Summary!F10</f>
        <v>302557318.36000007</v>
      </c>
      <c r="F56" s="315">
        <f>[5]Summary!G10</f>
        <v>303717984.20000011</v>
      </c>
      <c r="G56" s="315">
        <f>[5]Summary!H10</f>
        <v>305117836.14000005</v>
      </c>
      <c r="H56" s="315">
        <f>[5]Summary!I10</f>
        <v>306141865.35000008</v>
      </c>
      <c r="I56" s="315">
        <f>[5]Summary!J10</f>
        <v>306987778.66000003</v>
      </c>
      <c r="J56" s="315">
        <f>[5]Summary!K10</f>
        <v>308279157.26000005</v>
      </c>
      <c r="K56" s="315">
        <f>[5]Summary!L10</f>
        <v>308706366.22000003</v>
      </c>
      <c r="L56" s="315">
        <f>[5]Summary!M10</f>
        <v>309364404.78000009</v>
      </c>
      <c r="M56" s="315">
        <f>[5]Summary!N10</f>
        <v>310383260.22000003</v>
      </c>
      <c r="N56" s="315">
        <f>[5]Summary!O10</f>
        <v>311310824.96999997</v>
      </c>
      <c r="O56" s="315">
        <f>[5]Summary!P10</f>
        <v>312479514.77000004</v>
      </c>
      <c r="P56" s="315">
        <f>[5]Summary!Q10</f>
        <v>313208955.81</v>
      </c>
      <c r="Q56" s="315">
        <f>((D56/2)+SUM(E56:O56)+(P56/2))/12</f>
        <v>307667617.9379167</v>
      </c>
    </row>
    <row r="57" spans="1:17" ht="15" customHeight="1" x14ac:dyDescent="0.25">
      <c r="A57" s="313"/>
      <c r="B57" s="313" t="s">
        <v>195</v>
      </c>
      <c r="C57" s="310"/>
      <c r="D57" s="315">
        <f>[5]Summary!E11</f>
        <v>16197409.886976002</v>
      </c>
      <c r="E57" s="315">
        <f>[5]Summary!F11</f>
        <v>16434912.673784005</v>
      </c>
      <c r="F57" s="315">
        <f>[5]Summary!G11</f>
        <v>16420114.964024004</v>
      </c>
      <c r="G57" s="315">
        <f>[5]Summary!H11</f>
        <v>17233090.689632002</v>
      </c>
      <c r="H57" s="315">
        <f>[5]Summary!I11</f>
        <v>17520287.479864005</v>
      </c>
      <c r="I57" s="315">
        <f>[5]Summary!J11</f>
        <v>17694175.053184006</v>
      </c>
      <c r="J57" s="315">
        <f>[5]Summary!K11</f>
        <v>18679935.273048006</v>
      </c>
      <c r="K57" s="315">
        <f>[5]Summary!L11</f>
        <v>19189296.289536007</v>
      </c>
      <c r="L57" s="315">
        <f>[5]Summary!M11</f>
        <v>19827201.015000008</v>
      </c>
      <c r="M57" s="315">
        <f>[5]Summary!N11</f>
        <v>20269267.345432006</v>
      </c>
      <c r="N57" s="315">
        <f>[5]Summary!O11</f>
        <v>20322228.391144004</v>
      </c>
      <c r="O57" s="315">
        <f>[5]Summary!P11</f>
        <v>20390470.876080006</v>
      </c>
      <c r="P57" s="315">
        <f>[5]Summary!Q11</f>
        <v>20775548.989904005</v>
      </c>
      <c r="Q57" s="315">
        <f>((D57/2)+SUM(E57:O57)+(P57/2))/12</f>
        <v>18538954.957430672</v>
      </c>
    </row>
    <row r="58" spans="1:17" ht="15" customHeight="1" x14ac:dyDescent="0.25">
      <c r="A58" s="313"/>
      <c r="B58" s="212" t="s">
        <v>465</v>
      </c>
      <c r="C58" s="310"/>
      <c r="D58" s="315">
        <f>[5]Summary!E12</f>
        <v>1818367.7528599121</v>
      </c>
      <c r="E58" s="315">
        <f>[5]Summary!F12</f>
        <v>1819039.320033212</v>
      </c>
      <c r="F58" s="315">
        <f>[5]Summary!G12</f>
        <v>1819039.320033212</v>
      </c>
      <c r="G58" s="315">
        <f>[5]Summary!H12</f>
        <v>1819039.320033212</v>
      </c>
      <c r="H58" s="315">
        <f>[5]Summary!I12</f>
        <v>1819881.6065253839</v>
      </c>
      <c r="I58" s="315">
        <f>[5]Summary!J12</f>
        <v>1819881.6065253839</v>
      </c>
      <c r="J58" s="315">
        <f>[5]Summary!K12</f>
        <v>1819881.6065253839</v>
      </c>
      <c r="K58" s="315">
        <f>[5]Summary!L12</f>
        <v>1819039.320033212</v>
      </c>
      <c r="L58" s="315">
        <f>[5]Summary!M12</f>
        <v>1819516.6157121093</v>
      </c>
      <c r="M58" s="315">
        <f>[5]Summary!N12</f>
        <v>1971508.3208183809</v>
      </c>
      <c r="N58" s="315">
        <f>[5]Summary!O12</f>
        <v>1972189.5901704389</v>
      </c>
      <c r="O58" s="315">
        <f>[5]Summary!P12</f>
        <v>1971546.8204374525</v>
      </c>
      <c r="P58" s="315">
        <f>[5]Summary!Q12</f>
        <v>1973199.1896815554</v>
      </c>
      <c r="Q58" s="315">
        <f t="shared" si="1"/>
        <v>1863862.2431765096</v>
      </c>
    </row>
    <row r="59" spans="1:17" ht="15" customHeight="1" x14ac:dyDescent="0.25">
      <c r="A59" s="313"/>
      <c r="B59" s="212" t="s">
        <v>466</v>
      </c>
      <c r="C59" s="310"/>
      <c r="D59" s="315">
        <f>[5]Summary!E13</f>
        <v>6108811.9129995592</v>
      </c>
      <c r="E59" s="315">
        <f>[5]Summary!F13</f>
        <v>6111216.158046945</v>
      </c>
      <c r="F59" s="315">
        <f>[5]Summary!G13</f>
        <v>6111414.832788039</v>
      </c>
      <c r="G59" s="315">
        <f>[5]Summary!H13</f>
        <v>6112606.0872106487</v>
      </c>
      <c r="H59" s="315">
        <f>[5]Summary!I13</f>
        <v>6112977.1996628502</v>
      </c>
      <c r="I59" s="315">
        <f>[5]Summary!J13</f>
        <v>6113513.6354040643</v>
      </c>
      <c r="J59" s="315">
        <f>[5]Summary!K13</f>
        <v>6138914.0372346947</v>
      </c>
      <c r="K59" s="315">
        <f>[5]Summary!L13</f>
        <v>6141884.467019638</v>
      </c>
      <c r="L59" s="315">
        <f>[5]Summary!M13</f>
        <v>6142212.5546231046</v>
      </c>
      <c r="M59" s="315">
        <f>[5]Summary!N13</f>
        <v>6146052.1553200902</v>
      </c>
      <c r="N59" s="315">
        <f>[5]Summary!O13</f>
        <v>6146246.3088528728</v>
      </c>
      <c r="O59" s="315">
        <f>[5]Summary!P13</f>
        <v>6152054.168593823</v>
      </c>
      <c r="P59" s="315">
        <f>[5]Summary!Q13</f>
        <v>6152793.4570769612</v>
      </c>
      <c r="Q59" s="315">
        <f t="shared" si="1"/>
        <v>6129991.1908162534</v>
      </c>
    </row>
    <row r="60" spans="1:17" ht="15" customHeight="1" x14ac:dyDescent="0.25">
      <c r="A60" s="313"/>
      <c r="B60" s="313" t="s">
        <v>216</v>
      </c>
      <c r="C60" s="310"/>
      <c r="D60" s="315">
        <f>[5]Summary!E14</f>
        <v>32557522.962627992</v>
      </c>
      <c r="E60" s="315">
        <f>[5]Summary!F14</f>
        <v>32805056.55945899</v>
      </c>
      <c r="F60" s="315">
        <f>[5]Summary!G14</f>
        <v>32806817.947344985</v>
      </c>
      <c r="G60" s="315">
        <f>[5]Summary!H14</f>
        <v>33047073.773292981</v>
      </c>
      <c r="H60" s="315">
        <f>[5]Summary!I14</f>
        <v>33048498.400491986</v>
      </c>
      <c r="I60" s="315">
        <f>[5]Summary!J14</f>
        <v>33047688.042894978</v>
      </c>
      <c r="J60" s="315">
        <f>[5]Summary!K14</f>
        <v>33110374.891298983</v>
      </c>
      <c r="K60" s="315">
        <f>[5]Summary!L14</f>
        <v>33111179.903350983</v>
      </c>
      <c r="L60" s="315">
        <f>[5]Summary!M14</f>
        <v>33345280.634208977</v>
      </c>
      <c r="M60" s="315">
        <f>[5]Summary!N14</f>
        <v>33347060.032635979</v>
      </c>
      <c r="N60" s="315">
        <f>[5]Summary!O14</f>
        <v>33357195.82698898</v>
      </c>
      <c r="O60" s="315">
        <f>[5]Summary!P14</f>
        <v>33357295.171969976</v>
      </c>
      <c r="P60" s="315">
        <f>[5]Summary!Q14</f>
        <v>33357296.392418981</v>
      </c>
      <c r="Q60" s="316">
        <f>((D60/2)+SUM(E60:O60)+(P60/2))/12</f>
        <v>33111744.238455106</v>
      </c>
    </row>
    <row r="61" spans="1:17" ht="15" customHeight="1" x14ac:dyDescent="0.25">
      <c r="A61" s="313"/>
      <c r="B61" s="313" t="s">
        <v>275</v>
      </c>
      <c r="C61" s="310"/>
      <c r="D61" s="317">
        <f>[5]Summary!E15</f>
        <v>415468.22650400014</v>
      </c>
      <c r="E61" s="317">
        <f>[5]Summary!F15</f>
        <v>415468.22650400014</v>
      </c>
      <c r="F61" s="317">
        <f>[5]Summary!G15</f>
        <v>415468.22650400014</v>
      </c>
      <c r="G61" s="317">
        <f>[5]Summary!H15</f>
        <v>415468.22650400014</v>
      </c>
      <c r="H61" s="317">
        <f>[5]Summary!I15</f>
        <v>415468.22650400014</v>
      </c>
      <c r="I61" s="317">
        <f>[5]Summary!J15</f>
        <v>415468.22650400014</v>
      </c>
      <c r="J61" s="317">
        <f>[5]Summary!K15</f>
        <v>415468.22650400014</v>
      </c>
      <c r="K61" s="317">
        <f>[5]Summary!L15</f>
        <v>415468.22650400014</v>
      </c>
      <c r="L61" s="317">
        <f>[5]Summary!M15</f>
        <v>415468.22650400014</v>
      </c>
      <c r="M61" s="317">
        <f>[5]Summary!N15</f>
        <v>415468.22650400014</v>
      </c>
      <c r="N61" s="317">
        <f>[5]Summary!O15</f>
        <v>415468.22650400014</v>
      </c>
      <c r="O61" s="317">
        <f>[5]Summary!P15</f>
        <v>415468.22650400014</v>
      </c>
      <c r="P61" s="317">
        <f>[5]Summary!Q15</f>
        <v>415468.22650400014</v>
      </c>
      <c r="Q61" s="317">
        <f t="shared" si="1"/>
        <v>415468.22650400008</v>
      </c>
    </row>
    <row r="62" spans="1:17" ht="15" customHeight="1" x14ac:dyDescent="0.25">
      <c r="A62" s="313"/>
      <c r="B62" s="313"/>
      <c r="C62" s="310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</row>
    <row r="63" spans="1:17" ht="15" customHeight="1" thickBot="1" x14ac:dyDescent="0.3">
      <c r="A63" s="313"/>
      <c r="B63" s="313" t="s">
        <v>217</v>
      </c>
      <c r="C63" s="310"/>
      <c r="D63" s="318">
        <f>SUM(D52:D62)</f>
        <v>373147852.84515047</v>
      </c>
      <c r="E63" s="318">
        <f t="shared" ref="E63:P63" si="6">SUM(E52:E62)</f>
        <v>375645739.79652125</v>
      </c>
      <c r="F63" s="318">
        <f t="shared" si="6"/>
        <v>376799850.96772033</v>
      </c>
      <c r="G63" s="318">
        <f t="shared" si="6"/>
        <v>379397995.69892389</v>
      </c>
      <c r="H63" s="318">
        <f t="shared" si="6"/>
        <v>380743956.66949737</v>
      </c>
      <c r="I63" s="318">
        <f t="shared" si="6"/>
        <v>381825988.66401947</v>
      </c>
      <c r="J63" s="318">
        <f t="shared" si="6"/>
        <v>384233522.01908416</v>
      </c>
      <c r="K63" s="318">
        <f t="shared" si="6"/>
        <v>385265364.21552384</v>
      </c>
      <c r="L63" s="318">
        <f t="shared" si="6"/>
        <v>388458564.0610013</v>
      </c>
      <c r="M63" s="318">
        <f t="shared" si="6"/>
        <v>390086086.03275847</v>
      </c>
      <c r="N63" s="318">
        <f t="shared" si="6"/>
        <v>391110919.63682729</v>
      </c>
      <c r="O63" s="318">
        <f t="shared" si="6"/>
        <v>392428269.9782663</v>
      </c>
      <c r="P63" s="318">
        <f t="shared" si="6"/>
        <v>394072788.73395652</v>
      </c>
      <c r="Q63" s="318">
        <f>SUM(Q52:Q62)</f>
        <v>384133881.54414141</v>
      </c>
    </row>
    <row r="64" spans="1:17" ht="15" customHeight="1" thickTop="1" x14ac:dyDescent="0.25">
      <c r="A64" s="213"/>
      <c r="B64" s="213"/>
      <c r="C64" s="310"/>
      <c r="D64" s="315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188"/>
    </row>
    <row r="65" spans="1:18" ht="15" customHeight="1" x14ac:dyDescent="0.25">
      <c r="A65" s="212" t="s">
        <v>467</v>
      </c>
      <c r="B65" s="214"/>
      <c r="C65" s="310"/>
      <c r="D65" s="315"/>
      <c r="E65" s="315"/>
      <c r="F65" s="315"/>
      <c r="G65" s="310"/>
      <c r="H65" s="306"/>
      <c r="I65" s="188"/>
      <c r="J65" s="188"/>
      <c r="K65" s="188"/>
      <c r="L65" s="188"/>
      <c r="M65" s="188"/>
      <c r="N65" s="188"/>
      <c r="O65" s="188"/>
      <c r="P65" s="188"/>
      <c r="Q65" s="315"/>
    </row>
    <row r="66" spans="1:18" ht="15" customHeight="1" x14ac:dyDescent="0.25">
      <c r="A66" s="313"/>
      <c r="B66" s="313" t="s">
        <v>463</v>
      </c>
      <c r="C66" s="310"/>
      <c r="D66" s="315">
        <f>-[5]Summary!E21</f>
        <v>-8165254.770647997</v>
      </c>
      <c r="E66" s="315">
        <f>-[5]Summary!F21</f>
        <v>-8221832.751602998</v>
      </c>
      <c r="F66" s="315">
        <f>-[5]Summary!G21</f>
        <v>-8278918.0271919975</v>
      </c>
      <c r="G66" s="315">
        <f>-[5]Summary!H21</f>
        <v>-8336433.2045959979</v>
      </c>
      <c r="H66" s="315">
        <f>-[5]Summary!I21</f>
        <v>-8398704.9405279979</v>
      </c>
      <c r="I66" s="315">
        <f>-[5]Summary!J21</f>
        <v>-8458104.9823759962</v>
      </c>
      <c r="J66" s="315">
        <f>-[5]Summary!K21</f>
        <v>-8517799.8797609955</v>
      </c>
      <c r="K66" s="315">
        <f>-[5]Summary!L21</f>
        <v>-8577876.5043149963</v>
      </c>
      <c r="L66" s="315">
        <f>-[5]Summary!M21</f>
        <v>-8642908.2224669959</v>
      </c>
      <c r="M66" s="315">
        <f>-[5]Summary!N21</f>
        <v>-8635040.790381996</v>
      </c>
      <c r="N66" s="315">
        <f>-[5]Summary!O21</f>
        <v>-8706760.0180689972</v>
      </c>
      <c r="O66" s="315">
        <f>-[5]Summary!P21</f>
        <v>-8778515.0244989991</v>
      </c>
      <c r="P66" s="315">
        <f>-[5]Summary!Q21</f>
        <v>-8852541.7453209963</v>
      </c>
      <c r="Q66" s="315">
        <f>((D66/2)+SUM(E66:O66)+(P66/2))/12</f>
        <v>-8505149.3836477064</v>
      </c>
    </row>
    <row r="67" spans="1:18" ht="15" customHeight="1" x14ac:dyDescent="0.25">
      <c r="A67" s="313"/>
      <c r="B67" s="313" t="s">
        <v>464</v>
      </c>
      <c r="C67" s="310"/>
      <c r="D67" s="315">
        <f>-[5]Summary!E22</f>
        <v>0</v>
      </c>
      <c r="E67" s="315">
        <f>-[5]Summary!F22</f>
        <v>0</v>
      </c>
      <c r="F67" s="315">
        <f>-[5]Summary!G22</f>
        <v>0</v>
      </c>
      <c r="G67" s="315">
        <f>-[5]Summary!H22</f>
        <v>0</v>
      </c>
      <c r="H67" s="315">
        <f>-[5]Summary!I22</f>
        <v>0</v>
      </c>
      <c r="I67" s="315">
        <f>-[5]Summary!J22</f>
        <v>0</v>
      </c>
      <c r="J67" s="315">
        <f>-[5]Summary!K22</f>
        <v>0</v>
      </c>
      <c r="K67" s="315">
        <f>-[5]Summary!L22</f>
        <v>0</v>
      </c>
      <c r="L67" s="315">
        <f>-[5]Summary!M22</f>
        <v>0</v>
      </c>
      <c r="M67" s="315">
        <f>-[5]Summary!N22</f>
        <v>0</v>
      </c>
      <c r="N67" s="315">
        <f>-[5]Summary!O22</f>
        <v>0</v>
      </c>
      <c r="O67" s="315">
        <f>-[5]Summary!P22</f>
        <v>0</v>
      </c>
      <c r="P67" s="315">
        <f>-[5]Summary!Q22</f>
        <v>0</v>
      </c>
      <c r="Q67" s="315">
        <f t="shared" si="1"/>
        <v>0</v>
      </c>
    </row>
    <row r="68" spans="1:18" ht="15" customHeight="1" x14ac:dyDescent="0.25">
      <c r="A68" s="313"/>
      <c r="B68" s="313" t="s">
        <v>180</v>
      </c>
      <c r="C68" s="310"/>
      <c r="D68" s="315">
        <f>-[5]Summary!E23</f>
        <v>0</v>
      </c>
      <c r="E68" s="315">
        <f>-[5]Summary!F23</f>
        <v>0</v>
      </c>
      <c r="F68" s="315">
        <f>-[5]Summary!G23</f>
        <v>0</v>
      </c>
      <c r="G68" s="315">
        <f>-[5]Summary!H23</f>
        <v>0</v>
      </c>
      <c r="H68" s="315">
        <f>-[5]Summary!I23</f>
        <v>0</v>
      </c>
      <c r="I68" s="315">
        <f>-[5]Summary!J23</f>
        <v>0</v>
      </c>
      <c r="J68" s="315">
        <f>-[5]Summary!K23</f>
        <v>0</v>
      </c>
      <c r="K68" s="315">
        <f>-[5]Summary!L23</f>
        <v>0</v>
      </c>
      <c r="L68" s="315">
        <f>-[5]Summary!M23</f>
        <v>0</v>
      </c>
      <c r="M68" s="315">
        <f>-[5]Summary!N23</f>
        <v>0</v>
      </c>
      <c r="N68" s="315">
        <f>-[5]Summary!O23</f>
        <v>0</v>
      </c>
      <c r="O68" s="315">
        <f>-[5]Summary!P23</f>
        <v>0</v>
      </c>
      <c r="P68" s="315">
        <f>-[5]Summary!Q23</f>
        <v>0</v>
      </c>
      <c r="Q68" s="315">
        <f t="shared" si="1"/>
        <v>0</v>
      </c>
    </row>
    <row r="69" spans="1:18" ht="15" customHeight="1" x14ac:dyDescent="0.25">
      <c r="A69" s="313"/>
      <c r="B69" s="313" t="s">
        <v>181</v>
      </c>
      <c r="C69" s="310"/>
      <c r="D69" s="315">
        <f>-[5]Summary!E24</f>
        <v>-186318.77</v>
      </c>
      <c r="E69" s="315">
        <f>-[5]Summary!F24</f>
        <v>-188065.57</v>
      </c>
      <c r="F69" s="315">
        <f>-[5]Summary!G24</f>
        <v>-189812.39</v>
      </c>
      <c r="G69" s="315">
        <f>-[5]Summary!H24</f>
        <v>-191559.23</v>
      </c>
      <c r="H69" s="315">
        <f>-[5]Summary!I24</f>
        <v>-193306.07</v>
      </c>
      <c r="I69" s="315">
        <f>-[5]Summary!J24</f>
        <v>-195053.04</v>
      </c>
      <c r="J69" s="315">
        <f>-[5]Summary!K24</f>
        <v>-196800.24000000002</v>
      </c>
      <c r="K69" s="315">
        <f>-[5]Summary!L24</f>
        <v>-198547.34</v>
      </c>
      <c r="L69" s="315">
        <f>-[5]Summary!M24</f>
        <v>-200294.86</v>
      </c>
      <c r="M69" s="315">
        <f>-[5]Summary!N24</f>
        <v>-202042.65</v>
      </c>
      <c r="N69" s="315">
        <f>-[5]Summary!O24</f>
        <v>-203790.47</v>
      </c>
      <c r="O69" s="315">
        <f>-[5]Summary!P24</f>
        <v>-205538.34</v>
      </c>
      <c r="P69" s="315">
        <f>-[5]Summary!Q24</f>
        <v>-207286.18</v>
      </c>
      <c r="Q69" s="315">
        <f t="shared" si="1"/>
        <v>-196801.05624999999</v>
      </c>
    </row>
    <row r="70" spans="1:18" ht="15" customHeight="1" x14ac:dyDescent="0.25">
      <c r="A70" s="313"/>
      <c r="B70" s="313" t="s">
        <v>182</v>
      </c>
      <c r="C70" s="310"/>
      <c r="D70" s="315">
        <f>-[5]Summary!E25</f>
        <v>-118805564.54000001</v>
      </c>
      <c r="E70" s="315">
        <f>-[5]Summary!F25</f>
        <v>-119412666.38000001</v>
      </c>
      <c r="F70" s="315">
        <f>-[5]Summary!G25</f>
        <v>-120011075.34000002</v>
      </c>
      <c r="G70" s="315">
        <f>-[5]Summary!H25</f>
        <v>-120607643.42999999</v>
      </c>
      <c r="H70" s="315">
        <f>-[5]Summary!I25</f>
        <v>-121208638.11</v>
      </c>
      <c r="I70" s="315">
        <f>-[5]Summary!J25</f>
        <v>-121764580.92000002</v>
      </c>
      <c r="J70" s="315">
        <f>-[5]Summary!K25</f>
        <v>-122251227.55</v>
      </c>
      <c r="K70" s="315">
        <f>-[5]Summary!L25</f>
        <v>-122713206.16</v>
      </c>
      <c r="L70" s="315">
        <f>-[5]Summary!M25</f>
        <v>-123198643.67</v>
      </c>
      <c r="M70" s="315">
        <f>-[5]Summary!N25</f>
        <v>-123697435.06</v>
      </c>
      <c r="N70" s="315">
        <f>-[5]Summary!O25</f>
        <v>-124120784.64000002</v>
      </c>
      <c r="O70" s="315">
        <f>-[5]Summary!P25</f>
        <v>-124695494.04000001</v>
      </c>
      <c r="P70" s="315">
        <f>-[5]Summary!Q25</f>
        <v>-125081794.73999996</v>
      </c>
      <c r="Q70" s="315">
        <f t="shared" si="1"/>
        <v>-122135422.91166665</v>
      </c>
    </row>
    <row r="71" spans="1:18" ht="15" customHeight="1" x14ac:dyDescent="0.25">
      <c r="A71" s="313"/>
      <c r="B71" s="313" t="s">
        <v>195</v>
      </c>
      <c r="C71" s="310"/>
      <c r="D71" s="315">
        <f>-[5]Summary!E26</f>
        <v>-5558903.4522960009</v>
      </c>
      <c r="E71" s="315">
        <f>-[5]Summary!F26</f>
        <v>-5686642.3980640024</v>
      </c>
      <c r="F71" s="315">
        <f>-[5]Summary!G26</f>
        <v>-5450231.3149360018</v>
      </c>
      <c r="G71" s="315">
        <f>-[5]Summary!H26</f>
        <v>-5550344.2611200027</v>
      </c>
      <c r="H71" s="315">
        <f>-[5]Summary!I26</f>
        <v>-5604055.2985360008</v>
      </c>
      <c r="I71" s="315">
        <f>-[5]Summary!J26</f>
        <v>-5742931.5518960031</v>
      </c>
      <c r="J71" s="315">
        <f>-[5]Summary!K26</f>
        <v>-5856615.9734480008</v>
      </c>
      <c r="K71" s="315">
        <f>-[5]Summary!L26</f>
        <v>-5972991.720544003</v>
      </c>
      <c r="L71" s="315">
        <f>-[5]Summary!M26</f>
        <v>-6108620.7823680006</v>
      </c>
      <c r="M71" s="315">
        <f>-[5]Summary!N26</f>
        <v>-6253463.4197040005</v>
      </c>
      <c r="N71" s="315">
        <f>-[5]Summary!O26</f>
        <v>-6400424.8606800027</v>
      </c>
      <c r="O71" s="315">
        <f>-[5]Summary!P26</f>
        <v>-6528343.1339680012</v>
      </c>
      <c r="P71" s="315">
        <f>-[5]Summary!Q26</f>
        <v>-6656419.6137600001</v>
      </c>
      <c r="Q71" s="315">
        <f t="shared" si="1"/>
        <v>-5938527.1873576678</v>
      </c>
    </row>
    <row r="72" spans="1:18" ht="15" customHeight="1" x14ac:dyDescent="0.25">
      <c r="A72" s="313"/>
      <c r="B72" s="212" t="s">
        <v>465</v>
      </c>
      <c r="C72" s="310"/>
      <c r="D72" s="315">
        <f>-[5]Summary!E27</f>
        <v>-68274.458277797865</v>
      </c>
      <c r="E72" s="315">
        <f>-[5]Summary!F27</f>
        <v>-68274.458277797865</v>
      </c>
      <c r="F72" s="315">
        <f>-[5]Summary!G27</f>
        <v>-68274.458277797865</v>
      </c>
      <c r="G72" s="315">
        <f>-[5]Summary!H27</f>
        <v>-68274.458277797865</v>
      </c>
      <c r="H72" s="315">
        <f>-[5]Summary!I27</f>
        <v>-68274.458277797865</v>
      </c>
      <c r="I72" s="315">
        <f>-[5]Summary!J27</f>
        <v>-68274.458277797865</v>
      </c>
      <c r="J72" s="315">
        <f>-[5]Summary!K27</f>
        <v>-68274.458277797865</v>
      </c>
      <c r="K72" s="315">
        <f>-[5]Summary!L27</f>
        <v>-68274.458277797865</v>
      </c>
      <c r="L72" s="315">
        <f>-[5]Summary!M27</f>
        <v>-68274.458277797865</v>
      </c>
      <c r="M72" s="315">
        <f>-[5]Summary!N27</f>
        <v>-68274.458277797865</v>
      </c>
      <c r="N72" s="315">
        <f>-[5]Summary!O27</f>
        <v>-68274.458277797865</v>
      </c>
      <c r="O72" s="315">
        <f>-[5]Summary!P27</f>
        <v>-68274.458277797865</v>
      </c>
      <c r="P72" s="315">
        <f>-[5]Summary!Q27</f>
        <v>-68274.458277797865</v>
      </c>
      <c r="Q72" s="315">
        <f t="shared" si="1"/>
        <v>-68274.458277797865</v>
      </c>
    </row>
    <row r="73" spans="1:18" ht="15" customHeight="1" x14ac:dyDescent="0.25">
      <c r="A73" s="313"/>
      <c r="B73" s="212" t="s">
        <v>466</v>
      </c>
      <c r="C73" s="310"/>
      <c r="D73" s="315">
        <f>-[5]Summary!E28</f>
        <v>-1070137.0334659077</v>
      </c>
      <c r="E73" s="315">
        <f>-[5]Summary!F28</f>
        <v>-1081695.1715365737</v>
      </c>
      <c r="F73" s="315">
        <f>-[5]Summary!G28</f>
        <v>-1093255.7658641173</v>
      </c>
      <c r="G73" s="315">
        <f>-[5]Summary!H28</f>
        <v>-1104817.5463362869</v>
      </c>
      <c r="H73" s="315">
        <f>-[5]Summary!I28</f>
        <v>-1116380.8781714959</v>
      </c>
      <c r="I73" s="315">
        <f>-[5]Summary!J28</f>
        <v>-1127945.1491397694</v>
      </c>
      <c r="J73" s="315">
        <f>-[5]Summary!K28</f>
        <v>-1139533.8946330959</v>
      </c>
      <c r="K73" s="315">
        <f>-[5]Summary!L28</f>
        <v>-1151149.5024299014</v>
      </c>
      <c r="L73" s="315">
        <f>-[5]Summary!M28</f>
        <v>-1162768.1893114154</v>
      </c>
      <c r="M73" s="315">
        <f>-[5]Summary!N28</f>
        <v>-1160100.252493053</v>
      </c>
      <c r="N73" s="315">
        <f>-[5]Summary!O28</f>
        <v>-1171726.6643961978</v>
      </c>
      <c r="O73" s="315">
        <f>-[5]Summary!P28</f>
        <v>-1183358.7029455327</v>
      </c>
      <c r="P73" s="315">
        <f>-[5]Summary!Q28</f>
        <v>-1194997.1491215057</v>
      </c>
      <c r="Q73" s="315">
        <f>((D73/2)+SUM(E73:O73)+(P73/2))/12</f>
        <v>-1135441.5673792621</v>
      </c>
    </row>
    <row r="74" spans="1:18" ht="15" customHeight="1" x14ac:dyDescent="0.25">
      <c r="A74" s="313"/>
      <c r="B74" s="313" t="s">
        <v>216</v>
      </c>
      <c r="C74" s="310"/>
      <c r="D74" s="315">
        <f>-[5]Summary!E29</f>
        <v>-14740458.096090397</v>
      </c>
      <c r="E74" s="315">
        <f>-[5]Summary!F29</f>
        <v>-14844796.904327067</v>
      </c>
      <c r="F74" s="315">
        <f>-[5]Summary!G29</f>
        <v>-14899213.877522733</v>
      </c>
      <c r="G74" s="315">
        <f>-[5]Summary!H29</f>
        <v>-14953778.862319397</v>
      </c>
      <c r="H74" s="315">
        <f>-[5]Summary!I29</f>
        <v>-15008495.541684063</v>
      </c>
      <c r="I74" s="315">
        <f>-[5]Summary!J29</f>
        <v>-15063220.665820731</v>
      </c>
      <c r="J74" s="315">
        <f>-[5]Summary!K29</f>
        <v>-15117976.537921399</v>
      </c>
      <c r="K74" s="315">
        <f>-[5]Summary!L29</f>
        <v>-15172776.18295506</v>
      </c>
      <c r="L74" s="315">
        <f>-[5]Summary!M29</f>
        <v>-15227782.96272273</v>
      </c>
      <c r="M74" s="315">
        <f>-[5]Summary!N29</f>
        <v>-15283008.927131398</v>
      </c>
      <c r="N74" s="315">
        <f>-[5]Summary!O29</f>
        <v>-15338265.469787063</v>
      </c>
      <c r="O74" s="315">
        <f>-[5]Summary!P29</f>
        <v>-15393481.708438734</v>
      </c>
      <c r="P74" s="315">
        <f>-[5]Summary!Q29</f>
        <v>-15448724.117019402</v>
      </c>
      <c r="Q74" s="316">
        <f>((D74/2)+SUM(E74:O74)+(P74/2))/12</f>
        <v>-15116449.062265439</v>
      </c>
    </row>
    <row r="75" spans="1:18" ht="15" customHeight="1" x14ac:dyDescent="0.25">
      <c r="A75" s="313"/>
      <c r="B75" s="313" t="s">
        <v>275</v>
      </c>
      <c r="C75" s="310"/>
      <c r="D75" s="317">
        <f>-[5]Summary!E30</f>
        <v>-244568.43357600007</v>
      </c>
      <c r="E75" s="317">
        <f>-[5]Summary!F30</f>
        <v>-245298.5854880001</v>
      </c>
      <c r="F75" s="317">
        <f>-[5]Summary!G30</f>
        <v>-246028.73192000008</v>
      </c>
      <c r="G75" s="317">
        <f>-[5]Summary!H30</f>
        <v>-246758.91013600008</v>
      </c>
      <c r="H75" s="317">
        <f>-[5]Summary!I30</f>
        <v>-247489.07081600008</v>
      </c>
      <c r="I75" s="317">
        <f>-[5]Summary!J30</f>
        <v>-248219.2205360001</v>
      </c>
      <c r="J75" s="317">
        <f>-[5]Summary!K30</f>
        <v>-248949.38669600006</v>
      </c>
      <c r="K75" s="317">
        <f>-[5]Summary!L30</f>
        <v>-249679.54408800011</v>
      </c>
      <c r="L75" s="317">
        <f>-[5]Summary!M30</f>
        <v>-250409.69380800007</v>
      </c>
      <c r="M75" s="317">
        <f>-[5]Summary!N30</f>
        <v>-251139.84243200006</v>
      </c>
      <c r="N75" s="317">
        <f>-[5]Summary!O30</f>
        <v>-251869.99872800004</v>
      </c>
      <c r="O75" s="317">
        <f>-[5]Summary!P30</f>
        <v>-252600.14296800009</v>
      </c>
      <c r="P75" s="317">
        <f>-[5]Summary!Q30</f>
        <v>-253330.31022400007</v>
      </c>
      <c r="Q75" s="317">
        <f>((D75/2)+SUM(E75:O75)+(P75/2))/12</f>
        <v>-248949.37495966675</v>
      </c>
    </row>
    <row r="76" spans="1:18" ht="15" customHeight="1" x14ac:dyDescent="0.25">
      <c r="A76" s="313"/>
      <c r="B76" s="313"/>
      <c r="C76" s="310"/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</row>
    <row r="77" spans="1:18" ht="15" customHeight="1" thickBot="1" x14ac:dyDescent="0.3">
      <c r="A77" s="313"/>
      <c r="B77" s="313" t="s">
        <v>468</v>
      </c>
      <c r="C77" s="310"/>
      <c r="D77" s="318">
        <f>SUM(D66:D76)</f>
        <v>-148839479.5543541</v>
      </c>
      <c r="E77" s="318">
        <f t="shared" ref="E77:P77" si="7">SUM(E66:E76)</f>
        <v>-149749272.21929643</v>
      </c>
      <c r="F77" s="318">
        <f t="shared" si="7"/>
        <v>-150236809.90571266</v>
      </c>
      <c r="G77" s="318">
        <f t="shared" si="7"/>
        <v>-151059609.90278551</v>
      </c>
      <c r="H77" s="318">
        <f t="shared" si="7"/>
        <v>-151845344.36801335</v>
      </c>
      <c r="I77" s="318">
        <f t="shared" si="7"/>
        <v>-152668329.98804629</v>
      </c>
      <c r="J77" s="318">
        <f t="shared" si="7"/>
        <v>-153397177.92073727</v>
      </c>
      <c r="K77" s="318">
        <f t="shared" si="7"/>
        <v>-154104501.41260976</v>
      </c>
      <c r="L77" s="318">
        <f t="shared" si="7"/>
        <v>-154859702.8389549</v>
      </c>
      <c r="M77" s="318">
        <f t="shared" si="7"/>
        <v>-155550505.40042022</v>
      </c>
      <c r="N77" s="318">
        <f t="shared" si="7"/>
        <v>-156261896.57993808</v>
      </c>
      <c r="O77" s="318">
        <f t="shared" si="7"/>
        <v>-157105605.55109707</v>
      </c>
      <c r="P77" s="318">
        <f t="shared" si="7"/>
        <v>-157763368.31372365</v>
      </c>
      <c r="Q77" s="318">
        <f>SUM(Q66:Q76)</f>
        <v>-153345015.00180417</v>
      </c>
      <c r="R77" s="30"/>
    </row>
    <row r="78" spans="1:18" ht="15" customHeight="1" thickTop="1" x14ac:dyDescent="0.2">
      <c r="A78" s="77"/>
      <c r="B78" s="194"/>
      <c r="C78" s="310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188"/>
      <c r="R78" s="30"/>
    </row>
    <row r="79" spans="1:18" ht="15" customHeight="1" x14ac:dyDescent="0.2">
      <c r="A79" s="77"/>
      <c r="B79" s="194" t="s">
        <v>202</v>
      </c>
      <c r="C79" s="310"/>
      <c r="D79" s="315">
        <f>'[6]Other Rate Base'!C$56</f>
        <v>2456242.7463549995</v>
      </c>
      <c r="E79" s="315">
        <f>'[6]Other Rate Base'!D$56</f>
        <v>2456117.9935499993</v>
      </c>
      <c r="F79" s="315">
        <f>'[6]Other Rate Base'!E$56</f>
        <v>2455982.7107239994</v>
      </c>
      <c r="G79" s="315">
        <f>'[6]Other Rate Base'!F$56</f>
        <v>2455838.258855999</v>
      </c>
      <c r="H79" s="315">
        <f>'[6]Other Rate Base'!G$56</f>
        <v>2455655.8087569992</v>
      </c>
      <c r="I79" s="315">
        <f>'[6]Other Rate Base'!H$56</f>
        <v>2455481.7742429995</v>
      </c>
      <c r="J79" s="315">
        <f>'[6]Other Rate Base'!I$56</f>
        <v>2455332.2308649994</v>
      </c>
      <c r="K79" s="315">
        <f>'[6]Other Rate Base'!J$56</f>
        <v>2455160.4221299994</v>
      </c>
      <c r="L79" s="315">
        <f>'[6]Other Rate Base'!K$56</f>
        <v>2454971.2601019992</v>
      </c>
      <c r="M79" s="315">
        <f>'[6]Other Rate Base'!L$56</f>
        <v>2454758.1377089997</v>
      </c>
      <c r="N79" s="315">
        <f>'[6]Other Rate Base'!M$56</f>
        <v>2454552.6709579993</v>
      </c>
      <c r="O79" s="315">
        <f>'[6]Other Rate Base'!N$56</f>
        <v>2454344.5179219996</v>
      </c>
      <c r="P79" s="315">
        <f>'[6]Other Rate Base'!O$56</f>
        <v>2454136.6740519991</v>
      </c>
      <c r="Q79" s="315">
        <f t="shared" ref="Q79:Q81" si="8">((D79/2)+SUM(E79:O79)+(P79/2))/12</f>
        <v>2455282.1246682908</v>
      </c>
      <c r="R79" s="175"/>
    </row>
    <row r="80" spans="1:18" ht="15" customHeight="1" x14ac:dyDescent="0.2">
      <c r="A80" s="77"/>
      <c r="B80" s="194" t="s">
        <v>106</v>
      </c>
      <c r="C80" s="310"/>
      <c r="D80" s="315">
        <f>'[6]Other Rate Base'!C$36</f>
        <v>-926663.27999999991</v>
      </c>
      <c r="E80" s="315">
        <f>'[6]Other Rate Base'!D$36</f>
        <v>-958065.27999999991</v>
      </c>
      <c r="F80" s="315">
        <f>'[6]Other Rate Base'!E$36</f>
        <v>-972158.27999999991</v>
      </c>
      <c r="G80" s="315">
        <f>'[6]Other Rate Base'!F$36</f>
        <v>-982286.27999999991</v>
      </c>
      <c r="H80" s="315">
        <f>'[6]Other Rate Base'!G$36</f>
        <v>-994615.27999999991</v>
      </c>
      <c r="I80" s="315">
        <f>'[6]Other Rate Base'!H$36</f>
        <v>-1010081.2799999999</v>
      </c>
      <c r="J80" s="315">
        <f>'[6]Other Rate Base'!I$36</f>
        <v>-1022323.2799999999</v>
      </c>
      <c r="K80" s="315">
        <f>'[6]Other Rate Base'!J$36</f>
        <v>-1026535.2799999999</v>
      </c>
      <c r="L80" s="315">
        <f>'[6]Other Rate Base'!K$36</f>
        <v>-1045749.2799999999</v>
      </c>
      <c r="M80" s="315">
        <f>'[6]Other Rate Base'!L$36</f>
        <v>-1087855.2799999998</v>
      </c>
      <c r="N80" s="315">
        <f>'[6]Other Rate Base'!M$36</f>
        <v>-1108371.2799999998</v>
      </c>
      <c r="O80" s="315">
        <f>'[6]Other Rate Base'!N$36</f>
        <v>-1132864.2799999998</v>
      </c>
      <c r="P80" s="315">
        <f>'[6]Other Rate Base'!O$36</f>
        <v>-1157048.2799999998</v>
      </c>
      <c r="Q80" s="315">
        <f t="shared" si="8"/>
        <v>-1031896.7383333333</v>
      </c>
      <c r="R80" s="175"/>
    </row>
    <row r="81" spans="1:18" ht="15" customHeight="1" x14ac:dyDescent="0.2">
      <c r="A81" s="77"/>
      <c r="B81" s="194" t="s">
        <v>120</v>
      </c>
      <c r="C81" s="310"/>
      <c r="D81" s="315">
        <f>'[6]Other Rate Base'!C$25</f>
        <v>1565413.8155920003</v>
      </c>
      <c r="E81" s="315">
        <f>'[6]Other Rate Base'!D$25</f>
        <v>1807833.7395440005</v>
      </c>
      <c r="F81" s="315">
        <f>'[6]Other Rate Base'!E$25</f>
        <v>2198359.0807760009</v>
      </c>
      <c r="G81" s="315">
        <f>'[6]Other Rate Base'!F$25</f>
        <v>2561431.0237920005</v>
      </c>
      <c r="H81" s="315">
        <f>'[6]Other Rate Base'!G$25</f>
        <v>3013751.5094000008</v>
      </c>
      <c r="I81" s="315">
        <f>'[6]Other Rate Base'!H$25</f>
        <v>3165828.566544001</v>
      </c>
      <c r="J81" s="315">
        <f>'[6]Other Rate Base'!I$25</f>
        <v>3239909.8709200011</v>
      </c>
      <c r="K81" s="315">
        <f>'[6]Other Rate Base'!J$25</f>
        <v>3269996.5395600009</v>
      </c>
      <c r="L81" s="315">
        <f>'[6]Other Rate Base'!K$25</f>
        <v>3294846.5344480006</v>
      </c>
      <c r="M81" s="315">
        <f>'[6]Other Rate Base'!L$25</f>
        <v>3304670.6290880009</v>
      </c>
      <c r="N81" s="315">
        <f>'[6]Other Rate Base'!M$25</f>
        <v>3322912.4552800008</v>
      </c>
      <c r="O81" s="315">
        <f>'[6]Other Rate Base'!N$25</f>
        <v>3315799.8931360012</v>
      </c>
      <c r="P81" s="315">
        <f>'[6]Other Rate Base'!O$25</f>
        <v>3293802.4125120007</v>
      </c>
      <c r="Q81" s="315">
        <f t="shared" si="8"/>
        <v>2910412.3297116677</v>
      </c>
      <c r="R81" s="175"/>
    </row>
    <row r="82" spans="1:18" ht="15" customHeight="1" x14ac:dyDescent="0.2">
      <c r="A82" s="77"/>
      <c r="B82" s="194"/>
      <c r="C82" s="310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5"/>
      <c r="R82" s="175"/>
    </row>
    <row r="83" spans="1:18" ht="15" customHeight="1" x14ac:dyDescent="0.2">
      <c r="A83" s="77"/>
      <c r="B83" s="194"/>
      <c r="C83" s="310"/>
      <c r="D83" s="314"/>
      <c r="E83" s="314"/>
      <c r="F83" s="314"/>
      <c r="G83" s="321"/>
      <c r="H83" s="322"/>
      <c r="I83" s="323"/>
      <c r="J83" s="323"/>
      <c r="K83" s="323"/>
      <c r="L83" s="188"/>
      <c r="M83" s="188"/>
      <c r="N83" s="188"/>
      <c r="O83" s="188"/>
      <c r="P83" s="188"/>
      <c r="Q83" s="188"/>
      <c r="R83" s="175"/>
    </row>
    <row r="84" spans="1:18" ht="15" customHeight="1" x14ac:dyDescent="0.2">
      <c r="A84" s="77"/>
      <c r="B84" s="194" t="s">
        <v>122</v>
      </c>
      <c r="C84" s="310"/>
      <c r="D84" s="315">
        <f>'WP - Deferred Tax'!C18</f>
        <v>-40065866.292268082</v>
      </c>
      <c r="E84" s="315">
        <f>'WP - Deferred Tax'!D18</f>
        <v>-40118163.307407938</v>
      </c>
      <c r="F84" s="315">
        <f>'WP - Deferred Tax'!E18</f>
        <v>-40205919.661765471</v>
      </c>
      <c r="G84" s="315">
        <f>'WP - Deferred Tax'!F18</f>
        <v>-40226607.75580281</v>
      </c>
      <c r="H84" s="315">
        <f>'WP - Deferred Tax'!G18</f>
        <v>-40303489.048795491</v>
      </c>
      <c r="I84" s="315">
        <f>'WP - Deferred Tax'!H18</f>
        <v>-40373696.455156058</v>
      </c>
      <c r="J84" s="315">
        <f>'WP - Deferred Tax'!I18</f>
        <v>-40548054.034279853</v>
      </c>
      <c r="K84" s="315">
        <f>'WP - Deferred Tax'!J18</f>
        <v>-40611979.794084519</v>
      </c>
      <c r="L84" s="315">
        <f>'WP - Deferred Tax'!K18</f>
        <v>-40650411.722466685</v>
      </c>
      <c r="M84" s="315">
        <f>'WP - Deferred Tax'!L18</f>
        <v>-40666487.749724679</v>
      </c>
      <c r="N84" s="315">
        <f>'WP - Deferred Tax'!M18</f>
        <v>-40679409.136709027</v>
      </c>
      <c r="O84" s="315">
        <f>'WP - Deferred Tax'!N18</f>
        <v>-40695762.233527333</v>
      </c>
      <c r="P84" s="315">
        <f>'WP - Deferred Tax'!O18</f>
        <v>-40720699.532133207</v>
      </c>
      <c r="Q84" s="315">
        <f>((D84/2)+SUM(E84:O84)+(P84/2))/12</f>
        <v>-40456105.317660041</v>
      </c>
      <c r="R84" s="175"/>
    </row>
    <row r="85" spans="1:18" ht="15" customHeight="1" x14ac:dyDescent="0.2">
      <c r="A85" s="77"/>
      <c r="B85" s="194"/>
      <c r="C85" s="310"/>
      <c r="D85" s="315"/>
      <c r="E85" s="315"/>
      <c r="F85" s="315"/>
      <c r="G85" s="324"/>
      <c r="H85" s="306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1:18" ht="15" customHeight="1" thickBot="1" x14ac:dyDescent="0.25">
      <c r="A86" s="77"/>
      <c r="B86" s="325" t="s">
        <v>276</v>
      </c>
      <c r="C86" s="310"/>
      <c r="D86" s="318">
        <f>D63+D77+D79+D80+D81+D84</f>
        <v>187337500.28047526</v>
      </c>
      <c r="E86" s="318">
        <f t="shared" ref="E86:O86" si="9">E63+E77+E79+E80+E81+E84</f>
        <v>189084190.72291088</v>
      </c>
      <c r="F86" s="318">
        <f t="shared" si="9"/>
        <v>190039304.91174221</v>
      </c>
      <c r="G86" s="318">
        <f t="shared" si="9"/>
        <v>192146761.04298356</v>
      </c>
      <c r="H86" s="318">
        <f t="shared" si="9"/>
        <v>193069915.29084554</v>
      </c>
      <c r="I86" s="318">
        <f t="shared" si="9"/>
        <v>193395191.28160411</v>
      </c>
      <c r="J86" s="318">
        <f t="shared" si="9"/>
        <v>194961208.88585204</v>
      </c>
      <c r="K86" s="318">
        <f>K63+K77+K79+K80+K81+K84</f>
        <v>195247504.69051954</v>
      </c>
      <c r="L86" s="318">
        <f>L63+L77+L79+L80+L81+L84</f>
        <v>197652518.01412973</v>
      </c>
      <c r="M86" s="318">
        <f t="shared" si="9"/>
        <v>198540666.36941057</v>
      </c>
      <c r="N86" s="318">
        <f t="shared" si="9"/>
        <v>198838707.76641819</v>
      </c>
      <c r="O86" s="318">
        <f t="shared" si="9"/>
        <v>199264182.32469991</v>
      </c>
      <c r="P86" s="318">
        <f>P63+P77+P79+P80+P81+P84</f>
        <v>200179611.69466364</v>
      </c>
      <c r="Q86" s="318">
        <f>Q63+Q77+Q79+Q80+Q81+Q84</f>
        <v>194666558.94072384</v>
      </c>
    </row>
    <row r="87" spans="1:18" ht="15" customHeight="1" thickTop="1" x14ac:dyDescent="0.2">
      <c r="A87" s="77"/>
      <c r="B87" s="188"/>
      <c r="C87" s="306"/>
      <c r="D87" s="306"/>
      <c r="E87" s="306"/>
      <c r="F87" s="306"/>
      <c r="G87" s="306"/>
      <c r="H87" s="306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1:18" s="21" customFormat="1" ht="15" customHeight="1" x14ac:dyDescent="0.2">
      <c r="A88" s="393"/>
      <c r="B88" s="422" t="s">
        <v>705</v>
      </c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51">
        <f>SUM(Q56,Q70)/SUM(Q13,Q27)</f>
        <v>0.14265125464404022</v>
      </c>
    </row>
    <row r="89" spans="1:18" ht="15" customHeight="1" x14ac:dyDescent="0.2">
      <c r="A89" s="77"/>
      <c r="B89" s="327"/>
      <c r="C89" s="306"/>
      <c r="D89" s="306"/>
      <c r="E89" s="306"/>
      <c r="F89" s="306"/>
      <c r="G89" s="306"/>
      <c r="H89" s="306"/>
      <c r="I89" s="188"/>
      <c r="J89" s="188"/>
      <c r="K89" s="188"/>
      <c r="L89" s="188"/>
      <c r="M89" s="188"/>
      <c r="N89" s="188"/>
      <c r="O89" s="188"/>
      <c r="P89" s="188"/>
      <c r="Q89" s="420"/>
    </row>
    <row r="90" spans="1:18" x14ac:dyDescent="0.2">
      <c r="B90" s="1"/>
      <c r="Q90" s="75"/>
    </row>
    <row r="91" spans="1:18" x14ac:dyDescent="0.2">
      <c r="A91" s="1"/>
      <c r="C91" s="8"/>
      <c r="N91" s="21"/>
      <c r="O91" s="442"/>
      <c r="P91" s="21"/>
      <c r="Q91" s="459"/>
    </row>
    <row r="92" spans="1:18" x14ac:dyDescent="0.2">
      <c r="B92" s="1"/>
      <c r="C92" s="8"/>
      <c r="N92" s="21"/>
      <c r="O92" s="442"/>
      <c r="P92" s="21"/>
      <c r="Q92" s="351"/>
    </row>
    <row r="93" spans="1:18" x14ac:dyDescent="0.2">
      <c r="C93" s="8"/>
      <c r="N93" s="21"/>
      <c r="O93" s="442"/>
      <c r="P93" s="443"/>
      <c r="Q93" s="444"/>
      <c r="R93" s="445"/>
    </row>
    <row r="94" spans="1:18" x14ac:dyDescent="0.2">
      <c r="C94" s="8"/>
      <c r="N94" s="21"/>
      <c r="O94" s="442"/>
      <c r="P94" s="445"/>
      <c r="Q94" s="454"/>
      <c r="R94" s="445"/>
    </row>
    <row r="95" spans="1:18" x14ac:dyDescent="0.2">
      <c r="C95" s="8"/>
      <c r="N95" s="21"/>
      <c r="O95" s="442"/>
      <c r="P95" s="445"/>
      <c r="Q95" s="445"/>
      <c r="R95" s="445"/>
    </row>
    <row r="96" spans="1:18" x14ac:dyDescent="0.2">
      <c r="C96" s="8"/>
      <c r="N96" s="21"/>
      <c r="O96" s="442"/>
      <c r="P96" s="445"/>
      <c r="Q96" s="445"/>
      <c r="R96" s="446"/>
    </row>
    <row r="97" spans="3:17" x14ac:dyDescent="0.2">
      <c r="C97" s="8"/>
      <c r="N97" s="21"/>
      <c r="O97" s="21"/>
      <c r="P97" s="21"/>
      <c r="Q97" s="21"/>
    </row>
  </sheetData>
  <customSheetViews>
    <customSheetView guid="{A7BD13BF-7E57-44D7-9B02-43E2FA430390}" scale="90" showPageBreaks="1" fitToPage="1" printArea="1">
      <pane xSplit="3" ySplit="8" topLeftCell="F24" activePane="bottomRight" state="frozen"/>
      <selection pane="bottomRight" activeCell="F56" sqref="F56"/>
      <rowBreaks count="1" manualBreakCount="1">
        <brk id="49" max="16" man="1"/>
      </rowBreaks>
      <pageMargins left="0.5" right="0.5" top="0.5" bottom="0.5" header="0.25" footer="0.25"/>
      <printOptions horizontalCentered="1"/>
      <pageSetup scale="48" fitToHeight="0" orientation="landscape" r:id="rId1"/>
      <headerFooter alignWithMargins="0"/>
    </customSheetView>
    <customSheetView guid="{C29552AC-6B79-447F-B962-713ED43BDF1A}" scale="90" showPageBreaks="1" fitToPage="1" printArea="1">
      <pane xSplit="3" ySplit="8" topLeftCell="F76" activePane="bottomRight" state="frozen"/>
      <selection pane="bottomRight" activeCell="R88" sqref="R88"/>
      <rowBreaks count="1" manualBreakCount="1">
        <brk id="49" max="16" man="1"/>
      </rowBreaks>
      <pageMargins left="0.5" right="0.5" top="0.5" bottom="0.5" header="0.25" footer="0.25"/>
      <printOptions horizontalCentered="1"/>
      <pageSetup scale="48" fitToHeight="0" orientation="landscape" r:id="rId2"/>
      <headerFooter alignWithMargins="0"/>
    </customSheetView>
    <customSheetView guid="{6ED201AA-AB2E-4FE7-B06B-B07932512C4D}" scale="90" showPageBreaks="1" fitToPage="1" printArea="1">
      <pane xSplit="3" ySplit="8" topLeftCell="F66" activePane="bottomRight" state="frozen"/>
      <selection pane="bottomRight" activeCell="Q84" sqref="Q84"/>
      <rowBreaks count="1" manualBreakCount="1">
        <brk id="49" max="16" man="1"/>
      </rowBreaks>
      <pageMargins left="0.5" right="0.5" top="0.5" bottom="0.5" header="0.25" footer="0.25"/>
      <printOptions horizontalCentered="1"/>
      <pageSetup scale="48" fitToHeight="0" orientation="landscape" r:id="rId3"/>
      <headerFooter alignWithMargins="0"/>
    </customSheetView>
    <customSheetView guid="{D711E10B-9441-4991-A2CB-ED400E35790D}" scale="90" fitToPage="1">
      <pane xSplit="3" ySplit="8" topLeftCell="F57" activePane="bottomRight" state="frozen"/>
      <selection pane="bottomRight" activeCell="S75" sqref="S75"/>
      <rowBreaks count="1" manualBreakCount="1">
        <brk id="49" max="16" man="1"/>
      </rowBreaks>
      <pageMargins left="0.5" right="0.5" top="0.5" bottom="0.5" header="0.25" footer="0.25"/>
      <printOptions horizontalCentered="1"/>
      <pageSetup scale="48" fitToHeight="0" orientation="landscape" r:id="rId4"/>
      <headerFooter alignWithMargins="0"/>
    </customSheetView>
  </customSheetViews>
  <mergeCells count="2">
    <mergeCell ref="A7:C7"/>
    <mergeCell ref="A50:C50"/>
  </mergeCells>
  <phoneticPr fontId="5" type="noConversion"/>
  <printOptions horizontalCentered="1"/>
  <pageMargins left="0.5" right="0.5" top="0.5" bottom="0.5" header="0.25" footer="0.25"/>
  <pageSetup scale="48" fitToHeight="0" orientation="landscape" r:id="rId5"/>
  <headerFooter alignWithMargins="0"/>
  <rowBreaks count="1" manualBreakCount="1">
    <brk id="4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59999389629810485"/>
    <pageSetUpPr fitToPage="1"/>
  </sheetPr>
  <dimension ref="A1:K44"/>
  <sheetViews>
    <sheetView zoomScaleNormal="100" workbookViewId="0">
      <selection activeCell="C27" sqref="C27"/>
    </sheetView>
  </sheetViews>
  <sheetFormatPr defaultColWidth="9.140625" defaultRowHeight="15" x14ac:dyDescent="0.2"/>
  <cols>
    <col min="1" max="1" width="4.7109375" style="1" customWidth="1"/>
    <col min="2" max="2" width="35.85546875" style="1" customWidth="1"/>
    <col min="3" max="5" width="13.7109375" style="8" customWidth="1"/>
    <col min="6" max="6" width="9.140625" style="8" customWidth="1"/>
    <col min="7" max="11" width="9.28515625" style="8" bestFit="1" customWidth="1"/>
    <col min="12" max="16384" width="9.140625" style="8"/>
  </cols>
  <sheetData>
    <row r="1" spans="1:11" s="1" customFormat="1" x14ac:dyDescent="0.2">
      <c r="A1" s="1" t="str">
        <f>'KTW-2 - Rev Req'!A1</f>
        <v>NW Natural</v>
      </c>
      <c r="E1" s="68" t="s">
        <v>746</v>
      </c>
    </row>
    <row r="2" spans="1:11" s="1" customFormat="1" x14ac:dyDescent="0.2">
      <c r="A2" s="1" t="str">
        <f>'KTW-4,5,8 p1 - Adjust Issues'!A3</f>
        <v>Test Year Based on Twelve Months Ended September 30, 2020</v>
      </c>
      <c r="E2" s="68" t="s">
        <v>755</v>
      </c>
    </row>
    <row r="3" spans="1:11" s="1" customFormat="1" x14ac:dyDescent="0.2">
      <c r="A3" s="1" t="s">
        <v>253</v>
      </c>
      <c r="D3" s="75"/>
    </row>
    <row r="4" spans="1:11" s="1" customFormat="1" x14ac:dyDescent="0.2"/>
    <row r="5" spans="1:11" s="1" customFormat="1" x14ac:dyDescent="0.2"/>
    <row r="6" spans="1:11" s="1" customFormat="1" x14ac:dyDescent="0.2">
      <c r="A6" s="1" t="s">
        <v>19</v>
      </c>
      <c r="C6" s="5" t="s">
        <v>20</v>
      </c>
      <c r="D6" s="5"/>
      <c r="E6" s="5" t="s">
        <v>21</v>
      </c>
    </row>
    <row r="7" spans="1:11" s="1" customFormat="1" x14ac:dyDescent="0.2">
      <c r="A7" s="76" t="s">
        <v>38</v>
      </c>
      <c r="C7" s="572" t="s">
        <v>39</v>
      </c>
      <c r="D7" s="572" t="s">
        <v>40</v>
      </c>
      <c r="E7" s="572" t="s">
        <v>41</v>
      </c>
    </row>
    <row r="8" spans="1:11" s="1" customFormat="1" x14ac:dyDescent="0.2">
      <c r="C8" s="5" t="s">
        <v>55</v>
      </c>
      <c r="D8" s="5" t="s">
        <v>56</v>
      </c>
      <c r="E8" s="5" t="s">
        <v>57</v>
      </c>
    </row>
    <row r="9" spans="1:11" x14ac:dyDescent="0.2">
      <c r="B9" s="76" t="s">
        <v>64</v>
      </c>
      <c r="C9" s="77"/>
      <c r="D9" s="77"/>
      <c r="E9" s="77"/>
    </row>
    <row r="10" spans="1:11" x14ac:dyDescent="0.2">
      <c r="C10" s="23"/>
    </row>
    <row r="11" spans="1:11" x14ac:dyDescent="0.2">
      <c r="A11" s="5">
        <v>1</v>
      </c>
      <c r="B11" s="1" t="s">
        <v>79</v>
      </c>
      <c r="C11" s="9">
        <f>1-C13-C12</f>
        <v>0.5</v>
      </c>
      <c r="D11" s="12">
        <v>4.5969999999999997E-2</v>
      </c>
      <c r="E11" s="12">
        <f>ROUND((+C11*D11),5)</f>
        <v>2.299E-2</v>
      </c>
      <c r="G11" s="12"/>
      <c r="H11" s="78"/>
      <c r="I11" s="9"/>
      <c r="J11" s="78"/>
      <c r="K11" s="78"/>
    </row>
    <row r="12" spans="1:11" x14ac:dyDescent="0.2">
      <c r="A12" s="5">
        <f>A11+1</f>
        <v>2</v>
      </c>
      <c r="B12" s="1" t="s">
        <v>84</v>
      </c>
      <c r="C12" s="9">
        <v>0.01</v>
      </c>
      <c r="D12" s="586">
        <v>7.5599999999999999E-3</v>
      </c>
      <c r="E12" s="12">
        <f>ROUND((+C12*D12),5)</f>
        <v>8.0000000000000007E-5</v>
      </c>
      <c r="G12" s="12"/>
      <c r="I12" s="9"/>
    </row>
    <row r="13" spans="1:11" x14ac:dyDescent="0.2">
      <c r="A13" s="5">
        <f>A12+1</f>
        <v>3</v>
      </c>
      <c r="B13" s="1" t="s">
        <v>93</v>
      </c>
      <c r="C13" s="9">
        <v>0.49</v>
      </c>
      <c r="D13" s="12">
        <v>9.4E-2</v>
      </c>
      <c r="E13" s="79">
        <f>ROUND((+C13*D13),5)</f>
        <v>4.6059999999999997E-2</v>
      </c>
      <c r="G13" s="12"/>
      <c r="I13" s="9"/>
    </row>
    <row r="14" spans="1:11" x14ac:dyDescent="0.2">
      <c r="A14" s="5"/>
      <c r="C14" s="9"/>
      <c r="D14" s="9"/>
      <c r="E14" s="12"/>
    </row>
    <row r="15" spans="1:11" ht="15.75" thickBot="1" x14ac:dyDescent="0.25">
      <c r="A15" s="5">
        <f>A13+1</f>
        <v>4</v>
      </c>
      <c r="B15" s="1" t="s">
        <v>99</v>
      </c>
      <c r="C15" s="80">
        <f>SUM(C11:C14)</f>
        <v>1</v>
      </c>
      <c r="D15" s="9"/>
      <c r="E15" s="81">
        <f>SUM(E11:E14)</f>
        <v>6.9129999999999997E-2</v>
      </c>
    </row>
    <row r="16" spans="1:11" ht="15.75" thickTop="1" x14ac:dyDescent="0.2">
      <c r="A16" s="5"/>
      <c r="C16" s="72"/>
      <c r="D16" s="23"/>
      <c r="E16" s="55"/>
    </row>
    <row r="17" spans="1:5" x14ac:dyDescent="0.2">
      <c r="A17" s="5"/>
      <c r="B17" s="76" t="s">
        <v>108</v>
      </c>
      <c r="D17" s="23"/>
      <c r="E17" s="23"/>
    </row>
    <row r="18" spans="1:5" x14ac:dyDescent="0.2">
      <c r="A18" s="5"/>
      <c r="D18" s="23"/>
      <c r="E18" s="23"/>
    </row>
    <row r="19" spans="1:5" x14ac:dyDescent="0.2">
      <c r="A19" s="5">
        <f>A15+1</f>
        <v>5</v>
      </c>
      <c r="B19" s="1" t="s">
        <v>112</v>
      </c>
      <c r="C19" s="55">
        <f>'KTW-2 - Rev Req'!E12/'KTW-2 - Rev Req'!E$16</f>
        <v>0.96552017351399411</v>
      </c>
      <c r="D19" s="26"/>
      <c r="E19" s="26"/>
    </row>
    <row r="20" spans="1:5" x14ac:dyDescent="0.2">
      <c r="A20" s="5">
        <f>A19+1</f>
        <v>6</v>
      </c>
      <c r="B20" s="1" t="s">
        <v>89</v>
      </c>
      <c r="C20" s="55">
        <f>'KTW-2 - Rev Req'!E13/'KTW-2 - Rev Req'!E$16</f>
        <v>3.1077468672930545E-2</v>
      </c>
      <c r="D20" s="26"/>
      <c r="E20" s="26"/>
    </row>
    <row r="21" spans="1:5" x14ac:dyDescent="0.2">
      <c r="A21" s="5">
        <f>A20+1</f>
        <v>7</v>
      </c>
      <c r="B21" s="1" t="s">
        <v>121</v>
      </c>
      <c r="C21" s="82">
        <f>'KTW-2 - Rev Req'!E14/'KTW-2 - Rev Req'!E$16</f>
        <v>3.4023578130753414E-3</v>
      </c>
    </row>
    <row r="22" spans="1:5" x14ac:dyDescent="0.2">
      <c r="A22" s="5"/>
      <c r="C22" s="55"/>
    </row>
    <row r="23" spans="1:5" x14ac:dyDescent="0.2">
      <c r="A23" s="5">
        <f>A21+1</f>
        <v>8</v>
      </c>
      <c r="B23" s="1" t="s">
        <v>102</v>
      </c>
      <c r="C23" s="55">
        <f>C21+C20+C19</f>
        <v>1</v>
      </c>
    </row>
    <row r="24" spans="1:5" x14ac:dyDescent="0.2">
      <c r="A24" s="5"/>
      <c r="C24" s="55"/>
    </row>
    <row r="25" spans="1:5" x14ac:dyDescent="0.2">
      <c r="A25" s="5">
        <f>A23+1</f>
        <v>9</v>
      </c>
      <c r="B25" s="1" t="s">
        <v>126</v>
      </c>
      <c r="C25" s="55">
        <f>C44</f>
        <v>1.0487043305842344E-3</v>
      </c>
    </row>
    <row r="26" spans="1:5" x14ac:dyDescent="0.2">
      <c r="A26" s="5">
        <f>+A25+1</f>
        <v>10</v>
      </c>
      <c r="B26" s="1" t="s">
        <v>131</v>
      </c>
      <c r="C26" s="55">
        <v>3.8519999999999999E-2</v>
      </c>
    </row>
    <row r="27" spans="1:5" x14ac:dyDescent="0.2">
      <c r="A27" s="5">
        <f>A26+1</f>
        <v>11</v>
      </c>
      <c r="B27" s="1" t="s">
        <v>132</v>
      </c>
      <c r="C27" s="82">
        <v>2E-3</v>
      </c>
    </row>
    <row r="28" spans="1:5" x14ac:dyDescent="0.2">
      <c r="A28" s="5">
        <f>A27+1</f>
        <v>12</v>
      </c>
      <c r="B28" s="1" t="s">
        <v>470</v>
      </c>
      <c r="C28" s="431">
        <f>SUM(C25:C27)</f>
        <v>4.1568704330584232E-2</v>
      </c>
    </row>
    <row r="29" spans="1:5" x14ac:dyDescent="0.2">
      <c r="A29" s="5"/>
      <c r="C29" s="55"/>
    </row>
    <row r="30" spans="1:5" x14ac:dyDescent="0.2">
      <c r="A30" s="5">
        <f>+A28+1</f>
        <v>13</v>
      </c>
      <c r="B30" s="1" t="s">
        <v>141</v>
      </c>
      <c r="C30" s="55">
        <f>+C23-C28</f>
        <v>0.95843129566941576</v>
      </c>
    </row>
    <row r="31" spans="1:5" x14ac:dyDescent="0.2">
      <c r="A31" s="5">
        <f>A30+1</f>
        <v>14</v>
      </c>
      <c r="B31" s="1" t="s">
        <v>124</v>
      </c>
      <c r="C31" s="82">
        <f>C43*C30</f>
        <v>0.2012705720905773</v>
      </c>
    </row>
    <row r="32" spans="1:5" x14ac:dyDescent="0.2">
      <c r="A32" s="5"/>
      <c r="C32" s="55"/>
    </row>
    <row r="33" spans="1:3" x14ac:dyDescent="0.2">
      <c r="A33" s="5">
        <f>A31+1</f>
        <v>15</v>
      </c>
      <c r="B33" s="1" t="s">
        <v>145</v>
      </c>
      <c r="C33" s="55">
        <f>C31</f>
        <v>0.2012705720905773</v>
      </c>
    </row>
    <row r="34" spans="1:3" x14ac:dyDescent="0.2">
      <c r="A34" s="5"/>
      <c r="C34" s="55"/>
    </row>
    <row r="35" spans="1:3" x14ac:dyDescent="0.2">
      <c r="A35" s="5">
        <f>A33+1</f>
        <v>16</v>
      </c>
      <c r="B35" s="1" t="s">
        <v>470</v>
      </c>
      <c r="C35" s="82">
        <f>C33+C28</f>
        <v>0.24283927642116154</v>
      </c>
    </row>
    <row r="36" spans="1:3" x14ac:dyDescent="0.2">
      <c r="A36" s="5"/>
      <c r="C36" s="55"/>
    </row>
    <row r="37" spans="1:3" ht="15.75" thickBot="1" x14ac:dyDescent="0.25">
      <c r="A37" s="5">
        <f>A35+1</f>
        <v>17</v>
      </c>
      <c r="B37" s="1" t="s">
        <v>150</v>
      </c>
      <c r="C37" s="83">
        <f>C30-C31</f>
        <v>0.75716072357883846</v>
      </c>
    </row>
    <row r="38" spans="1:3" ht="15.75" thickTop="1" x14ac:dyDescent="0.2">
      <c r="A38" s="5"/>
      <c r="C38" s="55"/>
    </row>
    <row r="39" spans="1:3" ht="15.75" thickBot="1" x14ac:dyDescent="0.25">
      <c r="A39" s="5">
        <f>A37+1</f>
        <v>18</v>
      </c>
      <c r="B39" s="1" t="s">
        <v>155</v>
      </c>
      <c r="C39" s="83">
        <f>ROUND(1/C37,5)</f>
        <v>1.3207199999999999</v>
      </c>
    </row>
    <row r="40" spans="1:3" ht="15.75" thickTop="1" x14ac:dyDescent="0.2">
      <c r="A40" s="5"/>
      <c r="C40" s="55"/>
    </row>
    <row r="41" spans="1:3" x14ac:dyDescent="0.2">
      <c r="A41" s="5">
        <f>A39+1</f>
        <v>19</v>
      </c>
      <c r="B41" s="1" t="s">
        <v>161</v>
      </c>
      <c r="C41" s="55">
        <f>E11+E12</f>
        <v>2.307E-2</v>
      </c>
    </row>
    <row r="42" spans="1:3" x14ac:dyDescent="0.2">
      <c r="A42" s="5"/>
      <c r="C42" s="55"/>
    </row>
    <row r="43" spans="1:3" x14ac:dyDescent="0.2">
      <c r="A43" s="5">
        <f>A41+1</f>
        <v>20</v>
      </c>
      <c r="B43" s="75" t="s">
        <v>164</v>
      </c>
      <c r="C43" s="55">
        <v>0.21</v>
      </c>
    </row>
    <row r="44" spans="1:3" x14ac:dyDescent="0.2">
      <c r="A44" s="5">
        <f>A43+1</f>
        <v>21</v>
      </c>
      <c r="B44" s="75" t="s">
        <v>168</v>
      </c>
      <c r="C44" s="55">
        <f>'KTW-4 p7 - Uncollectible'!C48</f>
        <v>1.0487043305842344E-3</v>
      </c>
    </row>
  </sheetData>
  <customSheetViews>
    <customSheetView guid="{A7BD13BF-7E57-44D7-9B02-43E2FA430390}" showPageBreaks="1" fitToPage="1" printArea="1">
      <selection activeCell="J22" sqref="J22"/>
      <pageMargins left="0.5" right="0.5" top="0.5" bottom="0.5" header="0.25" footer="0.25"/>
      <printOptions horizontalCentered="1"/>
      <pageSetup scale="83" orientation="landscape" r:id="rId1"/>
      <headerFooter alignWithMargins="0"/>
    </customSheetView>
    <customSheetView guid="{C29552AC-6B79-447F-B962-713ED43BDF1A}" showPageBreaks="1" fitToPage="1" printArea="1">
      <selection activeCell="F24" sqref="F24"/>
      <pageMargins left="0.5" right="0.5" top="0.5" bottom="0.5" header="0.25" footer="0.25"/>
      <printOptions horizontalCentered="1"/>
      <pageSetup scale="83" orientation="landscape" r:id="rId2"/>
      <headerFooter alignWithMargins="0"/>
    </customSheetView>
    <customSheetView guid="{6ED201AA-AB2E-4FE7-B06B-B07932512C4D}" showPageBreaks="1" fitToPage="1" printArea="1">
      <selection activeCell="F24" sqref="F24"/>
      <pageMargins left="0.5" right="0.5" top="0.5" bottom="0.5" header="0.25" footer="0.25"/>
      <printOptions horizontalCentered="1"/>
      <pageSetup scale="83" orientation="landscape" r:id="rId3"/>
      <headerFooter alignWithMargins="0"/>
    </customSheetView>
    <customSheetView guid="{D711E10B-9441-4991-A2CB-ED400E35790D}" fitToPage="1" topLeftCell="A15">
      <selection activeCell="C39" sqref="C39"/>
      <pageMargins left="0.5" right="0.5" top="0.5" bottom="0.5" header="0.25" footer="0.25"/>
      <printOptions horizontalCentered="1"/>
      <pageSetup scale="83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88" orientation="landscape" r:id="rId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4" tint="0.59999389629810485"/>
    <pageSetUpPr fitToPage="1"/>
  </sheetPr>
  <dimension ref="A1:AB54"/>
  <sheetViews>
    <sheetView showGridLines="0" zoomScale="90" zoomScaleNormal="90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H37" sqref="H37"/>
    </sheetView>
  </sheetViews>
  <sheetFormatPr defaultColWidth="9.140625" defaultRowHeight="15" outlineLevelCol="1" x14ac:dyDescent="0.2"/>
  <cols>
    <col min="1" max="1" width="4.7109375" style="1" customWidth="1"/>
    <col min="2" max="2" width="41.7109375" style="1" customWidth="1"/>
    <col min="3" max="13" width="15.7109375" style="8" customWidth="1"/>
    <col min="14" max="14" width="15.7109375" style="8" hidden="1" customWidth="1" outlineLevel="1"/>
    <col min="15" max="15" width="15.7109375" style="8" customWidth="1" collapsed="1"/>
    <col min="16" max="20" width="15.7109375" style="8" customWidth="1"/>
    <col min="21" max="21" width="16.28515625" style="8" customWidth="1"/>
    <col min="22" max="22" width="15.7109375" style="8" customWidth="1"/>
    <col min="23" max="23" width="15.7109375" style="8" hidden="1" customWidth="1" outlineLevel="1"/>
    <col min="24" max="24" width="15.7109375" style="8" customWidth="1" collapsed="1"/>
    <col min="25" max="26" width="15.7109375" style="8" customWidth="1"/>
    <col min="27" max="27" width="15.28515625" style="8" customWidth="1"/>
    <col min="28" max="28" width="12.28515625" style="8" customWidth="1"/>
    <col min="29" max="16384" width="9.140625" style="8"/>
  </cols>
  <sheetData>
    <row r="1" spans="1:28" s="1" customFormat="1" x14ac:dyDescent="0.2">
      <c r="A1" s="1" t="s">
        <v>0</v>
      </c>
      <c r="C1" s="5"/>
      <c r="D1" s="5"/>
      <c r="E1" s="5"/>
      <c r="F1" s="5"/>
      <c r="O1" s="5" t="s">
        <v>750</v>
      </c>
      <c r="P1" s="5"/>
      <c r="W1" s="5"/>
      <c r="X1" s="5"/>
      <c r="Y1" s="5" t="s">
        <v>751</v>
      </c>
      <c r="AA1" s="5" t="s">
        <v>768</v>
      </c>
    </row>
    <row r="2" spans="1:28" s="1" customFormat="1" x14ac:dyDescent="0.2">
      <c r="A2" s="1" t="str">
        <f>+'KTW-4,5,8 p2 - Adjust Tax'!A2</f>
        <v>Adjustments to Test Period</v>
      </c>
      <c r="O2" s="5" t="s">
        <v>747</v>
      </c>
      <c r="Y2" s="5" t="s">
        <v>747</v>
      </c>
      <c r="AA2" s="5" t="s">
        <v>747</v>
      </c>
    </row>
    <row r="3" spans="1:28" s="1" customFormat="1" ht="15.75" thickBot="1" x14ac:dyDescent="0.25">
      <c r="A3" s="3" t="str">
        <f>+'KTW-3 p1 - Test Year Results'!A3</f>
        <v>Test Year Based on Twelve Months Ended September 30, 2020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8" s="1" customFormat="1" x14ac:dyDescent="0.2">
      <c r="F4" s="5"/>
      <c r="K4" s="5"/>
      <c r="O4" s="85" t="s">
        <v>628</v>
      </c>
      <c r="R4" s="5"/>
      <c r="S4" s="5"/>
      <c r="T4" s="5"/>
      <c r="U4" s="5"/>
      <c r="V4" s="5"/>
      <c r="W4" s="5"/>
      <c r="X4" s="5"/>
      <c r="Y4" s="85" t="s">
        <v>665</v>
      </c>
      <c r="AA4" s="85" t="s">
        <v>666</v>
      </c>
    </row>
    <row r="5" spans="1:28" s="1" customFormat="1" ht="15.75" thickBot="1" x14ac:dyDescent="0.25">
      <c r="C5" s="86" t="s">
        <v>322</v>
      </c>
      <c r="D5" s="86" t="s">
        <v>322</v>
      </c>
      <c r="E5" s="86" t="s">
        <v>322</v>
      </c>
      <c r="F5" s="86" t="s">
        <v>322</v>
      </c>
      <c r="G5" s="86" t="s">
        <v>322</v>
      </c>
      <c r="H5" s="86" t="s">
        <v>322</v>
      </c>
      <c r="I5" s="86" t="s">
        <v>322</v>
      </c>
      <c r="J5" s="86" t="s">
        <v>322</v>
      </c>
      <c r="K5" s="86" t="s">
        <v>322</v>
      </c>
      <c r="L5" s="86" t="s">
        <v>322</v>
      </c>
      <c r="M5" s="86" t="s">
        <v>322</v>
      </c>
      <c r="N5" s="86" t="s">
        <v>322</v>
      </c>
      <c r="O5" s="87" t="s">
        <v>322</v>
      </c>
      <c r="P5" s="86" t="s">
        <v>323</v>
      </c>
      <c r="Q5" s="86" t="s">
        <v>323</v>
      </c>
      <c r="R5" s="86" t="s">
        <v>323</v>
      </c>
      <c r="S5" s="86" t="s">
        <v>323</v>
      </c>
      <c r="T5" s="86" t="s">
        <v>323</v>
      </c>
      <c r="U5" s="86" t="s">
        <v>323</v>
      </c>
      <c r="V5" s="86" t="s">
        <v>323</v>
      </c>
      <c r="W5" s="86" t="s">
        <v>323</v>
      </c>
      <c r="X5" s="86" t="s">
        <v>323</v>
      </c>
      <c r="Y5" s="87" t="s">
        <v>323</v>
      </c>
      <c r="AA5" s="87" t="s">
        <v>323</v>
      </c>
    </row>
    <row r="6" spans="1:28" s="1" customFormat="1" x14ac:dyDescent="0.2">
      <c r="C6" s="5" t="s">
        <v>14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88"/>
      <c r="P6" s="5"/>
      <c r="Q6" s="5"/>
      <c r="R6" s="5"/>
      <c r="S6" s="5"/>
      <c r="T6" s="5"/>
      <c r="U6" s="5"/>
      <c r="V6" s="5"/>
      <c r="W6" s="5"/>
      <c r="X6" s="5"/>
      <c r="Y6" s="85"/>
      <c r="Z6" s="85"/>
      <c r="AA6" s="85"/>
      <c r="AB6" s="85"/>
    </row>
    <row r="7" spans="1:28" s="1" customFormat="1" x14ac:dyDescent="0.2">
      <c r="C7" s="5" t="s">
        <v>22</v>
      </c>
      <c r="D7" s="5" t="s">
        <v>296</v>
      </c>
      <c r="E7" s="5"/>
      <c r="F7" s="5" t="s">
        <v>265</v>
      </c>
      <c r="G7" s="5" t="s">
        <v>321</v>
      </c>
      <c r="H7" s="5" t="s">
        <v>24</v>
      </c>
      <c r="I7" s="5" t="s">
        <v>25</v>
      </c>
      <c r="J7" s="5"/>
      <c r="K7" s="5"/>
      <c r="L7" s="5"/>
      <c r="M7" s="5"/>
      <c r="N7" s="5"/>
      <c r="O7" s="88" t="s">
        <v>62</v>
      </c>
      <c r="P7" s="5"/>
      <c r="Q7" s="5" t="s">
        <v>23</v>
      </c>
      <c r="R7" s="5" t="s">
        <v>607</v>
      </c>
      <c r="S7" s="5" t="s">
        <v>670</v>
      </c>
      <c r="T7" s="5" t="s">
        <v>583</v>
      </c>
      <c r="U7" s="525" t="s">
        <v>788</v>
      </c>
      <c r="V7" s="525" t="s">
        <v>788</v>
      </c>
      <c r="W7" s="5"/>
      <c r="X7" s="5"/>
      <c r="Y7" s="88" t="s">
        <v>62</v>
      </c>
      <c r="Z7" s="88"/>
      <c r="AA7" s="88" t="s">
        <v>671</v>
      </c>
      <c r="AB7" s="88"/>
    </row>
    <row r="8" spans="1:28" s="1" customFormat="1" x14ac:dyDescent="0.2">
      <c r="A8" s="5" t="s">
        <v>15</v>
      </c>
      <c r="C8" s="5" t="s">
        <v>42</v>
      </c>
      <c r="D8" s="5" t="s">
        <v>61</v>
      </c>
      <c r="E8" s="5" t="s">
        <v>43</v>
      </c>
      <c r="F8" s="5" t="s">
        <v>287</v>
      </c>
      <c r="G8" s="5" t="s">
        <v>44</v>
      </c>
      <c r="H8" s="5" t="s">
        <v>45</v>
      </c>
      <c r="I8" s="5" t="s">
        <v>326</v>
      </c>
      <c r="J8" s="5" t="s">
        <v>46</v>
      </c>
      <c r="K8" s="5" t="s">
        <v>278</v>
      </c>
      <c r="L8" s="5" t="s">
        <v>219</v>
      </c>
      <c r="M8" s="5" t="s">
        <v>660</v>
      </c>
      <c r="N8" s="410" t="s">
        <v>782</v>
      </c>
      <c r="O8" s="88" t="s">
        <v>322</v>
      </c>
      <c r="P8" s="5" t="s">
        <v>23</v>
      </c>
      <c r="Q8" s="5" t="s">
        <v>243</v>
      </c>
      <c r="R8" s="5" t="s">
        <v>608</v>
      </c>
      <c r="S8" s="5" t="s">
        <v>45</v>
      </c>
      <c r="T8" s="5" t="s">
        <v>179</v>
      </c>
      <c r="U8" s="525" t="s">
        <v>789</v>
      </c>
      <c r="V8" s="525" t="s">
        <v>179</v>
      </c>
      <c r="W8" s="410" t="s">
        <v>782</v>
      </c>
      <c r="X8" s="5" t="s">
        <v>659</v>
      </c>
      <c r="Y8" s="88" t="s">
        <v>323</v>
      </c>
      <c r="Z8" s="88" t="s">
        <v>628</v>
      </c>
      <c r="AA8" s="88" t="s">
        <v>672</v>
      </c>
      <c r="AB8" s="88" t="s">
        <v>629</v>
      </c>
    </row>
    <row r="9" spans="1:28" s="1" customFormat="1" x14ac:dyDescent="0.2">
      <c r="A9" s="7" t="s">
        <v>31</v>
      </c>
      <c r="B9" s="76"/>
      <c r="C9" s="7" t="s">
        <v>60</v>
      </c>
      <c r="D9" s="7" t="s">
        <v>26</v>
      </c>
      <c r="E9" s="7" t="s">
        <v>26</v>
      </c>
      <c r="F9" s="7" t="s">
        <v>26</v>
      </c>
      <c r="G9" s="7" t="s">
        <v>26</v>
      </c>
      <c r="H9" s="7" t="s">
        <v>26</v>
      </c>
      <c r="I9" s="7" t="s">
        <v>26</v>
      </c>
      <c r="J9" s="7" t="s">
        <v>26</v>
      </c>
      <c r="K9" s="7" t="s">
        <v>26</v>
      </c>
      <c r="L9" s="7" t="s">
        <v>26</v>
      </c>
      <c r="M9" s="452" t="s">
        <v>26</v>
      </c>
      <c r="N9" s="453" t="s">
        <v>783</v>
      </c>
      <c r="O9" s="89" t="s">
        <v>32</v>
      </c>
      <c r="P9" s="7" t="s">
        <v>26</v>
      </c>
      <c r="Q9" s="7" t="s">
        <v>26</v>
      </c>
      <c r="R9" s="7" t="s">
        <v>26</v>
      </c>
      <c r="S9" s="7" t="s">
        <v>26</v>
      </c>
      <c r="T9" s="7" t="s">
        <v>26</v>
      </c>
      <c r="U9" s="526" t="s">
        <v>26</v>
      </c>
      <c r="V9" s="526" t="s">
        <v>26</v>
      </c>
      <c r="W9" s="453" t="s">
        <v>783</v>
      </c>
      <c r="X9" s="411" t="s">
        <v>26</v>
      </c>
      <c r="Y9" s="89" t="s">
        <v>32</v>
      </c>
      <c r="Z9" s="89" t="s">
        <v>32</v>
      </c>
      <c r="AA9" s="89" t="s">
        <v>26</v>
      </c>
      <c r="AB9" s="89" t="s">
        <v>32</v>
      </c>
    </row>
    <row r="10" spans="1:28" s="1" customFormat="1" x14ac:dyDescent="0.2">
      <c r="A10" s="5"/>
      <c r="C10" s="5" t="s">
        <v>55</v>
      </c>
      <c r="D10" s="5" t="s">
        <v>56</v>
      </c>
      <c r="E10" s="5" t="s">
        <v>57</v>
      </c>
      <c r="F10" s="5" t="s">
        <v>58</v>
      </c>
      <c r="G10" s="5" t="s">
        <v>59</v>
      </c>
      <c r="H10" s="5" t="s">
        <v>65</v>
      </c>
      <c r="I10" s="5" t="s">
        <v>66</v>
      </c>
      <c r="J10" s="5" t="s">
        <v>67</v>
      </c>
      <c r="K10" s="5" t="s">
        <v>68</v>
      </c>
      <c r="L10" s="5" t="s">
        <v>69</v>
      </c>
      <c r="M10" s="5" t="s">
        <v>70</v>
      </c>
      <c r="N10" s="5"/>
      <c r="O10" s="88" t="s">
        <v>272</v>
      </c>
      <c r="P10" s="5" t="s">
        <v>273</v>
      </c>
      <c r="Q10" s="5" t="s">
        <v>71</v>
      </c>
      <c r="R10" s="5" t="s">
        <v>72</v>
      </c>
      <c r="S10" s="5" t="s">
        <v>294</v>
      </c>
      <c r="T10" s="5" t="s">
        <v>295</v>
      </c>
      <c r="U10" s="5" t="s">
        <v>324</v>
      </c>
      <c r="V10" s="5" t="s">
        <v>325</v>
      </c>
      <c r="W10" s="5"/>
      <c r="X10" s="5" t="s">
        <v>586</v>
      </c>
      <c r="Y10" s="88" t="s">
        <v>668</v>
      </c>
      <c r="Z10" s="88" t="s">
        <v>669</v>
      </c>
      <c r="AA10" s="88" t="s">
        <v>790</v>
      </c>
      <c r="AB10" s="88" t="s">
        <v>791</v>
      </c>
    </row>
    <row r="11" spans="1:28" x14ac:dyDescent="0.2">
      <c r="A11" s="5"/>
      <c r="O11" s="90"/>
      <c r="Y11" s="90"/>
      <c r="Z11" s="90"/>
      <c r="AA11" s="90"/>
      <c r="AB11" s="90"/>
    </row>
    <row r="12" spans="1:28" x14ac:dyDescent="0.2">
      <c r="A12" s="5"/>
      <c r="B12" s="1" t="s">
        <v>74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1"/>
      <c r="P12" s="11"/>
      <c r="Q12" s="11"/>
      <c r="R12" s="11"/>
      <c r="S12" s="11"/>
      <c r="T12" s="11"/>
      <c r="U12" s="11"/>
      <c r="V12" s="417"/>
      <c r="W12" s="11"/>
      <c r="X12" s="11"/>
      <c r="Y12" s="91"/>
      <c r="Z12" s="91"/>
      <c r="AA12" s="91"/>
      <c r="AB12" s="91"/>
    </row>
    <row r="13" spans="1:28" x14ac:dyDescent="0.2">
      <c r="A13" s="5">
        <v>1</v>
      </c>
      <c r="B13" s="1" t="s">
        <v>85</v>
      </c>
      <c r="C13" s="29">
        <f>+'KTW-4 p3 - Revenue &amp; Gas Cost'!K15+'KTW-4 p3 - Revenue &amp; Gas Cost'!K17</f>
        <v>4211997.8238110505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92">
        <f>SUM(C13:N13)</f>
        <v>4211997.8238110505</v>
      </c>
      <c r="P13" s="29"/>
      <c r="Q13" s="29"/>
      <c r="R13" s="29"/>
      <c r="S13" s="29"/>
      <c r="T13" s="29"/>
      <c r="U13" s="29"/>
      <c r="V13" s="418"/>
      <c r="W13" s="29"/>
      <c r="X13" s="29"/>
      <c r="Y13" s="92">
        <f>SUM(P13:X13)</f>
        <v>0</v>
      </c>
      <c r="Z13" s="92">
        <f>+Y13+O13</f>
        <v>4211997.8238110505</v>
      </c>
      <c r="AA13" s="92">
        <v>0</v>
      </c>
      <c r="AB13" s="92">
        <f>AA13</f>
        <v>0</v>
      </c>
    </row>
    <row r="14" spans="1:28" x14ac:dyDescent="0.2">
      <c r="A14" s="5">
        <v>2</v>
      </c>
      <c r="B14" s="3" t="s">
        <v>89</v>
      </c>
      <c r="C14" s="29">
        <f>+'KTW-4 p3 - Revenue &amp; Gas Cost'!K25</f>
        <v>149867.33880180493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92">
        <f>SUM(C14:N14)</f>
        <v>149867.33880180493</v>
      </c>
      <c r="P14" s="29"/>
      <c r="Q14" s="29"/>
      <c r="R14" s="29"/>
      <c r="S14" s="29"/>
      <c r="T14" s="29"/>
      <c r="U14" s="29"/>
      <c r="V14" s="418"/>
      <c r="W14" s="29"/>
      <c r="X14" s="29"/>
      <c r="Y14" s="92">
        <f>SUM(P14:X14)</f>
        <v>0</v>
      </c>
      <c r="Z14" s="92">
        <f>+Y14+O14</f>
        <v>149867.33880180493</v>
      </c>
      <c r="AA14" s="92">
        <v>0</v>
      </c>
      <c r="AB14" s="92">
        <f>AA14</f>
        <v>0</v>
      </c>
    </row>
    <row r="15" spans="1:28" x14ac:dyDescent="0.2">
      <c r="A15" s="5">
        <v>3</v>
      </c>
      <c r="B15" s="3" t="s">
        <v>87</v>
      </c>
      <c r="C15" s="49"/>
      <c r="D15" s="49">
        <f>+'KTW-4 p4 - Misc Rev Adjs'!E37</f>
        <v>2363456.8723413325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93">
        <f>SUM(C15:N15)</f>
        <v>2363456.8723413325</v>
      </c>
      <c r="P15" s="49"/>
      <c r="Q15" s="49"/>
      <c r="R15" s="49"/>
      <c r="S15" s="49"/>
      <c r="T15" s="49"/>
      <c r="U15" s="49"/>
      <c r="V15" s="419"/>
      <c r="W15" s="49"/>
      <c r="X15" s="49"/>
      <c r="Y15" s="93">
        <f>SUM(P15:X15)</f>
        <v>0</v>
      </c>
      <c r="Z15" s="93">
        <f>+Y15+O15</f>
        <v>2363456.8723413325</v>
      </c>
      <c r="AA15" s="93">
        <v>0</v>
      </c>
      <c r="AB15" s="93">
        <f>AA15</f>
        <v>0</v>
      </c>
    </row>
    <row r="16" spans="1:28" x14ac:dyDescent="0.2">
      <c r="A16" s="5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92"/>
      <c r="P16" s="29"/>
      <c r="Q16" s="29"/>
      <c r="R16" s="29"/>
      <c r="S16" s="29"/>
      <c r="T16" s="29"/>
      <c r="U16" s="29"/>
      <c r="V16" s="418"/>
      <c r="W16" s="29"/>
      <c r="X16" s="29"/>
      <c r="Y16" s="92"/>
      <c r="Z16" s="92"/>
      <c r="AA16" s="92"/>
      <c r="AB16" s="92">
        <f>AA16</f>
        <v>0</v>
      </c>
    </row>
    <row r="17" spans="1:28" x14ac:dyDescent="0.2">
      <c r="A17" s="5">
        <v>4</v>
      </c>
      <c r="B17" s="1" t="s">
        <v>96</v>
      </c>
      <c r="C17" s="29">
        <f t="shared" ref="C17:AB17" si="0">SUM(C13:C15)</f>
        <v>4361865.1626128554</v>
      </c>
      <c r="D17" s="29">
        <f t="shared" si="0"/>
        <v>2363456.8723413325</v>
      </c>
      <c r="E17" s="29">
        <f t="shared" si="0"/>
        <v>0</v>
      </c>
      <c r="F17" s="29">
        <f t="shared" si="0"/>
        <v>0</v>
      </c>
      <c r="G17" s="29">
        <f t="shared" si="0"/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ref="M17" si="1">SUM(M13:M15)</f>
        <v>0</v>
      </c>
      <c r="N17" s="29">
        <f t="shared" ref="N17" si="2">SUM(N13:N15)</f>
        <v>0</v>
      </c>
      <c r="O17" s="92">
        <f>SUM(O13:O15)</f>
        <v>6725322.0349541884</v>
      </c>
      <c r="P17" s="29">
        <f t="shared" si="0"/>
        <v>0</v>
      </c>
      <c r="Q17" s="29">
        <f t="shared" si="0"/>
        <v>0</v>
      </c>
      <c r="R17" s="29">
        <f t="shared" si="0"/>
        <v>0</v>
      </c>
      <c r="S17" s="29">
        <f t="shared" si="0"/>
        <v>0</v>
      </c>
      <c r="T17" s="29">
        <f>SUM(T13:T15)</f>
        <v>0</v>
      </c>
      <c r="U17" s="29">
        <f>SUM(U13:U15)</f>
        <v>0</v>
      </c>
      <c r="V17" s="29">
        <f>SUM(V13:V15)</f>
        <v>0</v>
      </c>
      <c r="W17" s="29">
        <f t="shared" ref="W17:X17" si="3">SUM(W13:W15)</f>
        <v>0</v>
      </c>
      <c r="X17" s="29">
        <f t="shared" si="3"/>
        <v>0</v>
      </c>
      <c r="Y17" s="92">
        <f t="shared" si="0"/>
        <v>0</v>
      </c>
      <c r="Z17" s="92">
        <f t="shared" si="0"/>
        <v>6725322.0349541884</v>
      </c>
      <c r="AA17" s="92">
        <f t="shared" si="0"/>
        <v>0</v>
      </c>
      <c r="AB17" s="92">
        <f t="shared" si="0"/>
        <v>0</v>
      </c>
    </row>
    <row r="18" spans="1:28" x14ac:dyDescent="0.2">
      <c r="A18" s="5"/>
      <c r="B18" s="1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92"/>
      <c r="P18" s="29"/>
      <c r="Q18" s="29"/>
      <c r="R18" s="29"/>
      <c r="S18" s="29"/>
      <c r="T18" s="29"/>
      <c r="U18" s="29"/>
      <c r="V18" s="29"/>
      <c r="W18" s="29"/>
      <c r="X18" s="29"/>
      <c r="Y18" s="92"/>
      <c r="Z18" s="92"/>
      <c r="AA18" s="92"/>
      <c r="AB18" s="92">
        <f t="shared" ref="AB18:AB31" si="4">AA18</f>
        <v>0</v>
      </c>
    </row>
    <row r="19" spans="1:28" x14ac:dyDescent="0.2">
      <c r="A19" s="5"/>
      <c r="B19" s="1" t="s">
        <v>103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92"/>
      <c r="P19" s="29"/>
      <c r="Q19" s="29"/>
      <c r="R19" s="29"/>
      <c r="S19" s="29"/>
      <c r="T19" s="29"/>
      <c r="U19" s="29"/>
      <c r="V19" s="29"/>
      <c r="W19" s="29"/>
      <c r="X19" s="29"/>
      <c r="Y19" s="92"/>
      <c r="Z19" s="92"/>
      <c r="AA19" s="92"/>
      <c r="AB19" s="92">
        <f t="shared" si="4"/>
        <v>0</v>
      </c>
    </row>
    <row r="20" spans="1:28" x14ac:dyDescent="0.2">
      <c r="A20" s="5">
        <v>5</v>
      </c>
      <c r="B20" s="1" t="s">
        <v>105</v>
      </c>
      <c r="C20" s="29">
        <f>+'KTW-4 p3 - Revenue &amp; Gas Cost'!K35</f>
        <v>4403405.372562971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92">
        <f>SUM(C20:N20)</f>
        <v>4403405.372562971</v>
      </c>
      <c r="P20" s="29"/>
      <c r="Q20" s="29"/>
      <c r="R20" s="29"/>
      <c r="S20" s="29"/>
      <c r="T20" s="29"/>
      <c r="U20" s="29"/>
      <c r="V20" s="29"/>
      <c r="W20" s="29"/>
      <c r="X20" s="29"/>
      <c r="Y20" s="92">
        <f>SUM(P20:X20)</f>
        <v>0</v>
      </c>
      <c r="Z20" s="92">
        <f>+Y20+O20</f>
        <v>4403405.372562971</v>
      </c>
      <c r="AA20" s="92">
        <v>0</v>
      </c>
      <c r="AB20" s="92">
        <f t="shared" si="4"/>
        <v>0</v>
      </c>
    </row>
    <row r="21" spans="1:28" x14ac:dyDescent="0.2">
      <c r="A21" s="5">
        <v>6</v>
      </c>
      <c r="B21" s="1" t="s">
        <v>113</v>
      </c>
      <c r="C21" s="29">
        <f>(+C13+C14)*'KTW-3 p8 - Cost of Cap'!$C$44</f>
        <v>4574.3068854566072</v>
      </c>
      <c r="D21" s="29"/>
      <c r="E21" s="29"/>
      <c r="F21" s="29"/>
      <c r="G21" s="29">
        <f>+'KTW-4 p7 - Uncollectible'!C44</f>
        <v>-26272.787344681186</v>
      </c>
      <c r="H21" s="29"/>
      <c r="I21" s="29"/>
      <c r="J21" s="29"/>
      <c r="K21" s="29"/>
      <c r="L21" s="29"/>
      <c r="M21" s="29"/>
      <c r="N21" s="29"/>
      <c r="O21" s="92">
        <f>SUM(C21:N21)</f>
        <v>-21698.480459224578</v>
      </c>
      <c r="P21" s="29"/>
      <c r="Q21" s="29"/>
      <c r="R21" s="29"/>
      <c r="S21" s="29"/>
      <c r="T21" s="29"/>
      <c r="U21" s="29"/>
      <c r="V21" s="29"/>
      <c r="W21" s="29"/>
      <c r="X21" s="29"/>
      <c r="Y21" s="92">
        <f>SUM(P21:X21)</f>
        <v>0</v>
      </c>
      <c r="Z21" s="92">
        <f>+Y21+O21</f>
        <v>-21698.480459224578</v>
      </c>
      <c r="AA21" s="92">
        <v>0</v>
      </c>
      <c r="AB21" s="92">
        <f t="shared" si="4"/>
        <v>0</v>
      </c>
    </row>
    <row r="22" spans="1:28" x14ac:dyDescent="0.2">
      <c r="A22" s="5">
        <v>7</v>
      </c>
      <c r="B22" s="1" t="s">
        <v>116</v>
      </c>
      <c r="C22" s="49"/>
      <c r="D22" s="49"/>
      <c r="E22" s="49">
        <f>'KTW-4 p5 - Bonuses'!H26</f>
        <v>42096.985356000201</v>
      </c>
      <c r="F22" s="49"/>
      <c r="G22" s="49"/>
      <c r="H22" s="49"/>
      <c r="I22" s="49">
        <f>'KTW-4 p9 - Marketing'!E27</f>
        <v>-284212.74689059961</v>
      </c>
      <c r="J22" s="49">
        <f>'KTW-4 p10 - Claims'!D23</f>
        <v>4066.315266666667</v>
      </c>
      <c r="K22" s="49">
        <f>+'KTW-4 p11 - Rate Case Exp'!C13</f>
        <v>110000</v>
      </c>
      <c r="L22" s="49">
        <f>+'KTW-4 p12 - Clearing'!D10</f>
        <v>-30850.694657576569</v>
      </c>
      <c r="M22" s="49">
        <f>+'KTW-4 p13 - Holdco'!C23</f>
        <v>14027.744708571439</v>
      </c>
      <c r="N22" s="49">
        <f>'KTW-4 Save for Future'!C10</f>
        <v>0</v>
      </c>
      <c r="O22" s="93">
        <f>SUM(C22:N22)</f>
        <v>-144872.39621693786</v>
      </c>
      <c r="P22" s="49">
        <f>+'KTW-5 p3 - Payroll 1'!C31</f>
        <v>404649.229845419</v>
      </c>
      <c r="Q22" s="49">
        <f>+'KTW-5 p5 - Pay Overheads'!E26</f>
        <v>129529.70909028764</v>
      </c>
      <c r="R22" s="49">
        <f>'KTW-5 p6 - 250 Taylor'!C10</f>
        <v>307157</v>
      </c>
      <c r="S22" s="49"/>
      <c r="T22" s="49"/>
      <c r="U22" s="49"/>
      <c r="V22" s="49"/>
      <c r="W22" s="49"/>
      <c r="X22" s="49"/>
      <c r="Y22" s="93">
        <f>SUM(P22:X22)</f>
        <v>841335.93893570662</v>
      </c>
      <c r="Z22" s="93">
        <f>+Y22+O22</f>
        <v>696463.54271876882</v>
      </c>
      <c r="AA22" s="93">
        <f>'KTW-5 p7,KTW-8 p3 - Post TY Adj'!E12</f>
        <v>459931.69999999984</v>
      </c>
      <c r="AB22" s="93">
        <f t="shared" si="4"/>
        <v>459931.69999999984</v>
      </c>
    </row>
    <row r="23" spans="1:28" x14ac:dyDescent="0.2">
      <c r="A23" s="5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92"/>
      <c r="P23" s="29"/>
      <c r="Q23" s="29"/>
      <c r="R23" s="29"/>
      <c r="S23" s="29"/>
      <c r="T23" s="29"/>
      <c r="U23" s="29"/>
      <c r="V23" s="29"/>
      <c r="W23" s="29"/>
      <c r="X23" s="29"/>
      <c r="Y23" s="92"/>
      <c r="Z23" s="92"/>
      <c r="AA23" s="92"/>
      <c r="AB23" s="92">
        <f t="shared" si="4"/>
        <v>0</v>
      </c>
    </row>
    <row r="24" spans="1:28" x14ac:dyDescent="0.2">
      <c r="A24" s="5">
        <v>8</v>
      </c>
      <c r="B24" s="3" t="s">
        <v>119</v>
      </c>
      <c r="C24" s="29">
        <f t="shared" ref="C24:AA24" si="5">C20+C21+C22</f>
        <v>4407979.6794484276</v>
      </c>
      <c r="D24" s="29">
        <f t="shared" si="5"/>
        <v>0</v>
      </c>
      <c r="E24" s="29">
        <f t="shared" si="5"/>
        <v>42096.985356000201</v>
      </c>
      <c r="F24" s="29">
        <f t="shared" si="5"/>
        <v>0</v>
      </c>
      <c r="G24" s="29">
        <f t="shared" si="5"/>
        <v>-26272.787344681186</v>
      </c>
      <c r="H24" s="29">
        <f t="shared" si="5"/>
        <v>0</v>
      </c>
      <c r="I24" s="29">
        <f t="shared" si="5"/>
        <v>-284212.74689059961</v>
      </c>
      <c r="J24" s="29">
        <f t="shared" si="5"/>
        <v>4066.315266666667</v>
      </c>
      <c r="K24" s="29">
        <f t="shared" si="5"/>
        <v>110000</v>
      </c>
      <c r="L24" s="29">
        <f t="shared" si="5"/>
        <v>-30850.694657576569</v>
      </c>
      <c r="M24" s="29">
        <f t="shared" ref="M24" si="6">M20+M21+M22</f>
        <v>14027.744708571439</v>
      </c>
      <c r="N24" s="29">
        <f t="shared" ref="N24" si="7">N20+N21+N22</f>
        <v>0</v>
      </c>
      <c r="O24" s="92">
        <f t="shared" si="5"/>
        <v>4236834.4958868083</v>
      </c>
      <c r="P24" s="29">
        <f t="shared" si="5"/>
        <v>404649.229845419</v>
      </c>
      <c r="Q24" s="29">
        <f t="shared" si="5"/>
        <v>129529.70909028764</v>
      </c>
      <c r="R24" s="29">
        <f t="shared" si="5"/>
        <v>307157</v>
      </c>
      <c r="S24" s="29">
        <f t="shared" si="5"/>
        <v>0</v>
      </c>
      <c r="T24" s="29">
        <f t="shared" ref="T24:U24" si="8">T20+T21+T22</f>
        <v>0</v>
      </c>
      <c r="U24" s="29">
        <f t="shared" si="8"/>
        <v>0</v>
      </c>
      <c r="V24" s="29">
        <f t="shared" ref="V24" si="9">V20+V21+V22</f>
        <v>0</v>
      </c>
      <c r="W24" s="29">
        <f t="shared" ref="W24:X24" si="10">W20+W21+W22</f>
        <v>0</v>
      </c>
      <c r="X24" s="29">
        <f t="shared" si="10"/>
        <v>0</v>
      </c>
      <c r="Y24" s="92">
        <f t="shared" si="5"/>
        <v>841335.93893570662</v>
      </c>
      <c r="Z24" s="92">
        <f t="shared" si="5"/>
        <v>5078170.4348225156</v>
      </c>
      <c r="AA24" s="92">
        <f t="shared" si="5"/>
        <v>459931.69999999984</v>
      </c>
      <c r="AB24" s="92">
        <f t="shared" si="4"/>
        <v>459931.69999999984</v>
      </c>
    </row>
    <row r="25" spans="1:28" x14ac:dyDescent="0.2">
      <c r="A25" s="5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92"/>
      <c r="P25" s="29"/>
      <c r="Q25" s="29"/>
      <c r="R25" s="29"/>
      <c r="S25" s="29"/>
      <c r="T25" s="29"/>
      <c r="U25" s="29"/>
      <c r="V25" s="29"/>
      <c r="W25" s="29"/>
      <c r="X25" s="29"/>
      <c r="Y25" s="92"/>
      <c r="Z25" s="92"/>
      <c r="AA25" s="92"/>
      <c r="AB25" s="92">
        <f t="shared" si="4"/>
        <v>0</v>
      </c>
    </row>
    <row r="26" spans="1:28" x14ac:dyDescent="0.2">
      <c r="A26" s="5"/>
      <c r="C26" s="483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92"/>
      <c r="P26" s="29"/>
      <c r="Q26" s="29"/>
      <c r="R26" s="29"/>
      <c r="S26" s="29"/>
      <c r="T26" s="29"/>
      <c r="U26" s="29"/>
      <c r="V26" s="29"/>
      <c r="W26" s="29"/>
      <c r="X26" s="29"/>
      <c r="Y26" s="92"/>
      <c r="Z26" s="92"/>
      <c r="AA26" s="92"/>
      <c r="AB26" s="92">
        <f t="shared" si="4"/>
        <v>0</v>
      </c>
    </row>
    <row r="27" spans="1:28" x14ac:dyDescent="0.2">
      <c r="A27" s="5">
        <v>9</v>
      </c>
      <c r="B27" s="1" t="s">
        <v>124</v>
      </c>
      <c r="C27" s="29">
        <f>'KTW-4,5,8 p2 - Adjust Tax'!C$28</f>
        <v>-46800</v>
      </c>
      <c r="D27" s="29">
        <f>'KTW-4,5,8 p2 - Adjust Tax'!D28</f>
        <v>476215</v>
      </c>
      <c r="E27" s="29">
        <f>'KTW-4,5,8 p2 - Adjust Tax'!E28</f>
        <v>-8565</v>
      </c>
      <c r="F27" s="29">
        <f>'KTW-4,5,8 p2 - Adjust Tax'!F28</f>
        <v>10596</v>
      </c>
      <c r="G27" s="29">
        <f>'KTW-4,5,8 p2 - Adjust Tax'!G28</f>
        <v>5517</v>
      </c>
      <c r="H27" s="29">
        <f>'KTW-4,5,8 p2 - Adjust Tax'!H28</f>
        <v>-17085</v>
      </c>
      <c r="I27" s="29">
        <f>'KTW-4,5,8 p2 - Adjust Tax'!I28</f>
        <v>59685</v>
      </c>
      <c r="J27" s="29">
        <f>'KTW-4,5,8 p2 - Adjust Tax'!J28</f>
        <v>-846</v>
      </c>
      <c r="K27" s="29">
        <f>'KTW-4,5,8 p2 - Adjust Tax'!K28</f>
        <v>-23100</v>
      </c>
      <c r="L27" s="29">
        <f>'KTW-4,5,8 p2 - Adjust Tax'!L28</f>
        <v>6863</v>
      </c>
      <c r="M27" s="29">
        <f>'KTW-4,5,8 p2 - Adjust Tax'!M28</f>
        <v>-2946</v>
      </c>
      <c r="N27" s="29">
        <f>'KTW-4,5,8 p2 - Adjust Tax'!N28</f>
        <v>0</v>
      </c>
      <c r="O27" s="92">
        <f>SUM(C27:N27)</f>
        <v>459534</v>
      </c>
      <c r="P27" s="29">
        <f>'KTW-4,5,8 p2 - Adjust Tax'!P28</f>
        <v>-84976</v>
      </c>
      <c r="Q27" s="29">
        <f>'KTW-4,5,8 p2 - Adjust Tax'!Q28</f>
        <v>-33702</v>
      </c>
      <c r="R27" s="29">
        <f>'KTW-4,5,8 p2 - Adjust Tax'!R28</f>
        <v>-64503</v>
      </c>
      <c r="S27" s="29">
        <f>'KTW-4,5,8 p2 - Adjust Tax'!S28</f>
        <v>-295577</v>
      </c>
      <c r="T27" s="29">
        <f>'KTW-4,5,8 p2 - Adjust Tax'!T28</f>
        <v>-2725</v>
      </c>
      <c r="U27" s="29">
        <f>'KTW-4,5,8 p2 - Adjust Tax'!U28</f>
        <v>-132223</v>
      </c>
      <c r="V27" s="29">
        <f>'KTW-4,5,8 p2 - Adjust Tax'!V28</f>
        <v>-26709</v>
      </c>
      <c r="W27" s="29">
        <f>'KTW-4,5,8 p2 - Adjust Tax'!W28</f>
        <v>0</v>
      </c>
      <c r="X27" s="29">
        <f>'KTW-4,5,8 p2 - Adjust Tax'!X28</f>
        <v>25000</v>
      </c>
      <c r="Y27" s="92">
        <f>SUM(P27:X27)</f>
        <v>-615415</v>
      </c>
      <c r="Z27" s="92">
        <f>+Y27+O27</f>
        <v>-155881</v>
      </c>
      <c r="AA27" s="92">
        <f>'KTW-4,5,8 p2 - Adjust Tax'!AA28</f>
        <v>-371753</v>
      </c>
      <c r="AB27" s="92">
        <f t="shared" si="4"/>
        <v>-371753</v>
      </c>
    </row>
    <row r="28" spans="1:28" x14ac:dyDescent="0.2">
      <c r="A28" s="5">
        <v>10</v>
      </c>
      <c r="B28" s="1" t="s">
        <v>125</v>
      </c>
      <c r="C28" s="29"/>
      <c r="D28" s="29"/>
      <c r="E28" s="29"/>
      <c r="F28" s="29">
        <f>+'KTW-4 p6 - Property Taxes'!C17</f>
        <v>-50455.099999999067</v>
      </c>
      <c r="G28" s="29"/>
      <c r="H28" s="29"/>
      <c r="I28" s="29"/>
      <c r="J28" s="29"/>
      <c r="K28" s="29"/>
      <c r="L28" s="29"/>
      <c r="M28" s="29"/>
      <c r="N28" s="29"/>
      <c r="O28" s="92">
        <f>SUM(C28:N28)</f>
        <v>-50455.099999999067</v>
      </c>
      <c r="P28" s="29"/>
      <c r="Q28" s="29"/>
      <c r="R28" s="29"/>
      <c r="S28" s="29"/>
      <c r="T28" s="29"/>
      <c r="U28" s="29"/>
      <c r="V28" s="418"/>
      <c r="W28" s="29"/>
      <c r="X28" s="29"/>
      <c r="Y28" s="92">
        <f>SUM(P28:X28)</f>
        <v>0</v>
      </c>
      <c r="Z28" s="92">
        <f>+Y28+O28</f>
        <v>-50455.099999999067</v>
      </c>
      <c r="AA28" s="92">
        <v>0</v>
      </c>
      <c r="AB28" s="92">
        <f t="shared" si="4"/>
        <v>0</v>
      </c>
    </row>
    <row r="29" spans="1:28" x14ac:dyDescent="0.2">
      <c r="A29" s="5">
        <v>11</v>
      </c>
      <c r="B29" s="1" t="s">
        <v>129</v>
      </c>
      <c r="C29" s="29">
        <f>(+C17*(+'KTW-3 p8 - Cost of Cap'!$C26+'KTW-3 p8 - Cost of Cap'!$C27))</f>
        <v>176742.77638907291</v>
      </c>
      <c r="D29" s="29">
        <f>(+D17*(+'KTW-3 p8 - Cost of Cap'!$C26+'KTW-3 p8 - Cost of Cap'!$C27))</f>
        <v>95767.272467270799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92">
        <f>SUM(C29:N29)</f>
        <v>272510.04885634372</v>
      </c>
      <c r="P29" s="29"/>
      <c r="Q29" s="29">
        <f>+'KTW-5 p5 - Pay Overheads'!E40</f>
        <v>30955.666083174558</v>
      </c>
      <c r="R29" s="29"/>
      <c r="S29" s="29"/>
      <c r="T29" s="29"/>
      <c r="U29" s="29"/>
      <c r="V29" s="418"/>
      <c r="W29" s="29"/>
      <c r="X29" s="29"/>
      <c r="Y29" s="92">
        <f>SUM(P29:X29)</f>
        <v>30955.666083174558</v>
      </c>
      <c r="Z29" s="92">
        <f>+Y29+O29</f>
        <v>303465.71493951831</v>
      </c>
      <c r="AA29" s="92">
        <v>0</v>
      </c>
      <c r="AB29" s="92">
        <f t="shared" si="4"/>
        <v>0</v>
      </c>
    </row>
    <row r="30" spans="1:28" x14ac:dyDescent="0.2">
      <c r="A30" s="5">
        <v>12</v>
      </c>
      <c r="B30" s="1" t="s">
        <v>130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93">
        <f>SUM(C30:N30)</f>
        <v>0</v>
      </c>
      <c r="P30" s="49"/>
      <c r="Q30" s="49"/>
      <c r="R30" s="49"/>
      <c r="S30" s="49">
        <f>+'KTW-5 p7,KTW-8 p3 - Post TY Adj'!C14</f>
        <v>906066.07278298936</v>
      </c>
      <c r="T30" s="49">
        <v>0</v>
      </c>
      <c r="U30" s="49">
        <f>'KTW-5 p9 - EOP Deprec Exp'!C15</f>
        <v>629634.86844113655</v>
      </c>
      <c r="V30" s="419"/>
      <c r="W30" s="49"/>
      <c r="X30" s="49"/>
      <c r="Y30" s="93">
        <f>SUM(P30:X30)</f>
        <v>1535700.9412241259</v>
      </c>
      <c r="Z30" s="93">
        <f>+Y30+O30</f>
        <v>1535700.9412241259</v>
      </c>
      <c r="AA30" s="93">
        <f>'KTW-5 p7,KTW-8 p3 - Post TY Adj'!E14</f>
        <v>816145.51874545321</v>
      </c>
      <c r="AB30" s="93">
        <f t="shared" si="4"/>
        <v>816145.51874545321</v>
      </c>
    </row>
    <row r="31" spans="1:28" x14ac:dyDescent="0.2">
      <c r="A31" s="5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92"/>
      <c r="P31" s="29"/>
      <c r="Q31" s="29"/>
      <c r="R31" s="29"/>
      <c r="S31" s="29"/>
      <c r="T31" s="29"/>
      <c r="U31" s="29"/>
      <c r="V31" s="418"/>
      <c r="W31" s="29"/>
      <c r="X31" s="29"/>
      <c r="Y31" s="92"/>
      <c r="Z31" s="92"/>
      <c r="AA31" s="92"/>
      <c r="AB31" s="92">
        <f t="shared" si="4"/>
        <v>0</v>
      </c>
    </row>
    <row r="32" spans="1:28" x14ac:dyDescent="0.2">
      <c r="A32" s="5">
        <v>13</v>
      </c>
      <c r="B32" s="1" t="s">
        <v>133</v>
      </c>
      <c r="C32" s="49">
        <f t="shared" ref="C32:Z32" si="11">SUM(C24:C30)</f>
        <v>4537922.4558375003</v>
      </c>
      <c r="D32" s="49">
        <f t="shared" si="11"/>
        <v>571982.27246727084</v>
      </c>
      <c r="E32" s="49">
        <f t="shared" si="11"/>
        <v>33531.985356000201</v>
      </c>
      <c r="F32" s="49">
        <f t="shared" si="11"/>
        <v>-39859.099999999067</v>
      </c>
      <c r="G32" s="49">
        <f t="shared" si="11"/>
        <v>-20755.787344681186</v>
      </c>
      <c r="H32" s="49">
        <f t="shared" si="11"/>
        <v>-17085</v>
      </c>
      <c r="I32" s="49">
        <f t="shared" si="11"/>
        <v>-224527.74689059961</v>
      </c>
      <c r="J32" s="49">
        <f t="shared" si="11"/>
        <v>3220.315266666667</v>
      </c>
      <c r="K32" s="49">
        <f t="shared" si="11"/>
        <v>86900</v>
      </c>
      <c r="L32" s="49">
        <f t="shared" si="11"/>
        <v>-23987.694657576569</v>
      </c>
      <c r="M32" s="49">
        <f t="shared" ref="M32" si="12">SUM(M24:M30)</f>
        <v>11081.744708571439</v>
      </c>
      <c r="N32" s="49">
        <f t="shared" ref="N32" si="13">SUM(N24:N30)</f>
        <v>0</v>
      </c>
      <c r="O32" s="93">
        <f t="shared" si="11"/>
        <v>4918423.4447431536</v>
      </c>
      <c r="P32" s="49">
        <f t="shared" si="11"/>
        <v>319673.229845419</v>
      </c>
      <c r="Q32" s="49">
        <f t="shared" si="11"/>
        <v>126783.37517346219</v>
      </c>
      <c r="R32" s="49">
        <f t="shared" si="11"/>
        <v>242654</v>
      </c>
      <c r="S32" s="49">
        <f t="shared" si="11"/>
        <v>610489.07278298936</v>
      </c>
      <c r="T32" s="49">
        <f t="shared" ref="T32:U32" si="14">SUM(T24:T30)</f>
        <v>-2725</v>
      </c>
      <c r="U32" s="49">
        <f t="shared" si="14"/>
        <v>497411.86844113655</v>
      </c>
      <c r="V32" s="49">
        <f t="shared" ref="V32" si="15">SUM(V24:V30)</f>
        <v>-26709</v>
      </c>
      <c r="W32" s="49">
        <f t="shared" ref="W32:X32" si="16">SUM(W24:W30)</f>
        <v>0</v>
      </c>
      <c r="X32" s="49">
        <f t="shared" si="16"/>
        <v>25000</v>
      </c>
      <c r="Y32" s="93">
        <f t="shared" si="11"/>
        <v>1792577.5462430071</v>
      </c>
      <c r="Z32" s="93">
        <f t="shared" si="11"/>
        <v>6711000.9909861609</v>
      </c>
      <c r="AA32" s="93">
        <f t="shared" ref="AA32:AB32" si="17">SUM(AA24:AA30)</f>
        <v>904324.21874545305</v>
      </c>
      <c r="AB32" s="93">
        <f t="shared" si="17"/>
        <v>904324.21874545305</v>
      </c>
    </row>
    <row r="33" spans="1:28" x14ac:dyDescent="0.2">
      <c r="A33" s="5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92"/>
      <c r="P33" s="29"/>
      <c r="Q33" s="29"/>
      <c r="R33" s="29"/>
      <c r="S33" s="29"/>
      <c r="T33" s="29"/>
      <c r="U33" s="29"/>
      <c r="V33" s="29"/>
      <c r="W33" s="29"/>
      <c r="X33" s="29"/>
      <c r="Y33" s="92"/>
      <c r="Z33" s="92"/>
      <c r="AA33" s="92"/>
      <c r="AB33" s="92"/>
    </row>
    <row r="34" spans="1:28" ht="15.75" thickBot="1" x14ac:dyDescent="0.25">
      <c r="A34" s="5">
        <v>14</v>
      </c>
      <c r="B34" s="1" t="s">
        <v>139</v>
      </c>
      <c r="C34" s="94">
        <f t="shared" ref="C34:Z34" si="18">C17-C32</f>
        <v>-176057.29322464485</v>
      </c>
      <c r="D34" s="94">
        <f t="shared" si="18"/>
        <v>1791474.5998740615</v>
      </c>
      <c r="E34" s="94">
        <f t="shared" si="18"/>
        <v>-33531.985356000201</v>
      </c>
      <c r="F34" s="94">
        <f t="shared" si="18"/>
        <v>39859.099999999067</v>
      </c>
      <c r="G34" s="94">
        <f t="shared" si="18"/>
        <v>20755.787344681186</v>
      </c>
      <c r="H34" s="94">
        <f t="shared" si="18"/>
        <v>17085</v>
      </c>
      <c r="I34" s="94">
        <f t="shared" si="18"/>
        <v>224527.74689059961</v>
      </c>
      <c r="J34" s="94">
        <f t="shared" si="18"/>
        <v>-3220.315266666667</v>
      </c>
      <c r="K34" s="94">
        <f t="shared" si="18"/>
        <v>-86900</v>
      </c>
      <c r="L34" s="94">
        <f t="shared" si="18"/>
        <v>23987.694657576569</v>
      </c>
      <c r="M34" s="94">
        <f t="shared" ref="M34" si="19">M17-M32</f>
        <v>-11081.744708571439</v>
      </c>
      <c r="N34" s="94">
        <f t="shared" ref="N34" si="20">N17-N32</f>
        <v>0</v>
      </c>
      <c r="O34" s="95">
        <f t="shared" si="18"/>
        <v>1806898.5902110348</v>
      </c>
      <c r="P34" s="94">
        <f t="shared" si="18"/>
        <v>-319673.229845419</v>
      </c>
      <c r="Q34" s="94">
        <f t="shared" si="18"/>
        <v>-126783.37517346219</v>
      </c>
      <c r="R34" s="94">
        <f t="shared" si="18"/>
        <v>-242654</v>
      </c>
      <c r="S34" s="94">
        <f t="shared" si="18"/>
        <v>-610489.07278298936</v>
      </c>
      <c r="T34" s="94">
        <f t="shared" ref="T34" si="21">T17-T32</f>
        <v>2725</v>
      </c>
      <c r="U34" s="94">
        <f>U17-U32</f>
        <v>-497411.86844113655</v>
      </c>
      <c r="V34" s="94">
        <f t="shared" ref="V34" si="22">V17-V32</f>
        <v>26709</v>
      </c>
      <c r="W34" s="94">
        <f t="shared" ref="W34:X34" si="23">W17-W32</f>
        <v>0</v>
      </c>
      <c r="X34" s="94">
        <f t="shared" si="23"/>
        <v>-25000</v>
      </c>
      <c r="Y34" s="95">
        <f t="shared" si="18"/>
        <v>-1792577.5462430071</v>
      </c>
      <c r="Z34" s="95">
        <f t="shared" si="18"/>
        <v>14321.043968027458</v>
      </c>
      <c r="AA34" s="95">
        <f t="shared" ref="AA34:AB34" si="24">AA17-AA32</f>
        <v>-904324.21874545305</v>
      </c>
      <c r="AB34" s="95">
        <f t="shared" si="24"/>
        <v>-904324.21874545305</v>
      </c>
    </row>
    <row r="35" spans="1:28" ht="15.75" thickTop="1" x14ac:dyDescent="0.2">
      <c r="A35" s="5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92"/>
      <c r="P35" s="29"/>
      <c r="Q35" s="29"/>
      <c r="R35" s="29"/>
      <c r="S35" s="29"/>
      <c r="T35" s="29"/>
      <c r="U35" s="29"/>
      <c r="V35" s="29"/>
      <c r="W35" s="29"/>
      <c r="X35" s="29"/>
      <c r="Y35" s="92"/>
      <c r="Z35" s="92"/>
      <c r="AA35" s="92"/>
      <c r="AB35" s="92">
        <f>AA35</f>
        <v>0</v>
      </c>
    </row>
    <row r="36" spans="1:28" x14ac:dyDescent="0.2">
      <c r="A36" s="5"/>
      <c r="B36" s="1" t="s">
        <v>134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92"/>
      <c r="P36" s="29"/>
      <c r="Q36" s="29"/>
      <c r="R36" s="29"/>
      <c r="S36" s="29"/>
      <c r="T36" s="29"/>
      <c r="U36" s="29"/>
      <c r="V36" s="29"/>
      <c r="W36" s="29"/>
      <c r="X36" s="29"/>
      <c r="Y36" s="92"/>
      <c r="Z36" s="92"/>
      <c r="AA36" s="92"/>
      <c r="AB36" s="92">
        <f>AA36</f>
        <v>0</v>
      </c>
    </row>
    <row r="37" spans="1:28" x14ac:dyDescent="0.2">
      <c r="A37" s="5">
        <v>15</v>
      </c>
      <c r="B37" s="1" t="s">
        <v>143</v>
      </c>
      <c r="C37" s="29"/>
      <c r="D37" s="29"/>
      <c r="E37" s="29">
        <f>'KTW-4 p5 - Bonuses'!H30</f>
        <v>-56749.607678736924</v>
      </c>
      <c r="F37" s="29"/>
      <c r="G37" s="29"/>
      <c r="H37" s="29">
        <f>'KTW-4 p8 - Working Cap'!D14</f>
        <v>3526472.2067100708</v>
      </c>
      <c r="I37" s="29"/>
      <c r="J37" s="29">
        <f>'KTW-4 p10 - Claims'!E23</f>
        <v>-1556.0999999999985</v>
      </c>
      <c r="K37" s="29"/>
      <c r="L37" s="29">
        <f>+'KTW-4 p12 - Clearing'!D12</f>
        <v>-79301.031419637919</v>
      </c>
      <c r="M37" s="29">
        <f>+'KTW-4 p12 - Clearing'!E12</f>
        <v>0</v>
      </c>
      <c r="N37" s="29"/>
      <c r="O37" s="92">
        <f>SUM(C37:N37)</f>
        <v>3388865.4676116956</v>
      </c>
      <c r="P37" s="29"/>
      <c r="Q37" s="29"/>
      <c r="R37" s="29"/>
      <c r="S37" s="29">
        <f>+'KTW-5 p7,KTW-8 p3 - Post TY Adj'!C10</f>
        <v>21735765.834850535</v>
      </c>
      <c r="T37" s="29"/>
      <c r="U37" s="29"/>
      <c r="V37" s="29">
        <f>'KTW-5 p10 - EOP Rate Base'!C14</f>
        <v>9938907.189815104</v>
      </c>
      <c r="W37" s="29"/>
      <c r="X37" s="29"/>
      <c r="Y37" s="92">
        <f>SUM(P37:X37)</f>
        <v>31674673.024665639</v>
      </c>
      <c r="Z37" s="92">
        <f>+Y37+O37</f>
        <v>35063538.492277332</v>
      </c>
      <c r="AA37" s="92">
        <f>'KTW-5 p7,KTW-8 p3 - Post TY Adj'!E10</f>
        <v>21420708.367492773</v>
      </c>
      <c r="AB37" s="92">
        <f>AA37</f>
        <v>21420708.367492773</v>
      </c>
    </row>
    <row r="38" spans="1:28" x14ac:dyDescent="0.2">
      <c r="A38" s="5">
        <v>16</v>
      </c>
      <c r="B38" s="1" t="s">
        <v>146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93">
        <f>SUM(C38:L38)</f>
        <v>0</v>
      </c>
      <c r="P38" s="49"/>
      <c r="Q38" s="49"/>
      <c r="R38" s="49"/>
      <c r="S38" s="49"/>
      <c r="T38" s="49"/>
      <c r="U38" s="49"/>
      <c r="V38" s="49">
        <f>'KTW-5 p10 - EOP Rate Base'!D14</f>
        <v>-4418353.3119194806</v>
      </c>
      <c r="W38" s="49"/>
      <c r="X38" s="49"/>
      <c r="Y38" s="93">
        <f>SUM(P38:X38)</f>
        <v>-4418353.3119194806</v>
      </c>
      <c r="Z38" s="93">
        <f>+Y38+O38</f>
        <v>-4418353.3119194806</v>
      </c>
      <c r="AA38" s="93"/>
      <c r="AB38" s="93">
        <f>AA38</f>
        <v>0</v>
      </c>
    </row>
    <row r="39" spans="1:28" x14ac:dyDescent="0.2">
      <c r="A39" s="5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92"/>
      <c r="P39" s="29"/>
      <c r="Q39" s="29"/>
      <c r="R39" s="29"/>
      <c r="S39" s="29"/>
      <c r="T39" s="29"/>
      <c r="U39" s="29"/>
      <c r="V39" s="29"/>
      <c r="W39" s="29"/>
      <c r="X39" s="29"/>
      <c r="Y39" s="92"/>
      <c r="Z39" s="92"/>
      <c r="AA39" s="92"/>
      <c r="AB39" s="92">
        <f>AA39</f>
        <v>0</v>
      </c>
    </row>
    <row r="40" spans="1:28" x14ac:dyDescent="0.2">
      <c r="A40" s="5">
        <v>17</v>
      </c>
      <c r="B40" s="1" t="s">
        <v>148</v>
      </c>
      <c r="C40" s="29">
        <f t="shared" ref="C40:Y40" si="25">C37+C38</f>
        <v>0</v>
      </c>
      <c r="D40" s="29">
        <f t="shared" si="25"/>
        <v>0</v>
      </c>
      <c r="E40" s="29">
        <f t="shared" si="25"/>
        <v>-56749.607678736924</v>
      </c>
      <c r="F40" s="29">
        <f t="shared" si="25"/>
        <v>0</v>
      </c>
      <c r="G40" s="29">
        <f t="shared" si="25"/>
        <v>0</v>
      </c>
      <c r="H40" s="29">
        <f t="shared" si="25"/>
        <v>3526472.2067100708</v>
      </c>
      <c r="I40" s="29">
        <f t="shared" si="25"/>
        <v>0</v>
      </c>
      <c r="J40" s="29">
        <f t="shared" si="25"/>
        <v>-1556.0999999999985</v>
      </c>
      <c r="K40" s="29">
        <f t="shared" si="25"/>
        <v>0</v>
      </c>
      <c r="L40" s="29">
        <f t="shared" si="25"/>
        <v>-79301.031419637919</v>
      </c>
      <c r="M40" s="29">
        <f t="shared" ref="M40" si="26">M37+M38</f>
        <v>0</v>
      </c>
      <c r="N40" s="29">
        <f t="shared" ref="N40" si="27">N37+N38</f>
        <v>0</v>
      </c>
      <c r="O40" s="92">
        <f t="shared" si="25"/>
        <v>3388865.4676116956</v>
      </c>
      <c r="P40" s="29">
        <f t="shared" si="25"/>
        <v>0</v>
      </c>
      <c r="Q40" s="29">
        <f t="shared" si="25"/>
        <v>0</v>
      </c>
      <c r="R40" s="29">
        <f t="shared" si="25"/>
        <v>0</v>
      </c>
      <c r="S40" s="29">
        <f t="shared" si="25"/>
        <v>21735765.834850535</v>
      </c>
      <c r="T40" s="29">
        <f t="shared" ref="T40:U40" si="28">T37+T38</f>
        <v>0</v>
      </c>
      <c r="U40" s="29">
        <f t="shared" si="28"/>
        <v>0</v>
      </c>
      <c r="V40" s="29">
        <f t="shared" ref="V40" si="29">V37+V38</f>
        <v>5520553.8778956234</v>
      </c>
      <c r="W40" s="29">
        <f>W37+W38</f>
        <v>0</v>
      </c>
      <c r="X40" s="29">
        <f t="shared" ref="X40" si="30">X37+X38</f>
        <v>0</v>
      </c>
      <c r="Y40" s="92">
        <f t="shared" si="25"/>
        <v>27256319.712746158</v>
      </c>
      <c r="Z40" s="92">
        <f>Z37+Z38</f>
        <v>30645185.180357851</v>
      </c>
      <c r="AA40" s="92">
        <f t="shared" ref="AA40:AB40" si="31">AA37+AA38</f>
        <v>21420708.367492773</v>
      </c>
      <c r="AB40" s="92">
        <f t="shared" si="31"/>
        <v>21420708.367492773</v>
      </c>
    </row>
    <row r="41" spans="1:28" x14ac:dyDescent="0.2">
      <c r="A41" s="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92"/>
      <c r="P41" s="29"/>
      <c r="Q41" s="29"/>
      <c r="R41" s="29"/>
      <c r="S41" s="29"/>
      <c r="T41" s="29"/>
      <c r="U41" s="29"/>
      <c r="V41" s="29"/>
      <c r="W41" s="29"/>
      <c r="X41" s="29"/>
      <c r="Y41" s="92"/>
      <c r="Z41" s="92"/>
      <c r="AA41" s="92"/>
      <c r="AB41" s="92">
        <f>AA41</f>
        <v>0</v>
      </c>
    </row>
    <row r="42" spans="1:28" x14ac:dyDescent="0.2">
      <c r="A42" s="5">
        <v>18</v>
      </c>
      <c r="B42" s="1" t="s">
        <v>151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92">
        <f>SUM(C42:L42)</f>
        <v>0</v>
      </c>
      <c r="P42" s="29"/>
      <c r="Q42" s="29"/>
      <c r="R42" s="29"/>
      <c r="S42" s="29"/>
      <c r="T42" s="29"/>
      <c r="U42" s="29"/>
      <c r="V42" s="29">
        <f>'KTW-5 p10 - EOP Rate Base'!E14</f>
        <v>-1145.4506162917241</v>
      </c>
      <c r="W42" s="29"/>
      <c r="X42" s="29"/>
      <c r="Y42" s="92">
        <f>SUM(P42:X42)</f>
        <v>-1145.4506162917241</v>
      </c>
      <c r="Z42" s="92">
        <f>+Y42+O42</f>
        <v>-1145.4506162917241</v>
      </c>
      <c r="AA42" s="92"/>
      <c r="AB42" s="92">
        <f>AA42</f>
        <v>0</v>
      </c>
    </row>
    <row r="43" spans="1:28" x14ac:dyDescent="0.2">
      <c r="A43" s="5">
        <v>19</v>
      </c>
      <c r="B43" s="3" t="s">
        <v>221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92">
        <f>SUM(C43:L43)</f>
        <v>0</v>
      </c>
      <c r="P43" s="29"/>
      <c r="Q43" s="29"/>
      <c r="R43" s="29"/>
      <c r="S43" s="29"/>
      <c r="T43" s="29"/>
      <c r="U43" s="29"/>
      <c r="V43" s="29">
        <f>'KTW-5 p10 - EOP Rate Base'!F14</f>
        <v>-125151.54166666651</v>
      </c>
      <c r="W43" s="29"/>
      <c r="X43" s="29"/>
      <c r="Y43" s="92">
        <f>SUM(P43:X43)</f>
        <v>-125151.54166666651</v>
      </c>
      <c r="Z43" s="92">
        <f>+Y43+O43</f>
        <v>-125151.54166666651</v>
      </c>
      <c r="AA43" s="92"/>
      <c r="AB43" s="92">
        <f>AA43</f>
        <v>0</v>
      </c>
    </row>
    <row r="44" spans="1:28" x14ac:dyDescent="0.2">
      <c r="A44" s="5">
        <v>20</v>
      </c>
      <c r="B44" s="1" t="s">
        <v>156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92">
        <f>SUM(C44:L44)</f>
        <v>0</v>
      </c>
      <c r="P44" s="29"/>
      <c r="Q44" s="29"/>
      <c r="R44" s="29"/>
      <c r="S44" s="29"/>
      <c r="T44" s="29"/>
      <c r="U44" s="29"/>
      <c r="V44" s="29">
        <f>'KTW-5 p10 - EOP Rate Base'!G14</f>
        <v>383390.08280033292</v>
      </c>
      <c r="W44" s="29"/>
      <c r="X44" s="29"/>
      <c r="Y44" s="92">
        <f>SUM(P44:X44)</f>
        <v>383390.08280033292</v>
      </c>
      <c r="Z44" s="92">
        <f>+Y44+O44</f>
        <v>383390.08280033292</v>
      </c>
      <c r="AA44" s="92"/>
      <c r="AB44" s="92">
        <f>AA44</f>
        <v>0</v>
      </c>
    </row>
    <row r="45" spans="1:28" x14ac:dyDescent="0.2">
      <c r="A45" s="5">
        <v>21</v>
      </c>
      <c r="B45" s="1" t="s">
        <v>159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93">
        <f>SUM(C45:L45)</f>
        <v>0</v>
      </c>
      <c r="P45" s="49"/>
      <c r="Q45" s="49"/>
      <c r="R45" s="49"/>
      <c r="S45" s="49"/>
      <c r="T45" s="49">
        <f>'KTW-5 p8 - EDIT RB Adj.'!C15</f>
        <v>562500</v>
      </c>
      <c r="U45" s="49">
        <f>'KTW-5 p8 - EDIT RB Adj.'!D15</f>
        <v>0</v>
      </c>
      <c r="V45" s="49">
        <f>'KTW-5 p10 - EOP Rate Base'!H14</f>
        <v>-264594.21447316557</v>
      </c>
      <c r="W45" s="49"/>
      <c r="X45" s="49"/>
      <c r="Y45" s="93">
        <f>SUM(P45:X45)</f>
        <v>297905.78552683443</v>
      </c>
      <c r="Z45" s="93">
        <f>+Y45+O45</f>
        <v>297905.78552683443</v>
      </c>
      <c r="AA45" s="93"/>
      <c r="AB45" s="93">
        <f>AA45</f>
        <v>0</v>
      </c>
    </row>
    <row r="46" spans="1:28" x14ac:dyDescent="0.2">
      <c r="A46" s="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92"/>
      <c r="P46" s="29"/>
      <c r="Q46" s="29"/>
      <c r="R46" s="29"/>
      <c r="S46" s="29"/>
      <c r="T46" s="29"/>
      <c r="U46" s="29"/>
      <c r="V46" s="29"/>
      <c r="W46" s="29"/>
      <c r="X46" s="29"/>
      <c r="Y46" s="92"/>
      <c r="Z46" s="92"/>
      <c r="AA46" s="92"/>
      <c r="AB46" s="92"/>
    </row>
    <row r="47" spans="1:28" ht="15.75" thickBot="1" x14ac:dyDescent="0.25">
      <c r="A47" s="5">
        <v>22</v>
      </c>
      <c r="B47" s="1" t="s">
        <v>140</v>
      </c>
      <c r="C47" s="94">
        <f t="shared" ref="C47:Y47" si="32">SUM(C40:C45)</f>
        <v>0</v>
      </c>
      <c r="D47" s="94">
        <f t="shared" si="32"/>
        <v>0</v>
      </c>
      <c r="E47" s="94">
        <f t="shared" si="32"/>
        <v>-56749.607678736924</v>
      </c>
      <c r="F47" s="94">
        <f t="shared" si="32"/>
        <v>0</v>
      </c>
      <c r="G47" s="94">
        <f t="shared" si="32"/>
        <v>0</v>
      </c>
      <c r="H47" s="94">
        <f t="shared" si="32"/>
        <v>3526472.2067100708</v>
      </c>
      <c r="I47" s="94">
        <f t="shared" si="32"/>
        <v>0</v>
      </c>
      <c r="J47" s="94">
        <f t="shared" si="32"/>
        <v>-1556.0999999999985</v>
      </c>
      <c r="K47" s="94">
        <f t="shared" si="32"/>
        <v>0</v>
      </c>
      <c r="L47" s="94">
        <f t="shared" si="32"/>
        <v>-79301.031419637919</v>
      </c>
      <c r="M47" s="94">
        <f t="shared" ref="M47" si="33">SUM(M40:M45)</f>
        <v>0</v>
      </c>
      <c r="N47" s="94">
        <f t="shared" ref="N47" si="34">SUM(N40:N45)</f>
        <v>0</v>
      </c>
      <c r="O47" s="95">
        <f>SUM(O40:O45)</f>
        <v>3388865.4676116956</v>
      </c>
      <c r="P47" s="94">
        <f t="shared" si="32"/>
        <v>0</v>
      </c>
      <c r="Q47" s="94">
        <f t="shared" si="32"/>
        <v>0</v>
      </c>
      <c r="R47" s="94">
        <f t="shared" si="32"/>
        <v>0</v>
      </c>
      <c r="S47" s="94">
        <f t="shared" si="32"/>
        <v>21735765.834850535</v>
      </c>
      <c r="T47" s="94">
        <f>SUM(T40:T45)</f>
        <v>562500</v>
      </c>
      <c r="U47" s="94">
        <f>SUM(U40:U45)</f>
        <v>0</v>
      </c>
      <c r="V47" s="94">
        <f>SUM(V40:V45)</f>
        <v>5513052.7539398316</v>
      </c>
      <c r="W47" s="94">
        <f t="shared" ref="W47:X47" si="35">SUM(W40:W45)</f>
        <v>0</v>
      </c>
      <c r="X47" s="94">
        <f t="shared" si="35"/>
        <v>0</v>
      </c>
      <c r="Y47" s="95">
        <f t="shared" si="32"/>
        <v>27811318.588790365</v>
      </c>
      <c r="Z47" s="95">
        <f>SUM(Z40:Z45)</f>
        <v>31200184.056402057</v>
      </c>
      <c r="AA47" s="95">
        <f t="shared" ref="AA47:AB47" si="36">SUM(AA40:AA45)</f>
        <v>21420708.367492773</v>
      </c>
      <c r="AB47" s="95">
        <f t="shared" si="36"/>
        <v>21420708.367492773</v>
      </c>
    </row>
    <row r="48" spans="1:28" ht="15.75" thickTop="1" x14ac:dyDescent="0.2">
      <c r="A48" s="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92"/>
      <c r="P48" s="29"/>
      <c r="Q48" s="29"/>
      <c r="R48" s="29"/>
      <c r="S48" s="29"/>
      <c r="T48" s="29"/>
      <c r="U48" s="29"/>
      <c r="V48" s="29"/>
      <c r="W48" s="29"/>
      <c r="X48" s="29"/>
      <c r="Y48" s="92"/>
      <c r="Z48" s="92"/>
      <c r="AA48" s="92"/>
      <c r="AB48" s="92"/>
    </row>
    <row r="49" spans="1:28" x14ac:dyDescent="0.2">
      <c r="A49" s="5">
        <v>23</v>
      </c>
      <c r="B49" s="1" t="s">
        <v>165</v>
      </c>
      <c r="C49" s="29">
        <f>ROUND(+C47*'KTW-3 p8 - Cost of Cap'!$C$41,0)</f>
        <v>0</v>
      </c>
      <c r="D49" s="29">
        <f>ROUND(+D47*'KTW-3 p8 - Cost of Cap'!$C$41,0)</f>
        <v>0</v>
      </c>
      <c r="E49" s="29">
        <f>ROUND(+E47*'KTW-3 p8 - Cost of Cap'!$C$41,0)</f>
        <v>-1309</v>
      </c>
      <c r="F49" s="29">
        <f>ROUND(+F47*'KTW-3 p8 - Cost of Cap'!$C$41,0)</f>
        <v>0</v>
      </c>
      <c r="G49" s="29">
        <f>ROUND(+G47*'KTW-3 p8 - Cost of Cap'!$C$41,0)</f>
        <v>0</v>
      </c>
      <c r="H49" s="29">
        <f>ROUND(+H47*'KTW-3 p8 - Cost of Cap'!$C$41,0)</f>
        <v>81356</v>
      </c>
      <c r="I49" s="29">
        <f>ROUND(+I47*'KTW-3 p8 - Cost of Cap'!$C$41,0)</f>
        <v>0</v>
      </c>
      <c r="J49" s="29">
        <f>ROUND(+J47*'KTW-3 p8 - Cost of Cap'!$C$41,0)</f>
        <v>-36</v>
      </c>
      <c r="K49" s="29">
        <f>ROUND(+K47*'KTW-3 p8 - Cost of Cap'!$C$41,0)</f>
        <v>0</v>
      </c>
      <c r="L49" s="29">
        <f>ROUND(+L47*'KTW-3 p8 - Cost of Cap'!$C$41,0)</f>
        <v>-1829</v>
      </c>
      <c r="M49" s="29">
        <f>ROUND(+M47*'KTW-3 p8 - Cost of Cap'!$C$41,0)</f>
        <v>0</v>
      </c>
      <c r="N49" s="29">
        <f>ROUND(+N47*'KTW-3 p8 - Cost of Cap'!$C$41,0)</f>
        <v>0</v>
      </c>
      <c r="O49" s="92"/>
      <c r="P49" s="29">
        <f>ROUND(+P47*'KTW-3 p8 - Cost of Cap'!$C$41,0)</f>
        <v>0</v>
      </c>
      <c r="Q49" s="29">
        <f>ROUND(+Q47*'KTW-3 p8 - Cost of Cap'!$C$41,0)</f>
        <v>0</v>
      </c>
      <c r="R49" s="29">
        <f>ROUND(+R47*'KTW-3 p8 - Cost of Cap'!$C$41,0)</f>
        <v>0</v>
      </c>
      <c r="S49" s="29">
        <f>ROUND(+S47*'KTW-3 p8 - Cost of Cap'!$C$41,0)</f>
        <v>501444</v>
      </c>
      <c r="T49" s="29">
        <f>ROUND(+T47*'KTW-3 p8 - Cost of Cap'!$C$41,0)</f>
        <v>12977</v>
      </c>
      <c r="U49" s="29">
        <f>ROUND(+U47*'KTW-3 p8 - Cost of Cap'!$C$41,0)</f>
        <v>0</v>
      </c>
      <c r="V49" s="29">
        <f>ROUND(+V47*'KTW-3 p8 - Cost of Cap'!$C$41,0)</f>
        <v>127186</v>
      </c>
      <c r="W49" s="29">
        <f>ROUND(+W47*'KTW-3 p8 - Cost of Cap'!$C$41,0)</f>
        <v>0</v>
      </c>
      <c r="X49" s="29">
        <f>ROUND(+X47*'KTW-3 p8 - Cost of Cap'!$C$41,0)</f>
        <v>0</v>
      </c>
      <c r="Y49" s="92">
        <f>ROUND(+Y47*'KTW-3 p8 - Cost of Cap'!$C$41,0)</f>
        <v>641607</v>
      </c>
      <c r="Z49" s="92">
        <f>SUM(C49:X49)</f>
        <v>719789</v>
      </c>
      <c r="AA49" s="92">
        <f>ROUND(+AA47*'KTW-3 p8 - Cost of Cap'!$C$41,0)</f>
        <v>494176</v>
      </c>
      <c r="AB49" s="92">
        <f>AA49</f>
        <v>494176</v>
      </c>
    </row>
    <row r="50" spans="1:28" x14ac:dyDescent="0.2"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92"/>
      <c r="P50" s="29"/>
      <c r="Q50" s="29"/>
      <c r="R50" s="29"/>
      <c r="S50" s="29"/>
      <c r="T50" s="29"/>
      <c r="U50" s="29"/>
      <c r="V50" s="29"/>
      <c r="W50" s="29"/>
      <c r="X50" s="29"/>
      <c r="Y50" s="92"/>
      <c r="Z50" s="92"/>
      <c r="AA50" s="92"/>
      <c r="AB50" s="92"/>
    </row>
    <row r="51" spans="1:28" ht="15.75" thickBot="1" x14ac:dyDescent="0.25">
      <c r="A51" s="5">
        <v>24</v>
      </c>
      <c r="B51" s="1" t="s">
        <v>741</v>
      </c>
      <c r="C51" s="14">
        <f>((C47*'KTW-3 p8 - Cost of Cap'!$E15)-C34)*'KTW-3 p8 - Cost of Cap'!$C39</f>
        <v>232522.38830765293</v>
      </c>
      <c r="D51" s="14">
        <f>((D47*'KTW-3 p8 - Cost of Cap'!$E15)-D34)*'KTW-3 p8 - Cost of Cap'!$C39</f>
        <v>-2366036.3335456704</v>
      </c>
      <c r="E51" s="14">
        <f>((E47*'KTW-3 p8 - Cost of Cap'!$E15)-E34)*'KTW-3 p8 - Cost of Cap'!$C39</f>
        <v>39105.046567046789</v>
      </c>
      <c r="F51" s="14">
        <f>((F47*'KTW-3 p8 - Cost of Cap'!$E15)-F34)*'KTW-3 p8 - Cost of Cap'!$C39</f>
        <v>-52642.710551998767</v>
      </c>
      <c r="G51" s="14">
        <f>((G47*'KTW-3 p8 - Cost of Cap'!$E15)-G34)*'KTW-3 p8 - Cost of Cap'!$C39</f>
        <v>-27412.583461867333</v>
      </c>
      <c r="H51" s="14">
        <f>((H47*'KTW-3 p8 - Cost of Cap'!$E15)-H34)*'KTW-3 p8 - Cost of Cap'!$C39</f>
        <v>299407.25523485255</v>
      </c>
      <c r="I51" s="14">
        <f>((I47*'KTW-3 p8 - Cost of Cap'!$E15)-I34)*'KTW-3 p8 - Cost of Cap'!$C39</f>
        <v>-296538.28587335267</v>
      </c>
      <c r="J51" s="14">
        <f>((J47*'KTW-3 p8 - Cost of Cap'!$E15)-J34)*'KTW-3 p8 - Cost of Cap'!$C39</f>
        <v>4111.0607115330404</v>
      </c>
      <c r="K51" s="14">
        <f>((K47*'KTW-3 p8 - Cost of Cap'!$E15)-K34)*'KTW-3 p8 - Cost of Cap'!$C39</f>
        <v>114770.56799999998</v>
      </c>
      <c r="L51" s="14">
        <f>((L47*'KTW-3 p8 - Cost of Cap'!$E15)-L34)*'KTW-3 p8 - Cost of Cap'!$C39</f>
        <v>-38921.321184664223</v>
      </c>
      <c r="M51" s="14">
        <f>((M47*'KTW-3 p8 - Cost of Cap'!$E15)-M34)*'KTW-3 p8 - Cost of Cap'!$C39</f>
        <v>14635.881871504471</v>
      </c>
      <c r="N51" s="14">
        <f>((N47*'KTW-3 p8 - Cost of Cap'!$E15)-N34)*'KTW-3 p8 - Cost of Cap'!$C39</f>
        <v>0</v>
      </c>
      <c r="O51" s="486">
        <f>SUM(C51:N51)</f>
        <v>-2076999.0339249638</v>
      </c>
      <c r="P51" s="14">
        <f>((P47*'KTW-3 p8 - Cost of Cap'!$E15)-P34)*'KTW-3 p8 - Cost of Cap'!$C39</f>
        <v>422198.82812144177</v>
      </c>
      <c r="Q51" s="14">
        <f>((Q47*'KTW-3 p8 - Cost of Cap'!$E15)-Q34)*'KTW-3 p8 - Cost of Cap'!$C39</f>
        <v>167445.33925909497</v>
      </c>
      <c r="R51" s="14">
        <f>((R47*'KTW-3 p8 - Cost of Cap'!$E15)-R34)*'KTW-3 p8 - Cost of Cap'!$C39</f>
        <v>320477.99088</v>
      </c>
      <c r="S51" s="14">
        <f>((S47*'KTW-3 p8 - Cost of Cap'!$E15)-S34)*'KTW-3 p8 - Cost of Cap'!$C39</f>
        <v>2790790.4051757539</v>
      </c>
      <c r="T51" s="14">
        <f>((T47*'KTW-3 p8 - Cost of Cap'!$E15)-T34)*'KTW-3 p8 - Cost of Cap'!$C39</f>
        <v>47758.060649999999</v>
      </c>
      <c r="U51" s="14">
        <f>((U47*'KTW-3 p8 - Cost of Cap'!$E15)-U34)*'KTW-3 p8 - Cost of Cap'!$C39</f>
        <v>656941.8028875778</v>
      </c>
      <c r="V51" s="14">
        <f>((V47*'KTW-3 p8 - Cost of Cap'!$E15)-V34)*'KTW-3 p8 - Cost of Cap'!$C39</f>
        <v>468074.17868396937</v>
      </c>
      <c r="W51" s="14">
        <f>((W47*'KTW-3 p8 - Cost of Cap'!$E15)-W34)*'KTW-3 p8 - Cost of Cap'!$C39</f>
        <v>0</v>
      </c>
      <c r="X51" s="14">
        <f>((X47*'KTW-3 p8 - Cost of Cap'!$E15)-X34)*'KTW-3 p8 - Cost of Cap'!$C39</f>
        <v>33018</v>
      </c>
      <c r="Y51" s="486">
        <f>SUM(P51:X51)</f>
        <v>4906704.6056578374</v>
      </c>
      <c r="Z51" s="486">
        <f>O51+Y51</f>
        <v>2829705.5717328736</v>
      </c>
      <c r="AA51" s="381">
        <f>((AA47*'KTW-3 p8 - Cost of Cap'!$E15)-AA34)*'KTW-3 p8 - Cost of Cap'!$C39</f>
        <v>3150099.1796185984</v>
      </c>
      <c r="AB51" s="486">
        <f>AA51</f>
        <v>3150099.1796185984</v>
      </c>
    </row>
    <row r="52" spans="1:28" x14ac:dyDescent="0.2">
      <c r="A52" s="97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4" spans="1:28" x14ac:dyDescent="0.2">
      <c r="S54" s="9"/>
    </row>
  </sheetData>
  <customSheetViews>
    <customSheetView guid="{A7BD13BF-7E57-44D7-9B02-43E2FA430390}" scale="90" showPageBreaks="1" showGridLines="0" fitToPage="1" printArea="1">
      <pane xSplit="2" ySplit="9" topLeftCell="P31" activePane="bottomRight" state="frozen"/>
      <selection pane="bottomRight" activeCell="O27" sqref="O27"/>
      <colBreaks count="1" manualBreakCount="1">
        <brk id="12" max="1048575" man="1"/>
      </colBreaks>
      <pageMargins left="0.77" right="0.98" top="0.5" bottom="0.5" header="0.25" footer="0.25"/>
      <printOptions horizontalCentered="1"/>
      <pageSetup scale="45" fitToWidth="2" orientation="landscape" r:id="rId1"/>
      <headerFooter alignWithMargins="0"/>
    </customSheetView>
    <customSheetView guid="{C29552AC-6B79-447F-B962-713ED43BDF1A}" scale="90" showPageBreaks="1" fitToPage="1" printArea="1">
      <pane xSplit="2" ySplit="9" topLeftCell="M10" activePane="bottomRight" state="frozen"/>
      <selection pane="bottomRight" activeCell="AA14" sqref="AA14"/>
      <colBreaks count="1" manualBreakCount="1">
        <brk id="12" max="1048575" man="1"/>
      </colBreaks>
      <pageMargins left="0.77" right="0.98" top="0.5" bottom="0.5" header="0.25" footer="0.25"/>
      <printOptions horizontalCentered="1"/>
      <pageSetup scale="43" fitToWidth="2" orientation="landscape" r:id="rId2"/>
      <headerFooter alignWithMargins="0"/>
    </customSheetView>
    <customSheetView guid="{6ED201AA-AB2E-4FE7-B06B-B07932512C4D}" scale="90" showPageBreaks="1" fitToPage="1" printArea="1">
      <pane xSplit="2" ySplit="9" topLeftCell="M10" activePane="bottomRight" state="frozen"/>
      <selection pane="bottomRight" activeCell="AA14" sqref="AA14"/>
      <colBreaks count="1" manualBreakCount="1">
        <brk id="12" max="1048575" man="1"/>
      </colBreaks>
      <pageMargins left="0.77" right="0.98" top="0.5" bottom="0.5" header="0.25" footer="0.25"/>
      <printOptions horizontalCentered="1"/>
      <pageSetup scale="45" fitToWidth="2" orientation="landscape" r:id="rId3"/>
      <headerFooter alignWithMargins="0"/>
    </customSheetView>
    <customSheetView guid="{D711E10B-9441-4991-A2CB-ED400E35790D}" scale="90" showGridLines="0" fitToPage="1">
      <pane xSplit="2" ySplit="9" topLeftCell="P10" activePane="bottomRight" state="frozen"/>
      <selection pane="bottomRight" activeCell="V27" sqref="V27"/>
      <colBreaks count="1" manualBreakCount="1">
        <brk id="12" max="1048575" man="1"/>
      </colBreaks>
      <pageMargins left="0.77" right="0.98" top="0.5" bottom="0.5" header="0.25" footer="0.25"/>
      <printOptions horizontalCentered="1"/>
      <pageSetup scale="45" fitToWidth="2" orientation="landscape" r:id="rId4"/>
      <headerFooter alignWithMargins="0"/>
    </customSheetView>
  </customSheetViews>
  <phoneticPr fontId="0" type="noConversion"/>
  <printOptions horizontalCentered="1"/>
  <pageMargins left="0.25" right="0.25" top="0.75" bottom="0.75" header="0.3" footer="0.3"/>
  <pageSetup scale="45" orientation="landscape" r:id="rId5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>
    <tabColor theme="4" tint="0.59999389629810485"/>
    <pageSetUpPr fitToPage="1"/>
  </sheetPr>
  <dimension ref="A1:AB38"/>
  <sheetViews>
    <sheetView zoomScale="90" zoomScaleNormal="90" workbookViewId="0">
      <pane xSplit="2" ySplit="9" topLeftCell="H10" activePane="bottomRight" state="frozen"/>
      <selection pane="topRight" activeCell="C1" sqref="C1"/>
      <selection pane="bottomLeft" activeCell="A10" sqref="A10"/>
      <selection pane="bottomRight" activeCell="X36" sqref="X36"/>
    </sheetView>
  </sheetViews>
  <sheetFormatPr defaultColWidth="9.140625" defaultRowHeight="15" outlineLevelCol="1" x14ac:dyDescent="0.2"/>
  <cols>
    <col min="1" max="1" width="7.42578125" style="8" customWidth="1"/>
    <col min="2" max="2" width="41.7109375" style="8" customWidth="1"/>
    <col min="3" max="13" width="13.7109375" style="8" customWidth="1"/>
    <col min="14" max="14" width="13.7109375" style="8" hidden="1" customWidth="1" outlineLevel="1"/>
    <col min="15" max="15" width="13.7109375" style="8" customWidth="1" collapsed="1"/>
    <col min="16" max="20" width="13.7109375" style="8" customWidth="1"/>
    <col min="21" max="22" width="15" style="8" customWidth="1"/>
    <col min="23" max="23" width="13.7109375" style="8" hidden="1" customWidth="1" outlineLevel="1"/>
    <col min="24" max="24" width="13.7109375" style="8" customWidth="1" collapsed="1"/>
    <col min="25" max="26" width="13.7109375" style="8" customWidth="1"/>
    <col min="27" max="27" width="15.5703125" style="8" customWidth="1"/>
    <col min="28" max="28" width="12.28515625" style="8" bestFit="1" customWidth="1"/>
    <col min="29" max="16384" width="9.140625" style="8"/>
  </cols>
  <sheetData>
    <row r="1" spans="1:28" x14ac:dyDescent="0.2">
      <c r="A1" s="1" t="s">
        <v>1</v>
      </c>
      <c r="B1" s="1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499" t="s">
        <v>750</v>
      </c>
      <c r="P1" s="98"/>
      <c r="Q1" s="98"/>
      <c r="R1" s="98"/>
      <c r="S1" s="98"/>
      <c r="T1" s="98"/>
      <c r="U1" s="98"/>
      <c r="V1" s="98"/>
      <c r="W1" s="98"/>
      <c r="X1" s="98"/>
      <c r="Y1" s="499" t="s">
        <v>751</v>
      </c>
      <c r="Z1" s="98"/>
      <c r="AA1" s="5" t="s">
        <v>768</v>
      </c>
    </row>
    <row r="2" spans="1:28" x14ac:dyDescent="0.2">
      <c r="A2" s="1" t="s">
        <v>220</v>
      </c>
      <c r="B2" s="1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499" t="s">
        <v>256</v>
      </c>
      <c r="P2" s="98"/>
      <c r="Q2" s="98"/>
      <c r="R2" s="98"/>
      <c r="S2" s="98"/>
      <c r="T2" s="98"/>
      <c r="U2" s="98"/>
      <c r="V2" s="98"/>
      <c r="W2" s="98"/>
      <c r="X2" s="98"/>
      <c r="Y2" s="499" t="s">
        <v>256</v>
      </c>
      <c r="Z2" s="98"/>
      <c r="AA2" s="499" t="s">
        <v>256</v>
      </c>
    </row>
    <row r="3" spans="1:28" x14ac:dyDescent="0.2">
      <c r="A3" s="1" t="str">
        <f>+'KTW-4,5,8 p1 - Adjust Issues'!A3</f>
        <v>Test Year Based on Twelve Months Ended September 30, 2020</v>
      </c>
      <c r="B3" s="1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8" x14ac:dyDescent="0.2">
      <c r="A4" s="1" t="s">
        <v>10</v>
      </c>
      <c r="B4" s="1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8" ht="15.75" thickBot="1" x14ac:dyDescent="0.25">
      <c r="A5" s="1"/>
      <c r="B5" s="2"/>
      <c r="C5" s="5" t="s">
        <v>14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8" x14ac:dyDescent="0.2">
      <c r="A6" s="1"/>
      <c r="B6" s="1"/>
      <c r="C6" s="5" t="s">
        <v>22</v>
      </c>
      <c r="D6" s="5" t="s">
        <v>296</v>
      </c>
      <c r="E6" s="5"/>
      <c r="F6" s="5" t="s">
        <v>265</v>
      </c>
      <c r="G6" s="5" t="s">
        <v>321</v>
      </c>
      <c r="H6" s="5" t="s">
        <v>24</v>
      </c>
      <c r="I6" s="5" t="s">
        <v>25</v>
      </c>
      <c r="J6" s="5"/>
      <c r="K6" s="5"/>
      <c r="L6" s="5"/>
      <c r="M6" s="5"/>
      <c r="N6" s="410" t="s">
        <v>708</v>
      </c>
      <c r="O6" s="85" t="s">
        <v>62</v>
      </c>
      <c r="P6" s="5"/>
      <c r="Q6" s="5" t="s">
        <v>23</v>
      </c>
      <c r="R6" s="5" t="s">
        <v>607</v>
      </c>
      <c r="S6" s="5" t="s">
        <v>480</v>
      </c>
      <c r="T6" s="5" t="s">
        <v>583</v>
      </c>
      <c r="U6" s="5" t="str">
        <f>'KTW-4,5,8 p1 - Adjust Issues'!U7</f>
        <v>EOP</v>
      </c>
      <c r="V6" s="5" t="str">
        <f>'KTW-4,5,8 p1 - Adjust Issues'!V7</f>
        <v>EOP</v>
      </c>
      <c r="W6" s="410" t="s">
        <v>708</v>
      </c>
      <c r="X6" s="5" t="s">
        <v>583</v>
      </c>
      <c r="Y6" s="85" t="s">
        <v>62</v>
      </c>
      <c r="Z6" s="85"/>
      <c r="AA6" s="5" t="s">
        <v>671</v>
      </c>
      <c r="AB6" s="485"/>
    </row>
    <row r="7" spans="1:28" x14ac:dyDescent="0.2">
      <c r="A7" s="5" t="s">
        <v>15</v>
      </c>
      <c r="B7" s="1"/>
      <c r="C7" s="5" t="s">
        <v>42</v>
      </c>
      <c r="D7" s="5" t="s">
        <v>61</v>
      </c>
      <c r="E7" s="5" t="s">
        <v>43</v>
      </c>
      <c r="F7" s="5" t="s">
        <v>287</v>
      </c>
      <c r="G7" s="5" t="s">
        <v>44</v>
      </c>
      <c r="H7" s="5" t="s">
        <v>45</v>
      </c>
      <c r="I7" s="5" t="s">
        <v>326</v>
      </c>
      <c r="J7" s="5" t="s">
        <v>46</v>
      </c>
      <c r="K7" s="5" t="s">
        <v>278</v>
      </c>
      <c r="L7" s="5" t="s">
        <v>219</v>
      </c>
      <c r="M7" s="5" t="s">
        <v>660</v>
      </c>
      <c r="N7" s="410" t="s">
        <v>709</v>
      </c>
      <c r="O7" s="88" t="s">
        <v>322</v>
      </c>
      <c r="P7" s="5" t="s">
        <v>23</v>
      </c>
      <c r="Q7" s="5" t="s">
        <v>243</v>
      </c>
      <c r="R7" s="5" t="s">
        <v>608</v>
      </c>
      <c r="S7" s="5" t="s">
        <v>45</v>
      </c>
      <c r="T7" s="5" t="s">
        <v>179</v>
      </c>
      <c r="U7" s="5" t="str">
        <f>'KTW-4,5,8 p1 - Adjust Issues'!U8</f>
        <v>Depreciation Exp.</v>
      </c>
      <c r="V7" s="5" t="str">
        <f>'KTW-4,5,8 p1 - Adjust Issues'!V8</f>
        <v>Rate Base</v>
      </c>
      <c r="W7" s="410" t="s">
        <v>709</v>
      </c>
      <c r="X7" s="5" t="s">
        <v>584</v>
      </c>
      <c r="Y7" s="88" t="s">
        <v>323</v>
      </c>
      <c r="Z7" s="88" t="s">
        <v>665</v>
      </c>
      <c r="AA7" s="5" t="s">
        <v>672</v>
      </c>
      <c r="AB7" s="88" t="s">
        <v>666</v>
      </c>
    </row>
    <row r="8" spans="1:28" ht="15.75" thickBot="1" x14ac:dyDescent="0.25">
      <c r="A8" s="7" t="s">
        <v>31</v>
      </c>
      <c r="B8" s="7" t="s">
        <v>174</v>
      </c>
      <c r="C8" s="7" t="s">
        <v>60</v>
      </c>
      <c r="D8" s="7" t="s">
        <v>26</v>
      </c>
      <c r="E8" s="7" t="s">
        <v>26</v>
      </c>
      <c r="F8" s="7" t="s">
        <v>26</v>
      </c>
      <c r="G8" s="7" t="s">
        <v>26</v>
      </c>
      <c r="H8" s="7" t="s">
        <v>26</v>
      </c>
      <c r="I8" s="7" t="s">
        <v>26</v>
      </c>
      <c r="J8" s="7" t="s">
        <v>26</v>
      </c>
      <c r="K8" s="7" t="s">
        <v>26</v>
      </c>
      <c r="L8" s="7" t="s">
        <v>26</v>
      </c>
      <c r="M8" s="452" t="s">
        <v>26</v>
      </c>
      <c r="N8" s="453" t="s">
        <v>26</v>
      </c>
      <c r="O8" s="89" t="s">
        <v>32</v>
      </c>
      <c r="P8" s="7" t="s">
        <v>26</v>
      </c>
      <c r="Q8" s="7" t="s">
        <v>26</v>
      </c>
      <c r="R8" s="7" t="s">
        <v>26</v>
      </c>
      <c r="S8" s="7" t="s">
        <v>26</v>
      </c>
      <c r="T8" s="7" t="s">
        <v>26</v>
      </c>
      <c r="U8" s="521" t="str">
        <f>'KTW-4,5,8 p1 - Adjust Issues'!U9</f>
        <v>Adjustment</v>
      </c>
      <c r="V8" s="521" t="str">
        <f>'KTW-4,5,8 p1 - Adjust Issues'!V9</f>
        <v>Adjustment</v>
      </c>
      <c r="W8" s="453" t="s">
        <v>26</v>
      </c>
      <c r="X8" s="7" t="s">
        <v>26</v>
      </c>
      <c r="Y8" s="89" t="s">
        <v>32</v>
      </c>
      <c r="Z8" s="89" t="s">
        <v>32</v>
      </c>
      <c r="AA8" s="374" t="s">
        <v>26</v>
      </c>
      <c r="AB8" s="88" t="s">
        <v>32</v>
      </c>
    </row>
    <row r="9" spans="1:28" x14ac:dyDescent="0.2">
      <c r="A9" s="5"/>
      <c r="B9" s="1"/>
      <c r="C9" s="5" t="str">
        <f>'KTW-4,5,8 p1 - Adjust Issues'!C10</f>
        <v>(a)</v>
      </c>
      <c r="D9" s="5" t="str">
        <f>'KTW-4,5,8 p1 - Adjust Issues'!D10</f>
        <v>(b)</v>
      </c>
      <c r="E9" s="5" t="str">
        <f>'KTW-4,5,8 p1 - Adjust Issues'!E10</f>
        <v>(c)</v>
      </c>
      <c r="F9" s="5" t="str">
        <f>'KTW-4,5,8 p1 - Adjust Issues'!F10</f>
        <v>(d)</v>
      </c>
      <c r="G9" s="5" t="str">
        <f>'KTW-4,5,8 p1 - Adjust Issues'!G10</f>
        <v>(e)</v>
      </c>
      <c r="H9" s="5" t="str">
        <f>'KTW-4,5,8 p1 - Adjust Issues'!H10</f>
        <v>(f)</v>
      </c>
      <c r="I9" s="5" t="str">
        <f>'KTW-4,5,8 p1 - Adjust Issues'!I10</f>
        <v>(g)</v>
      </c>
      <c r="J9" s="5" t="str">
        <f>'KTW-4,5,8 p1 - Adjust Issues'!J10</f>
        <v>(h)</v>
      </c>
      <c r="K9" s="5" t="str">
        <f>'KTW-4,5,8 p1 - Adjust Issues'!K10</f>
        <v>(i)</v>
      </c>
      <c r="L9" s="5" t="str">
        <f>'KTW-4,5,8 p1 - Adjust Issues'!L10</f>
        <v>(j)</v>
      </c>
      <c r="M9" s="5" t="str">
        <f>'KTW-4,5,8 p1 - Adjust Issues'!M10</f>
        <v>(k)</v>
      </c>
      <c r="N9" s="5">
        <f>'KTW-4,5,8 p1 - Adjust Issues'!N10</f>
        <v>0</v>
      </c>
      <c r="O9" s="5" t="str">
        <f>'KTW-4,5,8 p1 - Adjust Issues'!O10</f>
        <v>(l)</v>
      </c>
      <c r="P9" s="5" t="str">
        <f>'KTW-4,5,8 p1 - Adjust Issues'!P10</f>
        <v>(m)</v>
      </c>
      <c r="Q9" s="5" t="str">
        <f>'KTW-4,5,8 p1 - Adjust Issues'!Q10</f>
        <v>(n)</v>
      </c>
      <c r="R9" s="5" t="str">
        <f>'KTW-4,5,8 p1 - Adjust Issues'!R10</f>
        <v>(o)</v>
      </c>
      <c r="S9" s="5" t="str">
        <f>'KTW-4,5,8 p1 - Adjust Issues'!S10</f>
        <v>(p)</v>
      </c>
      <c r="T9" s="5" t="str">
        <f>'KTW-4,5,8 p1 - Adjust Issues'!T10</f>
        <v>(q)</v>
      </c>
      <c r="U9" s="5" t="str">
        <f>'KTW-4,5,8 p1 - Adjust Issues'!U10</f>
        <v>(r)</v>
      </c>
      <c r="V9" s="5" t="str">
        <f>'KTW-4,5,8 p1 - Adjust Issues'!V10</f>
        <v>(s)</v>
      </c>
      <c r="W9" s="5">
        <f>'KTW-4,5,8 p1 - Adjust Issues'!W10</f>
        <v>0</v>
      </c>
      <c r="X9" s="5" t="str">
        <f>'KTW-4,5,8 p1 - Adjust Issues'!X10</f>
        <v>(t)</v>
      </c>
      <c r="Y9" s="5" t="str">
        <f>'KTW-4,5,8 p1 - Adjust Issues'!Y10</f>
        <v>(u)</v>
      </c>
      <c r="Z9" s="5" t="str">
        <f>'KTW-4,5,8 p1 - Adjust Issues'!Z10</f>
        <v>(v)</v>
      </c>
      <c r="AA9" s="5" t="str">
        <f>'KTW-4,5,8 p1 - Adjust Issues'!AA10</f>
        <v>(w)</v>
      </c>
      <c r="AB9" s="85" t="str">
        <f>'KTW-4,5,8 p1 - Adjust Issues'!AB10</f>
        <v>(x)</v>
      </c>
    </row>
    <row r="10" spans="1:28" x14ac:dyDescent="0.2">
      <c r="A10" s="5"/>
      <c r="B10" s="1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92"/>
      <c r="P10" s="29"/>
      <c r="Q10" s="29"/>
      <c r="R10" s="29"/>
      <c r="S10" s="29"/>
      <c r="T10" s="29"/>
      <c r="U10" s="29"/>
      <c r="V10" s="29"/>
      <c r="W10" s="29"/>
      <c r="X10" s="29"/>
      <c r="Y10" s="92"/>
      <c r="Z10" s="92"/>
      <c r="AB10" s="90"/>
    </row>
    <row r="11" spans="1:28" x14ac:dyDescent="0.2">
      <c r="A11" s="5">
        <v>1</v>
      </c>
      <c r="B11" s="1" t="s">
        <v>175</v>
      </c>
      <c r="C11" s="29">
        <f>'KTW-4,5,8 p1 - Adjust Issues'!C17</f>
        <v>4361865.1626128554</v>
      </c>
      <c r="D11" s="29">
        <f>'KTW-4,5,8 p1 - Adjust Issues'!D17</f>
        <v>2363456.8723413325</v>
      </c>
      <c r="E11" s="29">
        <f>'KTW-4,5,8 p1 - Adjust Issues'!E17</f>
        <v>0</v>
      </c>
      <c r="F11" s="29">
        <f>'KTW-4,5,8 p1 - Adjust Issues'!F17</f>
        <v>0</v>
      </c>
      <c r="G11" s="29">
        <f>'KTW-4,5,8 p1 - Adjust Issues'!G17</f>
        <v>0</v>
      </c>
      <c r="H11" s="29">
        <f>'KTW-4,5,8 p1 - Adjust Issues'!H17</f>
        <v>0</v>
      </c>
      <c r="I11" s="29">
        <f>'KTW-4,5,8 p1 - Adjust Issues'!I17</f>
        <v>0</v>
      </c>
      <c r="J11" s="29">
        <f>'KTW-4,5,8 p1 - Adjust Issues'!J17</f>
        <v>0</v>
      </c>
      <c r="K11" s="29">
        <f>'KTW-4,5,8 p1 - Adjust Issues'!K17</f>
        <v>0</v>
      </c>
      <c r="L11" s="29">
        <f>'KTW-4,5,8 p1 - Adjust Issues'!L17</f>
        <v>0</v>
      </c>
      <c r="M11" s="29">
        <f>'KTW-4,5,8 p1 - Adjust Issues'!M17</f>
        <v>0</v>
      </c>
      <c r="N11" s="29">
        <f>'KTW-4,5,8 p1 - Adjust Issues'!N17</f>
        <v>0</v>
      </c>
      <c r="O11" s="92">
        <f>SUM(C11:N11)</f>
        <v>6725322.0349541884</v>
      </c>
      <c r="P11" s="29">
        <f>'KTW-4,5,8 p1 - Adjust Issues'!P17</f>
        <v>0</v>
      </c>
      <c r="Q11" s="29">
        <f>'KTW-4,5,8 p1 - Adjust Issues'!Q17</f>
        <v>0</v>
      </c>
      <c r="R11" s="29">
        <f>'KTW-4,5,8 p1 - Adjust Issues'!R17</f>
        <v>0</v>
      </c>
      <c r="S11" s="29">
        <f>'KTW-4,5,8 p1 - Adjust Issues'!S17</f>
        <v>0</v>
      </c>
      <c r="T11" s="29">
        <f>'KTW-4,5,8 p1 - Adjust Issues'!T17</f>
        <v>0</v>
      </c>
      <c r="U11" s="29">
        <f>'KTW-4,5,8 p1 - Adjust Issues'!U17</f>
        <v>0</v>
      </c>
      <c r="V11" s="29">
        <f>'KTW-4,5,8 p1 - Adjust Issues'!V17</f>
        <v>0</v>
      </c>
      <c r="W11" s="29">
        <f>'KTW-4,5,8 p1 - Adjust Issues'!W17</f>
        <v>0</v>
      </c>
      <c r="X11" s="29">
        <f>'KTW-4,5,8 p1 - Adjust Issues'!X17</f>
        <v>0</v>
      </c>
      <c r="Y11" s="92">
        <f>'KTW-4,5,8 p1 - Adjust Issues'!Y17</f>
        <v>0</v>
      </c>
      <c r="Z11" s="92">
        <f>'KTW-4,5,8 p1 - Adjust Issues'!Z17</f>
        <v>6725322.0349541884</v>
      </c>
      <c r="AA11" s="29">
        <f>'KTW-4,5,8 p1 - Adjust Issues'!AA17</f>
        <v>0</v>
      </c>
      <c r="AB11" s="92">
        <f>'KTW-4,5,8 p1 - Adjust Issues'!AB17</f>
        <v>0</v>
      </c>
    </row>
    <row r="12" spans="1:28" x14ac:dyDescent="0.2">
      <c r="A12" s="5">
        <f>+A11+1</f>
        <v>2</v>
      </c>
      <c r="B12" s="3" t="s">
        <v>222</v>
      </c>
      <c r="C12" s="29">
        <f>'KTW-4,5,8 p1 - Adjust Issues'!C24+'KTW-4,5,8 p1 - Adjust Issues'!C28+'KTW-4,5,8 p1 - Adjust Issues'!C29</f>
        <v>4584722.4558375003</v>
      </c>
      <c r="D12" s="29">
        <f>'KTW-4,5,8 p1 - Adjust Issues'!D24+'KTW-4,5,8 p1 - Adjust Issues'!D28+'KTW-4,5,8 p1 - Adjust Issues'!D29</f>
        <v>95767.272467270799</v>
      </c>
      <c r="E12" s="29">
        <f>'KTW-4,5,8 p1 - Adjust Issues'!E24+'KTW-4,5,8 p1 - Adjust Issues'!E28+'KTW-4,5,8 p1 - Adjust Issues'!E29</f>
        <v>42096.985356000201</v>
      </c>
      <c r="F12" s="29">
        <f>'KTW-4,5,8 p1 - Adjust Issues'!F24+'KTW-4,5,8 p1 - Adjust Issues'!F28+'KTW-4,5,8 p1 - Adjust Issues'!F29</f>
        <v>-50455.099999999067</v>
      </c>
      <c r="G12" s="29">
        <f>'KTW-4,5,8 p1 - Adjust Issues'!G24+'KTW-4,5,8 p1 - Adjust Issues'!G28+'KTW-4,5,8 p1 - Adjust Issues'!G29</f>
        <v>-26272.787344681186</v>
      </c>
      <c r="H12" s="29">
        <f>'KTW-4,5,8 p1 - Adjust Issues'!H24+'KTW-4,5,8 p1 - Adjust Issues'!H28+'KTW-4,5,8 p1 - Adjust Issues'!H29</f>
        <v>0</v>
      </c>
      <c r="I12" s="29">
        <f>'KTW-4,5,8 p1 - Adjust Issues'!I24+'KTW-4,5,8 p1 - Adjust Issues'!I28+'KTW-4,5,8 p1 - Adjust Issues'!I29</f>
        <v>-284212.74689059961</v>
      </c>
      <c r="J12" s="29">
        <f>'KTW-4,5,8 p1 - Adjust Issues'!J24+'KTW-4,5,8 p1 - Adjust Issues'!J28+'KTW-4,5,8 p1 - Adjust Issues'!J29</f>
        <v>4066.315266666667</v>
      </c>
      <c r="K12" s="29">
        <f>'KTW-4,5,8 p1 - Adjust Issues'!K24+'KTW-4,5,8 p1 - Adjust Issues'!K28+'KTW-4,5,8 p1 - Adjust Issues'!K29</f>
        <v>110000</v>
      </c>
      <c r="L12" s="29">
        <f>'KTW-4,5,8 p1 - Adjust Issues'!L24+'KTW-4,5,8 p1 - Adjust Issues'!L28+'KTW-4,5,8 p1 - Adjust Issues'!L29</f>
        <v>-30850.694657576569</v>
      </c>
      <c r="M12" s="29">
        <f>'KTW-4,5,8 p1 - Adjust Issues'!M24+'KTW-4,5,8 p1 - Adjust Issues'!M28+'KTW-4,5,8 p1 - Adjust Issues'!M29</f>
        <v>14027.744708571439</v>
      </c>
      <c r="N12" s="29">
        <f>'KTW-4,5,8 p1 - Adjust Issues'!N24+'KTW-4,5,8 p1 - Adjust Issues'!N28+'KTW-4,5,8 p1 - Adjust Issues'!N29</f>
        <v>0</v>
      </c>
      <c r="O12" s="92">
        <f t="shared" ref="O12:O15" si="0">SUM(C12:N12)</f>
        <v>4458889.4447431536</v>
      </c>
      <c r="P12" s="29">
        <f>'KTW-4,5,8 p1 - Adjust Issues'!P24+'KTW-4,5,8 p1 - Adjust Issues'!P28+'KTW-4,5,8 p1 - Adjust Issues'!P29</f>
        <v>404649.229845419</v>
      </c>
      <c r="Q12" s="29">
        <f>'KTW-4,5,8 p1 - Adjust Issues'!Q24+'KTW-4,5,8 p1 - Adjust Issues'!Q28+'KTW-4,5,8 p1 - Adjust Issues'!Q29</f>
        <v>160485.37517346221</v>
      </c>
      <c r="R12" s="29">
        <f>'KTW-4,5,8 p1 - Adjust Issues'!R24+'KTW-4,5,8 p1 - Adjust Issues'!R28+'KTW-4,5,8 p1 - Adjust Issues'!R29</f>
        <v>307157</v>
      </c>
      <c r="S12" s="29">
        <f>'KTW-4,5,8 p1 - Adjust Issues'!S24+'KTW-4,5,8 p1 - Adjust Issues'!S28+'KTW-4,5,8 p1 - Adjust Issues'!S29</f>
        <v>0</v>
      </c>
      <c r="T12" s="29">
        <f>'KTW-4,5,8 p1 - Adjust Issues'!T24+'KTW-4,5,8 p1 - Adjust Issues'!T28+'KTW-4,5,8 p1 - Adjust Issues'!T29</f>
        <v>0</v>
      </c>
      <c r="U12" s="29">
        <f>'KTW-4,5,8 p1 - Adjust Issues'!U24+'KTW-4,5,8 p1 - Adjust Issues'!U28+'KTW-4,5,8 p1 - Adjust Issues'!U29</f>
        <v>0</v>
      </c>
      <c r="V12" s="29">
        <f>'KTW-4,5,8 p1 - Adjust Issues'!V24+'KTW-4,5,8 p1 - Adjust Issues'!V28+'KTW-4,5,8 p1 - Adjust Issues'!V29</f>
        <v>0</v>
      </c>
      <c r="W12" s="29">
        <f>'KTW-4,5,8 p1 - Adjust Issues'!W24+'KTW-4,5,8 p1 - Adjust Issues'!W28+'KTW-4,5,8 p1 - Adjust Issues'!W29</f>
        <v>0</v>
      </c>
      <c r="X12" s="29">
        <f>'KTW-4,5,8 p1 - Adjust Issues'!X24+'KTW-4,5,8 p1 - Adjust Issues'!X28+'KTW-4,5,8 p1 - Adjust Issues'!X29</f>
        <v>0</v>
      </c>
      <c r="Y12" s="92">
        <f>SUM(P12:X12)</f>
        <v>872291.60501888115</v>
      </c>
      <c r="Z12" s="92">
        <f>'KTW-4,5,8 p1 - Adjust Issues'!Z24+'KTW-4,5,8 p1 - Adjust Issues'!Z28+'KTW-4,5,8 p1 - Adjust Issues'!Z29</f>
        <v>5331181.0497620348</v>
      </c>
      <c r="AA12" s="29">
        <f>'KTW-4,5,8 p1 - Adjust Issues'!AA24+'KTW-4,5,8 p1 - Adjust Issues'!AA28+'KTW-4,5,8 p1 - Adjust Issues'!AA29</f>
        <v>459931.69999999984</v>
      </c>
      <c r="AB12" s="92">
        <f>'KTW-4,5,8 p1 - Adjust Issues'!AB24+'KTW-4,5,8 p1 - Adjust Issues'!AB28+'KTW-4,5,8 p1 - Adjust Issues'!AB29</f>
        <v>459931.69999999984</v>
      </c>
    </row>
    <row r="13" spans="1:28" x14ac:dyDescent="0.2">
      <c r="A13" s="5">
        <f>+A12+1</f>
        <v>3</v>
      </c>
      <c r="B13" s="1" t="s">
        <v>176</v>
      </c>
      <c r="C13" s="29">
        <f>'KTW-4,5,8 p1 - Adjust Issues'!C30</f>
        <v>0</v>
      </c>
      <c r="D13" s="29">
        <f>'KTW-4,5,8 p1 - Adjust Issues'!D30</f>
        <v>0</v>
      </c>
      <c r="E13" s="29">
        <f>'KTW-4,5,8 p1 - Adjust Issues'!E30</f>
        <v>0</v>
      </c>
      <c r="F13" s="29">
        <f>'KTW-4,5,8 p1 - Adjust Issues'!F30</f>
        <v>0</v>
      </c>
      <c r="G13" s="29">
        <f>'KTW-4,5,8 p1 - Adjust Issues'!G30</f>
        <v>0</v>
      </c>
      <c r="H13" s="29">
        <f>'KTW-4,5,8 p1 - Adjust Issues'!H30</f>
        <v>0</v>
      </c>
      <c r="I13" s="29">
        <f>'KTW-4,5,8 p1 - Adjust Issues'!I30</f>
        <v>0</v>
      </c>
      <c r="J13" s="29">
        <f>'KTW-4,5,8 p1 - Adjust Issues'!J30</f>
        <v>0</v>
      </c>
      <c r="K13" s="29">
        <f>'KTW-4,5,8 p1 - Adjust Issues'!K30</f>
        <v>0</v>
      </c>
      <c r="L13" s="29">
        <f>'KTW-4,5,8 p1 - Adjust Issues'!L30</f>
        <v>0</v>
      </c>
      <c r="M13" s="29">
        <f>'KTW-4,5,8 p1 - Adjust Issues'!M30</f>
        <v>0</v>
      </c>
      <c r="N13" s="29">
        <f>'KTW-4,5,8 p1 - Adjust Issues'!N30</f>
        <v>0</v>
      </c>
      <c r="O13" s="92">
        <f t="shared" si="0"/>
        <v>0</v>
      </c>
      <c r="P13" s="29">
        <f>'KTW-4,5,8 p1 - Adjust Issues'!P30</f>
        <v>0</v>
      </c>
      <c r="Q13" s="29">
        <f>'KTW-4,5,8 p1 - Adjust Issues'!Q30</f>
        <v>0</v>
      </c>
      <c r="R13" s="29">
        <f>'KTW-4,5,8 p1 - Adjust Issues'!R30</f>
        <v>0</v>
      </c>
      <c r="S13" s="29">
        <f>'KTW-4,5,8 p1 - Adjust Issues'!S30</f>
        <v>906066.07278298936</v>
      </c>
      <c r="T13" s="29">
        <f>'KTW-4,5,8 p1 - Adjust Issues'!T30</f>
        <v>0</v>
      </c>
      <c r="U13" s="29">
        <f>'KTW-4,5,8 p1 - Adjust Issues'!U30</f>
        <v>629634.86844113655</v>
      </c>
      <c r="V13" s="29">
        <f>'KTW-4,5,8 p1 - Adjust Issues'!V30</f>
        <v>0</v>
      </c>
      <c r="W13" s="29">
        <f>'KTW-4,5,8 p1 - Adjust Issues'!W30</f>
        <v>0</v>
      </c>
      <c r="X13" s="29">
        <f>'KTW-4,5,8 p1 - Adjust Issues'!X30</f>
        <v>0</v>
      </c>
      <c r="Y13" s="92">
        <f>SUM(P13:X13)</f>
        <v>1535700.9412241259</v>
      </c>
      <c r="Z13" s="92">
        <f>'KTW-4,5,8 p1 - Adjust Issues'!Z30</f>
        <v>1535700.9412241259</v>
      </c>
      <c r="AA13" s="29">
        <f>'KTW-4,5,8 p1 - Adjust Issues'!AA30</f>
        <v>816145.51874545321</v>
      </c>
      <c r="AB13" s="92">
        <f>'KTW-4,5,8 p1 - Adjust Issues'!AB30</f>
        <v>816145.51874545321</v>
      </c>
    </row>
    <row r="14" spans="1:28" x14ac:dyDescent="0.2">
      <c r="A14" s="5">
        <f>+A13+1</f>
        <v>4</v>
      </c>
      <c r="B14" s="1" t="s">
        <v>177</v>
      </c>
      <c r="C14" s="29">
        <f>'KTW-4,5,8 p1 - Adjust Issues'!C49</f>
        <v>0</v>
      </c>
      <c r="D14" s="29">
        <f>'KTW-4,5,8 p1 - Adjust Issues'!D49</f>
        <v>0</v>
      </c>
      <c r="E14" s="29">
        <f>'KTW-4,5,8 p1 - Adjust Issues'!E49</f>
        <v>-1309</v>
      </c>
      <c r="F14" s="29">
        <f>'KTW-4,5,8 p1 - Adjust Issues'!F49</f>
        <v>0</v>
      </c>
      <c r="G14" s="29">
        <f>'KTW-4,5,8 p1 - Adjust Issues'!G49</f>
        <v>0</v>
      </c>
      <c r="H14" s="29">
        <f>'KTW-4,5,8 p1 - Adjust Issues'!H49</f>
        <v>81356</v>
      </c>
      <c r="I14" s="29">
        <f>'KTW-4,5,8 p1 - Adjust Issues'!I49</f>
        <v>0</v>
      </c>
      <c r="J14" s="29">
        <f>'KTW-4,5,8 p1 - Adjust Issues'!J49</f>
        <v>-36</v>
      </c>
      <c r="K14" s="29">
        <f>'KTW-4,5,8 p1 - Adjust Issues'!K49</f>
        <v>0</v>
      </c>
      <c r="L14" s="29">
        <f>'KTW-4,5,8 p1 - Adjust Issues'!L49</f>
        <v>-1829</v>
      </c>
      <c r="M14" s="29">
        <f>'KTW-4,5,8 p1 - Adjust Issues'!M49</f>
        <v>0</v>
      </c>
      <c r="N14" s="29">
        <f>'KTW-4,5,8 p1 - Adjust Issues'!N49</f>
        <v>0</v>
      </c>
      <c r="O14" s="92">
        <f t="shared" si="0"/>
        <v>78182</v>
      </c>
      <c r="P14" s="29">
        <f>'KTW-4,5,8 p1 - Adjust Issues'!P49</f>
        <v>0</v>
      </c>
      <c r="Q14" s="29">
        <f>'KTW-4,5,8 p1 - Adjust Issues'!Q49</f>
        <v>0</v>
      </c>
      <c r="R14" s="29">
        <f>'KTW-4,5,8 p1 - Adjust Issues'!R49</f>
        <v>0</v>
      </c>
      <c r="S14" s="29">
        <f>'KTW-4,5,8 p1 - Adjust Issues'!S49</f>
        <v>501444</v>
      </c>
      <c r="T14" s="29">
        <f>'KTW-4,5,8 p1 - Adjust Issues'!T49</f>
        <v>12977</v>
      </c>
      <c r="U14" s="29">
        <f>'KTW-4,5,8 p1 - Adjust Issues'!U49</f>
        <v>0</v>
      </c>
      <c r="V14" s="29">
        <f>'KTW-4,5,8 p1 - Adjust Issues'!V49</f>
        <v>127186</v>
      </c>
      <c r="W14" s="29">
        <f>'KTW-4,5,8 p1 - Adjust Issues'!W49</f>
        <v>0</v>
      </c>
      <c r="X14" s="29">
        <f>'KTW-4,5,8 p1 - Adjust Issues'!X49</f>
        <v>0</v>
      </c>
      <c r="Y14" s="92">
        <f>SUM(P14:X14)</f>
        <v>641607</v>
      </c>
      <c r="Z14" s="92">
        <f>'KTW-4,5,8 p1 - Adjust Issues'!Z49</f>
        <v>719789</v>
      </c>
      <c r="AA14" s="29">
        <f>'KTW-4,5,8 p1 - Adjust Issues'!AA49</f>
        <v>494176</v>
      </c>
      <c r="AB14" s="92">
        <f>'KTW-4,5,8 p1 - Adjust Issues'!AB49</f>
        <v>494176</v>
      </c>
    </row>
    <row r="15" spans="1:28" x14ac:dyDescent="0.2">
      <c r="A15" s="5">
        <f>+A14+1</f>
        <v>5</v>
      </c>
      <c r="B15" s="1" t="s">
        <v>178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92">
        <f t="shared" si="0"/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92">
        <f>SUM(P15:X15)</f>
        <v>0</v>
      </c>
      <c r="Z15" s="92">
        <v>0</v>
      </c>
      <c r="AA15" s="29">
        <v>0</v>
      </c>
      <c r="AB15" s="92">
        <v>0</v>
      </c>
    </row>
    <row r="16" spans="1:28" x14ac:dyDescent="0.2">
      <c r="B16" s="1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92"/>
      <c r="P16" s="29"/>
      <c r="Q16" s="29"/>
      <c r="R16" s="29"/>
      <c r="S16" s="29"/>
      <c r="T16" s="29"/>
      <c r="U16" s="29"/>
      <c r="V16" s="29"/>
      <c r="W16" s="29"/>
      <c r="X16" s="29"/>
      <c r="Y16" s="92"/>
      <c r="Z16" s="92"/>
      <c r="AA16" s="29"/>
      <c r="AB16" s="92"/>
    </row>
    <row r="17" spans="1:28" x14ac:dyDescent="0.2">
      <c r="A17" s="5">
        <f>+A15+1</f>
        <v>6</v>
      </c>
      <c r="B17" s="1" t="s">
        <v>141</v>
      </c>
      <c r="C17" s="29">
        <f t="shared" ref="C17:L17" si="1">+C11-C12-C13-C14-C15</f>
        <v>-222857.29322464485</v>
      </c>
      <c r="D17" s="29">
        <f t="shared" si="1"/>
        <v>2267689.5998740615</v>
      </c>
      <c r="E17" s="29">
        <f t="shared" si="1"/>
        <v>-40787.985356000201</v>
      </c>
      <c r="F17" s="29">
        <f t="shared" si="1"/>
        <v>50455.099999999067</v>
      </c>
      <c r="G17" s="29">
        <f t="shared" si="1"/>
        <v>26272.787344681186</v>
      </c>
      <c r="H17" s="29">
        <f t="shared" si="1"/>
        <v>-81356</v>
      </c>
      <c r="I17" s="29">
        <f t="shared" si="1"/>
        <v>284212.74689059961</v>
      </c>
      <c r="J17" s="29">
        <f t="shared" si="1"/>
        <v>-4030.315266666667</v>
      </c>
      <c r="K17" s="29">
        <f t="shared" si="1"/>
        <v>-110000</v>
      </c>
      <c r="L17" s="29">
        <f t="shared" si="1"/>
        <v>32679.694657576569</v>
      </c>
      <c r="M17" s="29">
        <f t="shared" ref="M17" si="2">+M11-M12-M13-M14-M15</f>
        <v>-14027.744708571439</v>
      </c>
      <c r="N17" s="29">
        <f t="shared" ref="N17:O17" si="3">+N11-N12-N13-N14-N15</f>
        <v>0</v>
      </c>
      <c r="O17" s="92">
        <f t="shared" si="3"/>
        <v>2188250.5902110348</v>
      </c>
      <c r="P17" s="29">
        <f t="shared" ref="P17:T17" si="4">+P11-P12-P13-P14-P15</f>
        <v>-404649.229845419</v>
      </c>
      <c r="Q17" s="29">
        <f t="shared" si="4"/>
        <v>-160485.37517346221</v>
      </c>
      <c r="R17" s="29">
        <f t="shared" si="4"/>
        <v>-307157</v>
      </c>
      <c r="S17" s="29">
        <f t="shared" si="4"/>
        <v>-1407510.0727829894</v>
      </c>
      <c r="T17" s="29">
        <f t="shared" si="4"/>
        <v>-12977</v>
      </c>
      <c r="U17" s="29">
        <f t="shared" ref="U17:V17" si="5">+U11-U12-U13-U14-U15</f>
        <v>-629634.86844113655</v>
      </c>
      <c r="V17" s="29">
        <f t="shared" si="5"/>
        <v>-127186</v>
      </c>
      <c r="W17" s="29">
        <f t="shared" ref="W17:X17" si="6">+W11-W12-W13-W14-W15</f>
        <v>0</v>
      </c>
      <c r="X17" s="29">
        <f t="shared" si="6"/>
        <v>0</v>
      </c>
      <c r="Y17" s="92">
        <f t="shared" ref="Y17:AB17" si="7">+Y11-Y12-Y13-Y14-Y15</f>
        <v>-3049599.5462430073</v>
      </c>
      <c r="Z17" s="92">
        <f t="shared" si="7"/>
        <v>-861348.95603197231</v>
      </c>
      <c r="AA17" s="29">
        <f t="shared" si="7"/>
        <v>-1770253.2187454531</v>
      </c>
      <c r="AB17" s="92">
        <f t="shared" si="7"/>
        <v>-1770253.2187454531</v>
      </c>
    </row>
    <row r="18" spans="1:28" x14ac:dyDescent="0.2">
      <c r="B18" s="1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386"/>
      <c r="P18" s="23"/>
      <c r="Q18" s="23"/>
      <c r="R18" s="23"/>
      <c r="S18" s="23"/>
      <c r="T18" s="23"/>
      <c r="U18" s="23"/>
      <c r="V18" s="23"/>
      <c r="W18" s="23"/>
      <c r="X18" s="23"/>
      <c r="Y18" s="386"/>
      <c r="Z18" s="386"/>
      <c r="AA18" s="23"/>
      <c r="AB18" s="386"/>
    </row>
    <row r="19" spans="1:28" x14ac:dyDescent="0.2">
      <c r="A19" s="5">
        <f>+A17+1</f>
        <v>7</v>
      </c>
      <c r="B19" s="1" t="s">
        <v>478</v>
      </c>
      <c r="C19" s="29">
        <f>ROUND(+C17*$C$32,0)</f>
        <v>-46800</v>
      </c>
      <c r="D19" s="29">
        <f t="shared" ref="D19:S19" si="8">ROUND(+D17*$C$32,0)</f>
        <v>476215</v>
      </c>
      <c r="E19" s="29">
        <f t="shared" si="8"/>
        <v>-8565</v>
      </c>
      <c r="F19" s="29">
        <f t="shared" si="8"/>
        <v>10596</v>
      </c>
      <c r="G19" s="29">
        <f t="shared" si="8"/>
        <v>5517</v>
      </c>
      <c r="H19" s="29">
        <f t="shared" si="8"/>
        <v>-17085</v>
      </c>
      <c r="I19" s="29">
        <f t="shared" si="8"/>
        <v>59685</v>
      </c>
      <c r="J19" s="29">
        <f t="shared" si="8"/>
        <v>-846</v>
      </c>
      <c r="K19" s="29">
        <f t="shared" si="8"/>
        <v>-23100</v>
      </c>
      <c r="L19" s="29">
        <f t="shared" si="8"/>
        <v>6863</v>
      </c>
      <c r="M19" s="29">
        <f t="shared" ref="M19" si="9">ROUND(+M17*$C$32,0)</f>
        <v>-2946</v>
      </c>
      <c r="N19" s="29">
        <f t="shared" ref="N19:O19" si="10">ROUND(+N17*$C$32,0)</f>
        <v>0</v>
      </c>
      <c r="O19" s="92">
        <f t="shared" si="10"/>
        <v>459533</v>
      </c>
      <c r="P19" s="29">
        <f>ROUND(+P17*$C$32,0)</f>
        <v>-84976</v>
      </c>
      <c r="Q19" s="29">
        <f t="shared" si="8"/>
        <v>-33702</v>
      </c>
      <c r="R19" s="29">
        <f t="shared" si="8"/>
        <v>-64503</v>
      </c>
      <c r="S19" s="29">
        <f t="shared" si="8"/>
        <v>-295577</v>
      </c>
      <c r="T19" s="29">
        <f>ROUND(+T17*$C$32,0)</f>
        <v>-2725</v>
      </c>
      <c r="U19" s="29">
        <f t="shared" ref="U19:V19" si="11">ROUND(+U17*$C$32,0)</f>
        <v>-132223</v>
      </c>
      <c r="V19" s="29">
        <f t="shared" si="11"/>
        <v>-26709</v>
      </c>
      <c r="W19" s="29">
        <f t="shared" ref="W19" si="12">ROUND(+W17*$C$32,0)</f>
        <v>0</v>
      </c>
      <c r="X19" s="29">
        <f>'KTW-3 p5 - Taxes'!M33</f>
        <v>25000</v>
      </c>
      <c r="Y19" s="92">
        <f t="shared" ref="Y19:AB19" si="13">ROUND(+Y17*$C$32,0)</f>
        <v>-640416</v>
      </c>
      <c r="Z19" s="92">
        <f t="shared" si="13"/>
        <v>-180883</v>
      </c>
      <c r="AA19" s="29">
        <f t="shared" si="13"/>
        <v>-371753</v>
      </c>
      <c r="AB19" s="92">
        <f t="shared" si="13"/>
        <v>-371753</v>
      </c>
    </row>
    <row r="20" spans="1:28" x14ac:dyDescent="0.2">
      <c r="A20" s="5">
        <f>+A19+1</f>
        <v>8</v>
      </c>
      <c r="B20" s="1" t="s">
        <v>183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92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92">
        <f>SUM(P20:X20)</f>
        <v>0</v>
      </c>
      <c r="Z20" s="92">
        <f>O20+Y20</f>
        <v>0</v>
      </c>
      <c r="AA20" s="29">
        <v>0</v>
      </c>
      <c r="AB20" s="92">
        <f>AA20</f>
        <v>0</v>
      </c>
    </row>
    <row r="21" spans="1:28" x14ac:dyDescent="0.2">
      <c r="B21" s="1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92"/>
      <c r="P21" s="29"/>
      <c r="Q21" s="29"/>
      <c r="R21" s="29"/>
      <c r="S21" s="29"/>
      <c r="T21" s="29"/>
      <c r="U21" s="29"/>
      <c r="V21" s="29"/>
      <c r="W21" s="29"/>
      <c r="X21" s="29"/>
      <c r="Y21" s="92"/>
      <c r="Z21" s="92"/>
      <c r="AA21" s="29"/>
      <c r="AB21" s="92"/>
    </row>
    <row r="22" spans="1:28" x14ac:dyDescent="0.2">
      <c r="A22" s="5">
        <f>+A20+1</f>
        <v>9</v>
      </c>
      <c r="B22" s="1" t="s">
        <v>184</v>
      </c>
      <c r="C22" s="29">
        <f t="shared" ref="C22:L22" si="14">C19+C20</f>
        <v>-46800</v>
      </c>
      <c r="D22" s="29">
        <f t="shared" si="14"/>
        <v>476215</v>
      </c>
      <c r="E22" s="29">
        <f t="shared" si="14"/>
        <v>-8565</v>
      </c>
      <c r="F22" s="29">
        <f t="shared" si="14"/>
        <v>10596</v>
      </c>
      <c r="G22" s="29">
        <f t="shared" si="14"/>
        <v>5517</v>
      </c>
      <c r="H22" s="29">
        <f t="shared" si="14"/>
        <v>-17085</v>
      </c>
      <c r="I22" s="29">
        <f t="shared" si="14"/>
        <v>59685</v>
      </c>
      <c r="J22" s="29">
        <f t="shared" si="14"/>
        <v>-846</v>
      </c>
      <c r="K22" s="29">
        <f t="shared" si="14"/>
        <v>-23100</v>
      </c>
      <c r="L22" s="29">
        <f t="shared" si="14"/>
        <v>6863</v>
      </c>
      <c r="M22" s="29">
        <f t="shared" ref="M22" si="15">M19+M20</f>
        <v>-2946</v>
      </c>
      <c r="N22" s="29">
        <f t="shared" ref="N22:O22" si="16">N19+N20</f>
        <v>0</v>
      </c>
      <c r="O22" s="92">
        <f t="shared" si="16"/>
        <v>459533</v>
      </c>
      <c r="P22" s="29">
        <f t="shared" ref="P22:T22" si="17">P19+P20</f>
        <v>-84976</v>
      </c>
      <c r="Q22" s="29">
        <f t="shared" si="17"/>
        <v>-33702</v>
      </c>
      <c r="R22" s="29">
        <f t="shared" si="17"/>
        <v>-64503</v>
      </c>
      <c r="S22" s="29">
        <f t="shared" si="17"/>
        <v>-295577</v>
      </c>
      <c r="T22" s="29">
        <f t="shared" si="17"/>
        <v>-2725</v>
      </c>
      <c r="U22" s="29">
        <f t="shared" ref="U22:V22" si="18">U19+U20</f>
        <v>-132223</v>
      </c>
      <c r="V22" s="29">
        <f t="shared" si="18"/>
        <v>-26709</v>
      </c>
      <c r="W22" s="29">
        <f t="shared" ref="W22" si="19">W19+W20</f>
        <v>0</v>
      </c>
      <c r="X22" s="29">
        <v>0</v>
      </c>
      <c r="Y22" s="92">
        <f t="shared" ref="Y22:AB22" si="20">Y19+Y20</f>
        <v>-640416</v>
      </c>
      <c r="Z22" s="92">
        <f t="shared" si="20"/>
        <v>-180883</v>
      </c>
      <c r="AA22" s="29">
        <f t="shared" si="20"/>
        <v>-371753</v>
      </c>
      <c r="AB22" s="92">
        <f t="shared" si="20"/>
        <v>-371753</v>
      </c>
    </row>
    <row r="23" spans="1:28" x14ac:dyDescent="0.2">
      <c r="B23" s="1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92"/>
      <c r="P23" s="29"/>
      <c r="Q23" s="29"/>
      <c r="R23" s="29"/>
      <c r="S23" s="29"/>
      <c r="T23" s="29"/>
      <c r="U23" s="29"/>
      <c r="V23" s="29"/>
      <c r="W23" s="29"/>
      <c r="X23" s="29"/>
      <c r="Y23" s="92"/>
      <c r="Z23" s="92"/>
      <c r="AA23" s="29"/>
      <c r="AB23" s="92"/>
    </row>
    <row r="24" spans="1:28" x14ac:dyDescent="0.2">
      <c r="A24" s="5">
        <f>+A22+1</f>
        <v>10</v>
      </c>
      <c r="B24" s="1" t="s">
        <v>185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92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f>X19</f>
        <v>25000</v>
      </c>
      <c r="Y24" s="92">
        <v>0</v>
      </c>
      <c r="Z24" s="92">
        <v>0</v>
      </c>
      <c r="AA24" s="29">
        <v>0</v>
      </c>
      <c r="AB24" s="92">
        <v>0</v>
      </c>
    </row>
    <row r="25" spans="1:28" x14ac:dyDescent="0.2">
      <c r="A25" s="5">
        <f>+A24+1</f>
        <v>11</v>
      </c>
      <c r="B25" s="1" t="s">
        <v>186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92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92">
        <v>0</v>
      </c>
      <c r="Z25" s="92">
        <v>0</v>
      </c>
      <c r="AA25" s="29">
        <v>0</v>
      </c>
      <c r="AB25" s="92">
        <v>0</v>
      </c>
    </row>
    <row r="26" spans="1:28" x14ac:dyDescent="0.2">
      <c r="A26" s="5">
        <f>+A25+1</f>
        <v>12</v>
      </c>
      <c r="B26" s="1" t="s">
        <v>187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92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92">
        <v>0</v>
      </c>
      <c r="Z26" s="92">
        <v>0</v>
      </c>
      <c r="AA26" s="29">
        <v>0</v>
      </c>
      <c r="AB26" s="92">
        <v>0</v>
      </c>
    </row>
    <row r="27" spans="1:28" x14ac:dyDescent="0.2">
      <c r="B27" s="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92"/>
      <c r="P27" s="29"/>
      <c r="Q27" s="29"/>
      <c r="R27" s="29"/>
      <c r="S27" s="29"/>
      <c r="T27" s="29"/>
      <c r="U27" s="29"/>
      <c r="V27" s="29"/>
      <c r="W27" s="29"/>
      <c r="X27" s="29"/>
      <c r="Y27" s="92"/>
      <c r="Z27" s="92"/>
      <c r="AA27" s="29"/>
      <c r="AB27" s="92"/>
    </row>
    <row r="28" spans="1:28" x14ac:dyDescent="0.2">
      <c r="A28" s="5">
        <f>+A26+1</f>
        <v>13</v>
      </c>
      <c r="B28" s="1" t="s">
        <v>188</v>
      </c>
      <c r="C28" s="29">
        <f t="shared" ref="C28:L28" si="21">C22+C24+C26</f>
        <v>-46800</v>
      </c>
      <c r="D28" s="29">
        <f t="shared" si="21"/>
        <v>476215</v>
      </c>
      <c r="E28" s="29">
        <f t="shared" si="21"/>
        <v>-8565</v>
      </c>
      <c r="F28" s="29">
        <f t="shared" si="21"/>
        <v>10596</v>
      </c>
      <c r="G28" s="29">
        <f t="shared" si="21"/>
        <v>5517</v>
      </c>
      <c r="H28" s="29">
        <f t="shared" si="21"/>
        <v>-17085</v>
      </c>
      <c r="I28" s="29">
        <f t="shared" si="21"/>
        <v>59685</v>
      </c>
      <c r="J28" s="29">
        <f t="shared" si="21"/>
        <v>-846</v>
      </c>
      <c r="K28" s="29">
        <f t="shared" si="21"/>
        <v>-23100</v>
      </c>
      <c r="L28" s="29">
        <f t="shared" si="21"/>
        <v>6863</v>
      </c>
      <c r="M28" s="29">
        <f t="shared" ref="M28" si="22">M22+M24+M26</f>
        <v>-2946</v>
      </c>
      <c r="N28" s="29">
        <f t="shared" ref="N28:O28" si="23">N22+N24+N26</f>
        <v>0</v>
      </c>
      <c r="O28" s="92">
        <f t="shared" si="23"/>
        <v>459533</v>
      </c>
      <c r="P28" s="29">
        <f t="shared" ref="P28:T28" si="24">P22+P24+P26</f>
        <v>-84976</v>
      </c>
      <c r="Q28" s="29">
        <f t="shared" si="24"/>
        <v>-33702</v>
      </c>
      <c r="R28" s="29">
        <f t="shared" si="24"/>
        <v>-64503</v>
      </c>
      <c r="S28" s="29">
        <f t="shared" si="24"/>
        <v>-295577</v>
      </c>
      <c r="T28" s="29">
        <f t="shared" si="24"/>
        <v>-2725</v>
      </c>
      <c r="U28" s="29">
        <f t="shared" ref="U28:V28" si="25">U22+U24+U26</f>
        <v>-132223</v>
      </c>
      <c r="V28" s="29">
        <f t="shared" si="25"/>
        <v>-26709</v>
      </c>
      <c r="W28" s="29">
        <f t="shared" ref="W28:X28" si="26">W22+W24+W26</f>
        <v>0</v>
      </c>
      <c r="X28" s="29">
        <f t="shared" si="26"/>
        <v>25000</v>
      </c>
      <c r="Y28" s="92">
        <f t="shared" ref="Y28:AB28" si="27">Y22+Y24+Y26</f>
        <v>-640416</v>
      </c>
      <c r="Z28" s="92">
        <f t="shared" si="27"/>
        <v>-180883</v>
      </c>
      <c r="AA28" s="29">
        <f t="shared" si="27"/>
        <v>-371753</v>
      </c>
      <c r="AB28" s="92">
        <f t="shared" si="27"/>
        <v>-371753</v>
      </c>
    </row>
    <row r="29" spans="1:28" x14ac:dyDescent="0.2">
      <c r="A29" s="5"/>
      <c r="B29" s="1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92"/>
      <c r="P29" s="29"/>
      <c r="Q29" s="29"/>
      <c r="R29" s="29"/>
      <c r="S29" s="29"/>
      <c r="T29" s="29"/>
      <c r="U29" s="29"/>
      <c r="V29" s="29"/>
      <c r="W29" s="29"/>
      <c r="X29" s="29"/>
      <c r="Y29" s="92"/>
      <c r="Z29" s="92"/>
      <c r="AA29" s="29"/>
      <c r="AB29" s="92"/>
    </row>
    <row r="30" spans="1:28" x14ac:dyDescent="0.2">
      <c r="A30" s="5"/>
      <c r="B30" s="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91"/>
      <c r="P30" s="11"/>
      <c r="Q30" s="11"/>
      <c r="R30" s="11"/>
      <c r="S30" s="11"/>
      <c r="T30" s="11"/>
      <c r="U30" s="11"/>
      <c r="V30" s="11"/>
      <c r="W30" s="11"/>
      <c r="X30" s="11"/>
      <c r="Y30" s="91"/>
      <c r="Z30" s="91"/>
      <c r="AA30" s="11"/>
      <c r="AB30" s="91"/>
    </row>
    <row r="31" spans="1:28" x14ac:dyDescent="0.2">
      <c r="A31" s="1"/>
      <c r="B31" s="1"/>
      <c r="C31" s="11"/>
      <c r="D31" s="11"/>
      <c r="E31" s="11"/>
      <c r="F31" s="11"/>
      <c r="H31" s="11"/>
      <c r="I31" s="11"/>
      <c r="J31" s="11"/>
      <c r="K31" s="11"/>
      <c r="L31" s="11"/>
      <c r="M31" s="11"/>
      <c r="N31" s="11"/>
      <c r="O31" s="91"/>
      <c r="P31" s="11"/>
      <c r="Q31" s="11"/>
      <c r="R31" s="11"/>
      <c r="S31" s="11"/>
      <c r="T31" s="11"/>
      <c r="U31" s="11"/>
      <c r="V31" s="11"/>
      <c r="W31" s="11"/>
      <c r="X31" s="11"/>
      <c r="Y31" s="91"/>
      <c r="Z31" s="91"/>
      <c r="AA31" s="11"/>
      <c r="AB31" s="91"/>
    </row>
    <row r="32" spans="1:28" x14ac:dyDescent="0.2">
      <c r="A32" s="1" t="s">
        <v>479</v>
      </c>
      <c r="B32" s="1"/>
      <c r="C32" s="23">
        <f>'KTW-3 p8 - Cost of Cap'!$C$43</f>
        <v>0.21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91"/>
      <c r="P32" s="11"/>
      <c r="Q32" s="11"/>
      <c r="R32" s="11"/>
      <c r="S32" s="11"/>
      <c r="T32" s="11"/>
      <c r="U32" s="11"/>
      <c r="V32" s="11"/>
      <c r="W32" s="11"/>
      <c r="X32" s="11"/>
      <c r="Y32" s="91"/>
      <c r="Z32" s="91"/>
      <c r="AA32" s="11"/>
      <c r="AB32" s="91"/>
    </row>
    <row r="33" spans="1:28" x14ac:dyDescent="0.2">
      <c r="A33" s="1"/>
      <c r="B33" s="1"/>
      <c r="C33" s="11"/>
      <c r="G33" s="11"/>
      <c r="O33" s="90"/>
      <c r="Y33" s="90"/>
      <c r="Z33" s="90"/>
      <c r="AB33" s="90"/>
    </row>
    <row r="34" spans="1:28" x14ac:dyDescent="0.2">
      <c r="A34" s="1"/>
      <c r="B34" s="1"/>
      <c r="C34" s="11"/>
      <c r="D34" s="11"/>
      <c r="E34" s="11"/>
      <c r="F34" s="11"/>
      <c r="G34" s="11"/>
      <c r="O34" s="90"/>
      <c r="P34" s="11"/>
      <c r="W34" s="11"/>
      <c r="X34" s="11"/>
      <c r="Y34" s="91"/>
      <c r="Z34" s="91"/>
      <c r="AA34" s="11"/>
      <c r="AB34" s="91"/>
    </row>
    <row r="35" spans="1:28" x14ac:dyDescent="0.2">
      <c r="A35" s="5">
        <v>1</v>
      </c>
      <c r="B35" s="1" t="s">
        <v>203</v>
      </c>
      <c r="C35" s="8">
        <f>'KTW-4,5,8 p1 - Adjust Issues'!C34+'KTW-4,5,8 p1 - Adjust Issues'!C27-'KTW-4,5,8 p1 - Adjust Issues'!C49</f>
        <v>-222857.29322464485</v>
      </c>
      <c r="D35" s="8">
        <f>'KTW-4,5,8 p1 - Adjust Issues'!D34+'KTW-4,5,8 p1 - Adjust Issues'!D27-'KTW-4,5,8 p1 - Adjust Issues'!D49</f>
        <v>2267689.5998740615</v>
      </c>
      <c r="E35" s="8">
        <f>'KTW-4,5,8 p1 - Adjust Issues'!E34+'KTW-4,5,8 p1 - Adjust Issues'!E27-'KTW-4,5,8 p1 - Adjust Issues'!E49</f>
        <v>-40787.985356000201</v>
      </c>
      <c r="F35" s="8">
        <f>'KTW-4,5,8 p1 - Adjust Issues'!F34+'KTW-4,5,8 p1 - Adjust Issues'!F27-'KTW-4,5,8 p1 - Adjust Issues'!F49</f>
        <v>50455.099999999067</v>
      </c>
      <c r="G35" s="8">
        <f>'KTW-4,5,8 p1 - Adjust Issues'!G34+'KTW-4,5,8 p1 - Adjust Issues'!G27-'KTW-4,5,8 p1 - Adjust Issues'!G49</f>
        <v>26272.787344681186</v>
      </c>
      <c r="H35" s="8">
        <f>'KTW-4,5,8 p1 - Adjust Issues'!H34+'KTW-4,5,8 p1 - Adjust Issues'!H27-'KTW-4,5,8 p1 - Adjust Issues'!H49</f>
        <v>-81356</v>
      </c>
      <c r="I35" s="8">
        <f>'KTW-4,5,8 p1 - Adjust Issues'!I34+'KTW-4,5,8 p1 - Adjust Issues'!I27-'KTW-4,5,8 p1 - Adjust Issues'!I49</f>
        <v>284212.74689059961</v>
      </c>
      <c r="J35" s="8">
        <f>'KTW-4,5,8 p1 - Adjust Issues'!J34+'KTW-4,5,8 p1 - Adjust Issues'!J27-'KTW-4,5,8 p1 - Adjust Issues'!J49</f>
        <v>-4030.315266666667</v>
      </c>
      <c r="K35" s="8">
        <f>'KTW-4,5,8 p1 - Adjust Issues'!K34+'KTW-4,5,8 p1 - Adjust Issues'!K27-'KTW-4,5,8 p1 - Adjust Issues'!K49</f>
        <v>-110000</v>
      </c>
      <c r="L35" s="8">
        <f>'KTW-4,5,8 p1 - Adjust Issues'!L34+'KTW-4,5,8 p1 - Adjust Issues'!L27-'KTW-4,5,8 p1 - Adjust Issues'!L49</f>
        <v>32679.694657576569</v>
      </c>
      <c r="M35" s="8">
        <f>'KTW-4,5,8 p1 - Adjust Issues'!M34+'KTW-4,5,8 p1 - Adjust Issues'!M27-'KTW-4,5,8 p1 - Adjust Issues'!M49</f>
        <v>-14027.744708571439</v>
      </c>
      <c r="N35" s="8">
        <f>'KTW-4,5,8 p1 - Adjust Issues'!N34+'KTW-4,5,8 p1 - Adjust Issues'!N27-'KTW-4,5,8 p1 - Adjust Issues'!N49</f>
        <v>0</v>
      </c>
      <c r="O35" s="92">
        <f t="shared" ref="O35" si="28">SUM(C35:N35)</f>
        <v>2188250.5902110348</v>
      </c>
      <c r="P35" s="8">
        <f>'KTW-4,5,8 p1 - Adjust Issues'!P34+'KTW-4,5,8 p1 - Adjust Issues'!P27-'KTW-4,5,8 p1 - Adjust Issues'!P49</f>
        <v>-404649.229845419</v>
      </c>
      <c r="Q35" s="8">
        <f>'KTW-4,5,8 p1 - Adjust Issues'!Q34+'KTW-4,5,8 p1 - Adjust Issues'!Q27-'KTW-4,5,8 p1 - Adjust Issues'!Q49</f>
        <v>-160485.37517346221</v>
      </c>
      <c r="R35" s="8">
        <f>'KTW-4,5,8 p1 - Adjust Issues'!R34+'KTW-4,5,8 p1 - Adjust Issues'!R27-'KTW-4,5,8 p1 - Adjust Issues'!R49</f>
        <v>-307157</v>
      </c>
      <c r="S35" s="8">
        <f>'KTW-4,5,8 p1 - Adjust Issues'!S34+'KTW-4,5,8 p1 - Adjust Issues'!S27-'KTW-4,5,8 p1 - Adjust Issues'!S49</f>
        <v>-1407510.0727829894</v>
      </c>
      <c r="T35" s="8">
        <f>'KTW-4,5,8 p1 - Adjust Issues'!T34+'KTW-4,5,8 p1 - Adjust Issues'!T27-'KTW-4,5,8 p1 - Adjust Issues'!T49</f>
        <v>-12977</v>
      </c>
      <c r="U35" s="8">
        <f>'KTW-4,5,8 p1 - Adjust Issues'!U34+'KTW-4,5,8 p1 - Adjust Issues'!U27-'KTW-4,5,8 p1 - Adjust Issues'!U49</f>
        <v>-629634.86844113655</v>
      </c>
      <c r="V35" s="8">
        <f>'KTW-4,5,8 p1 - Adjust Issues'!V34+'KTW-4,5,8 p1 - Adjust Issues'!V27-'KTW-4,5,8 p1 - Adjust Issues'!V49</f>
        <v>-127186</v>
      </c>
      <c r="W35" s="8">
        <f>'KTW-4,5,8 p1 - Adjust Issues'!W34+'KTW-4,5,8 p1 - Adjust Issues'!W27-'KTW-4,5,8 p1 - Adjust Issues'!W49</f>
        <v>0</v>
      </c>
      <c r="X35" s="8">
        <f>'KTW-4,5,8 p1 - Adjust Issues'!X34+'KTW-4,5,8 p1 - Adjust Issues'!X27-'KTW-4,5,8 p1 - Adjust Issues'!X49</f>
        <v>0</v>
      </c>
      <c r="Y35" s="90">
        <f>SUM(P35:X35)</f>
        <v>-3049599.5462430073</v>
      </c>
      <c r="Z35" s="90">
        <f>O35+Y35</f>
        <v>-861348.95603197254</v>
      </c>
      <c r="AA35" s="8">
        <f>'KTW-4,5,8 p1 - Adjust Issues'!AA34+'KTW-4,5,8 p1 - Adjust Issues'!AA27-'KTW-4,5,8 p1 - Adjust Issues'!AA49</f>
        <v>-1770253.2187454531</v>
      </c>
      <c r="AB35" s="90">
        <f>AA35</f>
        <v>-1770253.2187454531</v>
      </c>
    </row>
    <row r="36" spans="1:28" x14ac:dyDescent="0.2">
      <c r="A36" s="5">
        <v>2</v>
      </c>
      <c r="B36" s="1" t="s">
        <v>204</v>
      </c>
      <c r="C36" s="8">
        <f>'KTW-4,5,8 p1 - Adjust Issues'!C27</f>
        <v>-46800</v>
      </c>
      <c r="D36" s="8">
        <f>'KTW-4,5,8 p1 - Adjust Issues'!D27</f>
        <v>476215</v>
      </c>
      <c r="E36" s="8">
        <f>'KTW-4,5,8 p1 - Adjust Issues'!E27</f>
        <v>-8565</v>
      </c>
      <c r="F36" s="8">
        <f>'KTW-4,5,8 p1 - Adjust Issues'!F27</f>
        <v>10596</v>
      </c>
      <c r="G36" s="8">
        <f>'KTW-4,5,8 p1 - Adjust Issues'!G27</f>
        <v>5517</v>
      </c>
      <c r="H36" s="8">
        <f>'KTW-4,5,8 p1 - Adjust Issues'!H27</f>
        <v>-17085</v>
      </c>
      <c r="I36" s="8">
        <f>'KTW-4,5,8 p1 - Adjust Issues'!I27</f>
        <v>59685</v>
      </c>
      <c r="J36" s="8">
        <f>'KTW-4,5,8 p1 - Adjust Issues'!J27</f>
        <v>-846</v>
      </c>
      <c r="K36" s="8">
        <f>'KTW-4,5,8 p1 - Adjust Issues'!K27</f>
        <v>-23100</v>
      </c>
      <c r="L36" s="8">
        <f>'KTW-4,5,8 p1 - Adjust Issues'!L27</f>
        <v>6863</v>
      </c>
      <c r="M36" s="8">
        <f>'KTW-4,5,8 p1 - Adjust Issues'!M27</f>
        <v>-2946</v>
      </c>
      <c r="N36" s="8">
        <f>'KTW-4,5,8 p1 - Adjust Issues'!N27</f>
        <v>0</v>
      </c>
      <c r="O36" s="92">
        <f t="shared" ref="O36:O37" si="29">SUM(C36:N36)</f>
        <v>459534</v>
      </c>
      <c r="P36" s="8">
        <f>'KTW-4,5,8 p1 - Adjust Issues'!P27</f>
        <v>-84976</v>
      </c>
      <c r="Q36" s="8">
        <f>'KTW-4,5,8 p1 - Adjust Issues'!Q27</f>
        <v>-33702</v>
      </c>
      <c r="R36" s="8">
        <f>'KTW-4,5,8 p1 - Adjust Issues'!R27</f>
        <v>-64503</v>
      </c>
      <c r="S36" s="8">
        <f>'KTW-4,5,8 p1 - Adjust Issues'!S27</f>
        <v>-295577</v>
      </c>
      <c r="T36" s="8">
        <f>'KTW-4,5,8 p1 - Adjust Issues'!T27</f>
        <v>-2725</v>
      </c>
      <c r="U36" s="8">
        <f>'KTW-4,5,8 p1 - Adjust Issues'!U27</f>
        <v>-132223</v>
      </c>
      <c r="V36" s="8">
        <f>'KTW-4,5,8 p1 - Adjust Issues'!V27</f>
        <v>-26709</v>
      </c>
      <c r="W36" s="8">
        <f>'KTW-4,5,8 p1 - Adjust Issues'!W27</f>
        <v>0</v>
      </c>
      <c r="X36" s="8">
        <f>'KTW-4,5,8 p1 - Adjust Issues'!X27</f>
        <v>25000</v>
      </c>
      <c r="Y36" s="90">
        <f t="shared" ref="Y36:Y37" si="30">SUM(P36:X36)</f>
        <v>-615415</v>
      </c>
      <c r="Z36" s="90">
        <f t="shared" ref="Z36:Z37" si="31">O36+Y36</f>
        <v>-155881</v>
      </c>
      <c r="AA36" s="8">
        <f>'KTW-4,5,8 p1 - Adjust Issues'!AA27</f>
        <v>-371753</v>
      </c>
      <c r="AB36" s="90">
        <f>AA36</f>
        <v>-371753</v>
      </c>
    </row>
    <row r="37" spans="1:28" ht="15.75" thickBot="1" x14ac:dyDescent="0.25">
      <c r="A37" s="5">
        <v>3</v>
      </c>
      <c r="B37" s="1" t="s">
        <v>205</v>
      </c>
      <c r="C37" s="8">
        <f>ROUND(C35*$C32,0)</f>
        <v>-46800</v>
      </c>
      <c r="D37" s="8">
        <f t="shared" ref="D37:X37" si="32">ROUND(D35*$C32,0)</f>
        <v>476215</v>
      </c>
      <c r="E37" s="8">
        <f t="shared" si="32"/>
        <v>-8565</v>
      </c>
      <c r="F37" s="8">
        <f t="shared" si="32"/>
        <v>10596</v>
      </c>
      <c r="G37" s="8">
        <f t="shared" si="32"/>
        <v>5517</v>
      </c>
      <c r="H37" s="8">
        <f t="shared" si="32"/>
        <v>-17085</v>
      </c>
      <c r="I37" s="8">
        <f t="shared" si="32"/>
        <v>59685</v>
      </c>
      <c r="J37" s="8">
        <f t="shared" si="32"/>
        <v>-846</v>
      </c>
      <c r="K37" s="8">
        <f t="shared" si="32"/>
        <v>-23100</v>
      </c>
      <c r="L37" s="8">
        <f t="shared" si="32"/>
        <v>6863</v>
      </c>
      <c r="M37" s="8">
        <f t="shared" si="32"/>
        <v>-2946</v>
      </c>
      <c r="N37" s="8">
        <f t="shared" si="32"/>
        <v>0</v>
      </c>
      <c r="O37" s="96">
        <f t="shared" si="29"/>
        <v>459534</v>
      </c>
      <c r="P37" s="8">
        <f t="shared" si="32"/>
        <v>-84976</v>
      </c>
      <c r="Q37" s="8">
        <f t="shared" si="32"/>
        <v>-33702</v>
      </c>
      <c r="R37" s="8">
        <f t="shared" si="32"/>
        <v>-64503</v>
      </c>
      <c r="S37" s="8">
        <f t="shared" si="32"/>
        <v>-295577</v>
      </c>
      <c r="T37" s="8">
        <f t="shared" si="32"/>
        <v>-2725</v>
      </c>
      <c r="U37" s="8">
        <f t="shared" si="32"/>
        <v>-132223</v>
      </c>
      <c r="V37" s="8">
        <f t="shared" si="32"/>
        <v>-26709</v>
      </c>
      <c r="W37" s="8">
        <f t="shared" si="32"/>
        <v>0</v>
      </c>
      <c r="X37" s="8">
        <f t="shared" si="32"/>
        <v>0</v>
      </c>
      <c r="Y37" s="484">
        <f t="shared" si="30"/>
        <v>-640415</v>
      </c>
      <c r="Z37" s="484">
        <f t="shared" si="31"/>
        <v>-180881</v>
      </c>
      <c r="AA37" s="8">
        <f t="shared" ref="AA37" si="33">AA35*$C32</f>
        <v>-371753.17593654513</v>
      </c>
      <c r="AB37" s="484">
        <f>AA37</f>
        <v>-371753.17593654513</v>
      </c>
    </row>
    <row r="38" spans="1:28" x14ac:dyDescent="0.2">
      <c r="A38" s="5">
        <v>4</v>
      </c>
      <c r="B38" s="1" t="s">
        <v>206</v>
      </c>
      <c r="C38" s="8">
        <f t="shared" ref="C38:L38" si="34">C36-C37</f>
        <v>0</v>
      </c>
      <c r="D38" s="8">
        <f t="shared" si="34"/>
        <v>0</v>
      </c>
      <c r="E38" s="8">
        <f t="shared" si="34"/>
        <v>0</v>
      </c>
      <c r="F38" s="8">
        <f t="shared" si="34"/>
        <v>0</v>
      </c>
      <c r="G38" s="8">
        <f t="shared" si="34"/>
        <v>0</v>
      </c>
      <c r="H38" s="8">
        <f t="shared" si="34"/>
        <v>0</v>
      </c>
      <c r="I38" s="8">
        <f t="shared" si="34"/>
        <v>0</v>
      </c>
      <c r="J38" s="8">
        <f t="shared" si="34"/>
        <v>0</v>
      </c>
      <c r="K38" s="8">
        <f t="shared" si="34"/>
        <v>0</v>
      </c>
      <c r="L38" s="8">
        <f t="shared" si="34"/>
        <v>0</v>
      </c>
      <c r="M38" s="8">
        <f t="shared" ref="M38" si="35">M36-M37</f>
        <v>0</v>
      </c>
      <c r="N38" s="8">
        <f t="shared" ref="N38:O38" si="36">N36-N37</f>
        <v>0</v>
      </c>
      <c r="O38" s="8">
        <f t="shared" si="36"/>
        <v>0</v>
      </c>
      <c r="P38" s="8">
        <f t="shared" ref="P38:T38" si="37">P36-P37</f>
        <v>0</v>
      </c>
      <c r="Q38" s="8">
        <f t="shared" si="37"/>
        <v>0</v>
      </c>
      <c r="R38" s="8">
        <f t="shared" si="37"/>
        <v>0</v>
      </c>
      <c r="S38" s="8">
        <f t="shared" si="37"/>
        <v>0</v>
      </c>
      <c r="T38" s="8">
        <f t="shared" si="37"/>
        <v>0</v>
      </c>
      <c r="U38" s="8">
        <f t="shared" ref="U38:V38" si="38">U36-U37</f>
        <v>0</v>
      </c>
      <c r="V38" s="8">
        <f t="shared" si="38"/>
        <v>0</v>
      </c>
      <c r="W38" s="8">
        <f t="shared" ref="W38:X38" si="39">W36-W37</f>
        <v>0</v>
      </c>
      <c r="X38" s="8">
        <f t="shared" si="39"/>
        <v>25000</v>
      </c>
      <c r="Y38" s="8">
        <f t="shared" ref="Y38:AB38" si="40">Y36-Y37</f>
        <v>25000</v>
      </c>
      <c r="Z38" s="8">
        <f t="shared" si="40"/>
        <v>25000</v>
      </c>
      <c r="AA38" s="8">
        <f t="shared" si="40"/>
        <v>0.17593654512893409</v>
      </c>
      <c r="AB38" s="8">
        <f t="shared" si="40"/>
        <v>0.17593654512893409</v>
      </c>
    </row>
  </sheetData>
  <customSheetViews>
    <customSheetView guid="{A7BD13BF-7E57-44D7-9B02-43E2FA430390}" scale="90" showPageBreaks="1" fitToPage="1" printArea="1">
      <selection activeCell="M28" sqref="M28"/>
      <pageMargins left="0.75" right="0.75" top="1" bottom="1" header="0.5" footer="0.5"/>
      <printOptions horizontalCentered="1"/>
      <pageSetup scale="51" fitToWidth="2" orientation="landscape" r:id="rId1"/>
      <headerFooter alignWithMargins="0"/>
    </customSheetView>
    <customSheetView guid="{C29552AC-6B79-447F-B962-713ED43BDF1A}" scale="90" showPageBreaks="1" fitToPage="1" printArea="1">
      <selection activeCell="R14" sqref="R14"/>
      <pageMargins left="0.75" right="0.75" top="1" bottom="1" header="0.5" footer="0.5"/>
      <printOptions horizontalCentered="1"/>
      <pageSetup scale="50" fitToWidth="2" orientation="landscape" r:id="rId2"/>
      <headerFooter alignWithMargins="0"/>
    </customSheetView>
    <customSheetView guid="{6ED201AA-AB2E-4FE7-B06B-B07932512C4D}" scale="90" showPageBreaks="1" fitToPage="1" printArea="1">
      <selection activeCell="R14" sqref="R14"/>
      <pageMargins left="0.75" right="0.75" top="1" bottom="1" header="0.5" footer="0.5"/>
      <printOptions horizontalCentered="1"/>
      <pageSetup scale="51" fitToWidth="2" orientation="landscape" r:id="rId3"/>
      <headerFooter alignWithMargins="0"/>
    </customSheetView>
    <customSheetView guid="{D711E10B-9441-4991-A2CB-ED400E35790D}" scale="90" fitToPage="1">
      <pane xSplit="2" ySplit="9" topLeftCell="I10" activePane="bottomRight" state="frozen"/>
      <selection pane="bottomRight" activeCell="K19" sqref="K19"/>
      <pageMargins left="0.75" right="0.75" top="1" bottom="1" header="0.5" footer="0.5"/>
      <printOptions horizontalCentered="1"/>
      <pageSetup scale="51" fitToWidth="2" orientation="landscape" r:id="rId4"/>
      <headerFooter alignWithMargins="0"/>
    </customSheetView>
  </customSheetViews>
  <phoneticPr fontId="5" type="noConversion"/>
  <printOptions horizontalCentered="1"/>
  <pageMargins left="0.75" right="0.75" top="1" bottom="1" header="0.5" footer="0.5"/>
  <pageSetup scale="51" fitToWidth="2" orientation="landscape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EEF152C-8FE3-448C-B9E2-DEC46E0FE555}"/>
</file>

<file path=customXml/itemProps2.xml><?xml version="1.0" encoding="utf-8"?>
<ds:datastoreItem xmlns:ds="http://schemas.openxmlformats.org/officeDocument/2006/customXml" ds:itemID="{5F84648D-4F96-4F49-909F-2EEB36D467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DEC7F8-6054-4838-9D12-C0BA002A41B5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558CB68-25FD-40D5-A1F2-7936DA3012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25</vt:i4>
      </vt:variant>
    </vt:vector>
  </HeadingPairs>
  <TitlesOfParts>
    <vt:vector size="57" baseType="lpstr">
      <vt:lpstr>KTW-2 - Rev Req</vt:lpstr>
      <vt:lpstr>KTW-3 p1 - Test Year Results</vt:lpstr>
      <vt:lpstr>KTW-3 p2 &amp; p3 - O&amp;M</vt:lpstr>
      <vt:lpstr>KTW-3 p4 - Factors</vt:lpstr>
      <vt:lpstr>KTW-3 p5 - Taxes</vt:lpstr>
      <vt:lpstr>KTW-3 p6 &amp; p7 - Rate Base</vt:lpstr>
      <vt:lpstr>KTW-3 p8 - Cost of Cap</vt:lpstr>
      <vt:lpstr>KTW-4,5,8 p1 - Adjust Issues</vt:lpstr>
      <vt:lpstr>KTW-4,5,8 p2 - Adjust Tax</vt:lpstr>
      <vt:lpstr>KTW-4 p3 - Revenue &amp; Gas Cost</vt:lpstr>
      <vt:lpstr>KTW-4 p4 - Misc Rev Adjs</vt:lpstr>
      <vt:lpstr>KTW-4 p5 - Bonuses</vt:lpstr>
      <vt:lpstr>KTW-4 p6 - Property Taxes</vt:lpstr>
      <vt:lpstr>KTW-4 p7 - Uncollectible</vt:lpstr>
      <vt:lpstr>KTW-4 p8 - Working Cap</vt:lpstr>
      <vt:lpstr>KTW-4 p9 - Marketing</vt:lpstr>
      <vt:lpstr>KTW-4 p10 - Claims</vt:lpstr>
      <vt:lpstr>KTW-4 p11 - Rate Case Exp</vt:lpstr>
      <vt:lpstr>KTW-4 p12 - Clearing</vt:lpstr>
      <vt:lpstr>KTW-4 p13 - Holdco</vt:lpstr>
      <vt:lpstr>KTW-4 Save for Future</vt:lpstr>
      <vt:lpstr>KTW-5 p3 - Payroll 1</vt:lpstr>
      <vt:lpstr>KTW-5 p4 - Payroll 2</vt:lpstr>
      <vt:lpstr>KTW-5 p5 - Pay Overheads</vt:lpstr>
      <vt:lpstr>KTW-5 p6 - 250 Taylor</vt:lpstr>
      <vt:lpstr>KTW-5 p7,KTW-8 p3 - Post TY Adj</vt:lpstr>
      <vt:lpstr>KTW-5 p8 - EDIT RB Adj.</vt:lpstr>
      <vt:lpstr>KTW-5 p9 - EOP Deprec Exp</vt:lpstr>
      <vt:lpstr>KTW-5 p10 - EOP Rate Base</vt:lpstr>
      <vt:lpstr>KTW-7,9 p1 - Rev Req</vt:lpstr>
      <vt:lpstr>WP - Deferred Tax</vt:lpstr>
      <vt:lpstr>WP - Other Rev &amp; Tax</vt:lpstr>
      <vt:lpstr>'KTW-2 - Rev Req'!Print_Area</vt:lpstr>
      <vt:lpstr>'KTW-3 p1 - Test Year Results'!Print_Area</vt:lpstr>
      <vt:lpstr>'KTW-3 p2 &amp; p3 - O&amp;M'!Print_Area</vt:lpstr>
      <vt:lpstr>'KTW-3 p5 - Taxes'!Print_Area</vt:lpstr>
      <vt:lpstr>'KTW-3 p6 &amp; p7 - Rate Base'!Print_Area</vt:lpstr>
      <vt:lpstr>'KTW-3 p8 - Cost of Cap'!Print_Area</vt:lpstr>
      <vt:lpstr>'KTW-4 p10 - Claims'!Print_Area</vt:lpstr>
      <vt:lpstr>'KTW-4 p11 - Rate Case Exp'!Print_Area</vt:lpstr>
      <vt:lpstr>'KTW-4 p12 - Clearing'!Print_Area</vt:lpstr>
      <vt:lpstr>'KTW-4 p3 - Revenue &amp; Gas Cost'!Print_Area</vt:lpstr>
      <vt:lpstr>'KTW-4 p4 - Misc Rev Adjs'!Print_Area</vt:lpstr>
      <vt:lpstr>'KTW-4 p5 - Bonuses'!Print_Area</vt:lpstr>
      <vt:lpstr>'KTW-4 p7 - Uncollectible'!Print_Area</vt:lpstr>
      <vt:lpstr>'KTW-4,5,8 p1 - Adjust Issues'!Print_Area</vt:lpstr>
      <vt:lpstr>'KTW-4,5,8 p2 - Adjust Tax'!Print_Area</vt:lpstr>
      <vt:lpstr>'KTW-5 p3 - Payroll 1'!Print_Area</vt:lpstr>
      <vt:lpstr>'KTW-5 p4 - Payroll 2'!Print_Area</vt:lpstr>
      <vt:lpstr>'KTW-5 p5 - Pay Overheads'!Print_Area</vt:lpstr>
      <vt:lpstr>'KTW-5 p6 - 250 Taylor'!Print_Area</vt:lpstr>
      <vt:lpstr>'KTW-5 p9 - EOP Deprec Exp'!Print_Area</vt:lpstr>
      <vt:lpstr>'WP - Other Rev &amp; Tax'!Print_Area</vt:lpstr>
      <vt:lpstr>'KTW-3 p2 &amp; p3 - O&amp;M'!Print_Titles</vt:lpstr>
      <vt:lpstr>'KTW-3 p6 &amp; p7 - Rate Base'!Print_Titles</vt:lpstr>
      <vt:lpstr>'KTW-4,5,8 p1 - Adjust Issues'!Print_Titles</vt:lpstr>
      <vt:lpstr>'KTW-4,5,8 p2 - Adjust Tax'!Print_Titles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Lee-Pella, Erica N.</cp:lastModifiedBy>
  <cp:lastPrinted>2020-11-20T19:29:07Z</cp:lastPrinted>
  <dcterms:created xsi:type="dcterms:W3CDTF">2001-04-24T18:09:59Z</dcterms:created>
  <dcterms:modified xsi:type="dcterms:W3CDTF">2020-12-17T19:27:21Z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