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96" yWindow="-48" windowWidth="28896" windowHeight="12816" activeTab="3"/>
  </bookViews>
  <sheets>
    <sheet name="JAP-24 - Page 1" sheetId="42667" r:id="rId1"/>
    <sheet name="JAP-24 - Page 2" sheetId="42668" r:id="rId2"/>
    <sheet name="JAP-24 Page 3" sheetId="364" r:id="rId3"/>
    <sheet name="JAP-24 Pages 4 - 6" sheetId="16" r:id="rId4"/>
    <sheet name="JAP-24 Pages 7-12" sheetId="5" r:id="rId5"/>
    <sheet name="JAP-24 Page 13" sheetId="4128" r:id="rId6"/>
  </sheets>
  <definedNames>
    <definedName name="_Order1" hidden="1">0</definedName>
    <definedName name="_Order2" hidden="1">0</definedName>
    <definedName name="ee" localSheetId="0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'JAP-24 - Page 1'!$B$1:$Q$36</definedName>
    <definedName name="_xlnm.Print_Area" localSheetId="1">'JAP-24 - Page 2'!$B$1:$Q$36</definedName>
    <definedName name="_xlnm.Print_Area" localSheetId="5">'JAP-24 Page 13'!$B$2:$L$33</definedName>
    <definedName name="_xlnm.Print_Area" localSheetId="2">'JAP-24 Page 3'!$B$1:$Q$55</definedName>
    <definedName name="_xlnm.Print_Area" localSheetId="3">'JAP-24 Pages 4 - 6'!$B$2:$Q$127</definedName>
    <definedName name="_xlnm.Print_Area" localSheetId="4">'JAP-24 Pages 7-12'!$B$1:$Q$225</definedName>
    <definedName name="_xlnm.Print_Titles" localSheetId="0">'JAP-24 - Page 1'!$B:$B,'JAP-24 - Page 1'!$1:$11</definedName>
    <definedName name="_xlnm.Print_Titles" localSheetId="1">'JAP-24 - Page 2'!$B:$B,'JAP-24 - Page 2'!$1:$11</definedName>
    <definedName name="_xlnm.Print_Titles" localSheetId="2">'JAP-24 Page 3'!$2:$8</definedName>
    <definedName name="_xlnm.Print_Titles" localSheetId="3">'JAP-24 Pages 4 - 6'!$1:$8</definedName>
    <definedName name="_xlnm.Print_Titles" localSheetId="4">'JAP-24 Pages 7-12'!$1:$8</definedName>
    <definedName name="we" localSheetId="0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/>
</workbook>
</file>

<file path=xl/calcChain.xml><?xml version="1.0" encoding="utf-8"?>
<calcChain xmlns="http://schemas.openxmlformats.org/spreadsheetml/2006/main">
  <c r="F36" i="16" l="1"/>
  <c r="E41" i="364"/>
  <c r="I36" i="16" l="1"/>
  <c r="I97" i="16"/>
  <c r="D75" i="16" l="1"/>
  <c r="H41" i="364" l="1"/>
  <c r="F76" i="5" l="1"/>
  <c r="F36" i="5"/>
  <c r="D164" i="5"/>
  <c r="D163" i="5"/>
  <c r="D162" i="5"/>
  <c r="D161" i="5"/>
  <c r="D160" i="5"/>
  <c r="D159" i="5"/>
  <c r="D80" i="5"/>
  <c r="D79" i="5"/>
  <c r="D42" i="5"/>
  <c r="D41" i="5"/>
  <c r="D40" i="5"/>
  <c r="D20" i="5"/>
  <c r="D19" i="5"/>
  <c r="D18" i="5"/>
  <c r="D76" i="16"/>
  <c r="D74" i="16"/>
  <c r="D54" i="16"/>
  <c r="D53" i="16"/>
  <c r="D52" i="16"/>
  <c r="D39" i="364"/>
  <c r="J28" i="42668" l="1"/>
  <c r="E23" i="42668"/>
  <c r="K23" i="42668" s="1"/>
  <c r="M23" i="42668" s="1"/>
  <c r="O23" i="42668" s="1"/>
  <c r="F21" i="42668"/>
  <c r="F24" i="42668" s="1"/>
  <c r="D21" i="42668"/>
  <c r="D24" i="42668" s="1"/>
  <c r="C21" i="42668"/>
  <c r="C24" i="42668" s="1"/>
  <c r="M20" i="42668"/>
  <c r="L20" i="42668"/>
  <c r="E20" i="42668"/>
  <c r="L19" i="42668"/>
  <c r="E19" i="42668"/>
  <c r="E18" i="42668"/>
  <c r="E17" i="42668"/>
  <c r="E16" i="42668"/>
  <c r="E15" i="42668"/>
  <c r="E14" i="42668"/>
  <c r="E13" i="42668"/>
  <c r="E20" i="42667"/>
  <c r="E19" i="42667"/>
  <c r="E18" i="42667"/>
  <c r="E17" i="42667"/>
  <c r="E16" i="42667"/>
  <c r="E15" i="42667"/>
  <c r="E14" i="42667"/>
  <c r="E13" i="42667"/>
  <c r="D29" i="16"/>
  <c r="F29" i="16" s="1"/>
  <c r="D26" i="16"/>
  <c r="I26" i="16" s="1"/>
  <c r="D14" i="16"/>
  <c r="D95" i="16"/>
  <c r="I15" i="5"/>
  <c r="F19" i="5"/>
  <c r="I95" i="5"/>
  <c r="K95" i="5"/>
  <c r="J28" i="42667"/>
  <c r="I12" i="364"/>
  <c r="I131" i="5"/>
  <c r="F164" i="5"/>
  <c r="B4" i="4128"/>
  <c r="B4" i="5"/>
  <c r="B4" i="16"/>
  <c r="B4" i="364"/>
  <c r="N20" i="42667"/>
  <c r="H13" i="364"/>
  <c r="H25" i="364" s="1"/>
  <c r="H37" i="364"/>
  <c r="Q37" i="364" s="1"/>
  <c r="H53" i="16"/>
  <c r="H52" i="16" s="1"/>
  <c r="H74" i="16" s="1"/>
  <c r="Q73" i="16" s="1"/>
  <c r="H47" i="16"/>
  <c r="I47" i="16" s="1"/>
  <c r="H73" i="5"/>
  <c r="I73" i="5" s="1"/>
  <c r="K73" i="5" s="1"/>
  <c r="Q75" i="5"/>
  <c r="H79" i="5"/>
  <c r="Q79" i="5" s="1"/>
  <c r="H80" i="5"/>
  <c r="Q80" i="5" s="1"/>
  <c r="H93" i="5"/>
  <c r="F73" i="5"/>
  <c r="F74" i="5"/>
  <c r="F93" i="5"/>
  <c r="F94" i="5"/>
  <c r="F100" i="5" s="1"/>
  <c r="F98" i="5"/>
  <c r="F99" i="5"/>
  <c r="F12" i="5"/>
  <c r="F13" i="5"/>
  <c r="F34" i="5"/>
  <c r="F35" i="5"/>
  <c r="F52" i="5" s="1"/>
  <c r="F42" i="5"/>
  <c r="D146" i="5"/>
  <c r="F146" i="5" s="1"/>
  <c r="D85" i="5"/>
  <c r="I85" i="5" s="1"/>
  <c r="D25" i="5"/>
  <c r="I25" i="5" s="1"/>
  <c r="H12" i="5"/>
  <c r="Q14" i="5"/>
  <c r="H18" i="5"/>
  <c r="H19" i="5"/>
  <c r="H41" i="5" s="1"/>
  <c r="H20" i="5"/>
  <c r="Q20" i="5" s="1"/>
  <c r="H34" i="5"/>
  <c r="Q34" i="5" s="1"/>
  <c r="H130" i="5"/>
  <c r="Q130" i="5" s="1"/>
  <c r="H136" i="5"/>
  <c r="Q136" i="5" s="1"/>
  <c r="H137" i="5"/>
  <c r="H138" i="5"/>
  <c r="H161" i="5" s="1"/>
  <c r="H139" i="5"/>
  <c r="Q139" i="5" s="1"/>
  <c r="H140" i="5"/>
  <c r="Q140" i="5" s="1"/>
  <c r="H141" i="5"/>
  <c r="H154" i="5"/>
  <c r="I154" i="5" s="1"/>
  <c r="K154" i="5" s="1"/>
  <c r="I156" i="5"/>
  <c r="H24" i="16"/>
  <c r="I24" i="16" s="1"/>
  <c r="K24" i="16" s="1"/>
  <c r="H13" i="16"/>
  <c r="H25" i="16" s="1"/>
  <c r="I25" i="16" s="1"/>
  <c r="K25" i="16" s="1"/>
  <c r="H12" i="16"/>
  <c r="Q12" i="16" s="1"/>
  <c r="H54" i="16"/>
  <c r="H76" i="16" s="1"/>
  <c r="H69" i="16"/>
  <c r="I69" i="16" s="1"/>
  <c r="F130" i="5"/>
  <c r="F131" i="5"/>
  <c r="F154" i="5"/>
  <c r="F173" i="5"/>
  <c r="F155" i="5"/>
  <c r="D51" i="364"/>
  <c r="I14" i="4128"/>
  <c r="J14" i="4128"/>
  <c r="H14" i="4128"/>
  <c r="I15" i="4128"/>
  <c r="J15" i="4128"/>
  <c r="K15" i="4128" s="1"/>
  <c r="H15" i="4128"/>
  <c r="I16" i="4128"/>
  <c r="J16" i="4128"/>
  <c r="K16" i="4128" s="1"/>
  <c r="H16" i="4128"/>
  <c r="I17" i="4128"/>
  <c r="J17" i="4128"/>
  <c r="K17" i="4128" s="1"/>
  <c r="H17" i="4128"/>
  <c r="I18" i="4128"/>
  <c r="J18" i="4128"/>
  <c r="H18" i="4128"/>
  <c r="I19" i="4128"/>
  <c r="J19" i="4128"/>
  <c r="H19" i="4128"/>
  <c r="K19" i="4128" s="1"/>
  <c r="I27" i="4128"/>
  <c r="J27" i="4128"/>
  <c r="H27" i="4128"/>
  <c r="K27" i="4128" s="1"/>
  <c r="I28" i="4128"/>
  <c r="J28" i="4128"/>
  <c r="H28" i="4128"/>
  <c r="K28" i="4128" s="1"/>
  <c r="I29" i="4128"/>
  <c r="J29" i="4128" s="1"/>
  <c r="H29" i="4128"/>
  <c r="I30" i="4128"/>
  <c r="J30" i="4128" s="1"/>
  <c r="H30" i="4128"/>
  <c r="D61" i="16"/>
  <c r="F61" i="16" s="1"/>
  <c r="F102" i="16"/>
  <c r="F47" i="16"/>
  <c r="D48" i="16"/>
  <c r="F48" i="16" s="1"/>
  <c r="F49" i="16"/>
  <c r="F69" i="16"/>
  <c r="D70" i="16"/>
  <c r="F70" i="16" s="1"/>
  <c r="F89" i="16" s="1"/>
  <c r="F71" i="16"/>
  <c r="H20" i="4128"/>
  <c r="H21" i="4128"/>
  <c r="H22" i="4128"/>
  <c r="H23" i="4128"/>
  <c r="H24" i="4128"/>
  <c r="H25" i="4128"/>
  <c r="H26" i="4128"/>
  <c r="I20" i="4128"/>
  <c r="J20" i="4128" s="1"/>
  <c r="I21" i="4128"/>
  <c r="J21" i="4128" s="1"/>
  <c r="I22" i="4128"/>
  <c r="J22" i="4128"/>
  <c r="I23" i="4128"/>
  <c r="J23" i="4128" s="1"/>
  <c r="K23" i="4128" s="1"/>
  <c r="I24" i="4128"/>
  <c r="J24" i="4128" s="1"/>
  <c r="I25" i="4128"/>
  <c r="J25" i="4128" s="1"/>
  <c r="K25" i="4128" s="1"/>
  <c r="I26" i="4128"/>
  <c r="J26" i="4128" s="1"/>
  <c r="K26" i="4128" s="1"/>
  <c r="L19" i="42667"/>
  <c r="L16" i="42667"/>
  <c r="L17" i="42667"/>
  <c r="L18" i="42667"/>
  <c r="L15" i="42667"/>
  <c r="L20" i="42667"/>
  <c r="M20" i="42667" s="1"/>
  <c r="I218" i="5" s="1"/>
  <c r="L13" i="42667"/>
  <c r="L14" i="42667"/>
  <c r="C21" i="42667"/>
  <c r="F221" i="5" s="1"/>
  <c r="B3" i="4128"/>
  <c r="B3" i="5"/>
  <c r="B3" i="16"/>
  <c r="B3" i="364"/>
  <c r="F37" i="364"/>
  <c r="D17" i="16"/>
  <c r="F17" i="16" s="1"/>
  <c r="D16" i="364"/>
  <c r="I16" i="364" s="1"/>
  <c r="D41" i="364"/>
  <c r="F41" i="364" s="1"/>
  <c r="D28" i="364"/>
  <c r="F28" i="364" s="1"/>
  <c r="I28" i="364" s="1"/>
  <c r="K28" i="364" s="1"/>
  <c r="L28" i="364" s="1"/>
  <c r="F12" i="364"/>
  <c r="F13" i="364"/>
  <c r="F12" i="16"/>
  <c r="F24" i="16"/>
  <c r="F13" i="16"/>
  <c r="F25" i="16"/>
  <c r="F24" i="364"/>
  <c r="F26" i="364" s="1"/>
  <c r="F30" i="364" s="1"/>
  <c r="F25" i="364"/>
  <c r="F219" i="5"/>
  <c r="F218" i="5"/>
  <c r="K218" i="5" s="1"/>
  <c r="L218" i="5" s="1"/>
  <c r="F21" i="42667"/>
  <c r="F24" i="42667" s="1"/>
  <c r="D221" i="5" s="1"/>
  <c r="D218" i="5"/>
  <c r="D36" i="16"/>
  <c r="D123" i="16" s="1"/>
  <c r="E23" i="42667"/>
  <c r="K23" i="42667"/>
  <c r="M23" i="42667" s="1"/>
  <c r="H28" i="364"/>
  <c r="D174" i="5"/>
  <c r="D173" i="5"/>
  <c r="D52" i="5"/>
  <c r="D51" i="5"/>
  <c r="D90" i="16"/>
  <c r="D88" i="16"/>
  <c r="D89" i="16" s="1"/>
  <c r="D35" i="16"/>
  <c r="D109" i="5"/>
  <c r="D120" i="5" s="1"/>
  <c r="D108" i="5"/>
  <c r="B15" i="4128"/>
  <c r="B16" i="4128"/>
  <c r="B17" i="4128" s="1"/>
  <c r="B18" i="4128" s="1"/>
  <c r="B19" i="4128" s="1"/>
  <c r="B20" i="4128" s="1"/>
  <c r="B21" i="4128"/>
  <c r="B22" i="4128" s="1"/>
  <c r="B23" i="4128" s="1"/>
  <c r="B24" i="4128" s="1"/>
  <c r="B25" i="4128" s="1"/>
  <c r="B26" i="4128" s="1"/>
  <c r="B27" i="4128" s="1"/>
  <c r="B28" i="4128" s="1"/>
  <c r="B29" i="4128" s="1"/>
  <c r="B30" i="4128" s="1"/>
  <c r="B31" i="4128" s="1"/>
  <c r="F31" i="4128"/>
  <c r="D100" i="5"/>
  <c r="D102" i="5" s="1"/>
  <c r="D21" i="42667"/>
  <c r="D24" i="42667" s="1"/>
  <c r="O23" i="42667"/>
  <c r="Q74" i="5"/>
  <c r="Q131" i="5"/>
  <c r="Q13" i="5"/>
  <c r="H155" i="5"/>
  <c r="I155" i="5" s="1"/>
  <c r="I13" i="5"/>
  <c r="K13" i="5" s="1"/>
  <c r="Q48" i="16"/>
  <c r="I74" i="5"/>
  <c r="K74" i="5" s="1"/>
  <c r="H94" i="5"/>
  <c r="I94" i="5" s="1"/>
  <c r="K94" i="5" s="1"/>
  <c r="I49" i="16"/>
  <c r="H71" i="16"/>
  <c r="I71" i="16" s="1"/>
  <c r="K71" i="16" s="1"/>
  <c r="H35" i="5"/>
  <c r="Q35" i="5" s="1"/>
  <c r="Q132" i="5"/>
  <c r="F140" i="5"/>
  <c r="F75" i="16"/>
  <c r="H24" i="364"/>
  <c r="Q24" i="364" s="1"/>
  <c r="I24" i="364"/>
  <c r="Q12" i="364"/>
  <c r="F162" i="5"/>
  <c r="F54" i="16"/>
  <c r="F26" i="16"/>
  <c r="F27" i="16" s="1"/>
  <c r="I36" i="5"/>
  <c r="K36" i="5" s="1"/>
  <c r="I41" i="364"/>
  <c r="H159" i="5"/>
  <c r="Q159" i="5" s="1"/>
  <c r="H164" i="5"/>
  <c r="Q164" i="5" s="1"/>
  <c r="J20" i="42667"/>
  <c r="F76" i="16"/>
  <c r="F95" i="16" s="1"/>
  <c r="P20" i="42667"/>
  <c r="O20" i="42667"/>
  <c r="K131" i="5"/>
  <c r="D43" i="5"/>
  <c r="D45" i="5" s="1"/>
  <c r="F45" i="5" s="1"/>
  <c r="F65" i="5" s="1"/>
  <c r="F40" i="5"/>
  <c r="F161" i="5"/>
  <c r="F181" i="5" s="1"/>
  <c r="D181" i="5"/>
  <c r="I29" i="16"/>
  <c r="K49" i="16"/>
  <c r="K24" i="4128"/>
  <c r="D115" i="5"/>
  <c r="F80" i="5"/>
  <c r="F115" i="5" s="1"/>
  <c r="D40" i="16"/>
  <c r="I146" i="5"/>
  <c r="I189" i="5" s="1"/>
  <c r="D182" i="5"/>
  <c r="D114" i="5"/>
  <c r="D116" i="5" s="1"/>
  <c r="F138" i="5"/>
  <c r="I76" i="5"/>
  <c r="I111" i="5" s="1"/>
  <c r="K111" i="5" s="1"/>
  <c r="F111" i="5"/>
  <c r="F14" i="16"/>
  <c r="I14" i="16"/>
  <c r="K14" i="16" s="1"/>
  <c r="E21" i="42667"/>
  <c r="E24" i="42667" s="1"/>
  <c r="F159" i="5"/>
  <c r="D183" i="5"/>
  <c r="K12" i="364"/>
  <c r="F54" i="5"/>
  <c r="D77" i="16"/>
  <c r="F137" i="5"/>
  <c r="F102" i="5"/>
  <c r="F90" i="16"/>
  <c r="I61" i="16"/>
  <c r="K22" i="4128"/>
  <c r="D58" i="5"/>
  <c r="F41" i="5"/>
  <c r="D59" i="5"/>
  <c r="L12" i="364"/>
  <c r="K76" i="5"/>
  <c r="K15" i="5"/>
  <c r="K29" i="4128" l="1"/>
  <c r="K30" i="4128"/>
  <c r="K21" i="4128"/>
  <c r="K20" i="4128"/>
  <c r="I102" i="5"/>
  <c r="I121" i="5" s="1"/>
  <c r="I12" i="16"/>
  <c r="I35" i="16" s="1"/>
  <c r="H162" i="5"/>
  <c r="Q162" i="5" s="1"/>
  <c r="I164" i="5"/>
  <c r="K164" i="5" s="1"/>
  <c r="I139" i="5"/>
  <c r="K139" i="5" s="1"/>
  <c r="Q161" i="5"/>
  <c r="I161" i="5"/>
  <c r="K161" i="5" s="1"/>
  <c r="I159" i="5"/>
  <c r="K159" i="5" s="1"/>
  <c r="I138" i="5"/>
  <c r="K138" i="5" s="1"/>
  <c r="Q138" i="5"/>
  <c r="Q154" i="5"/>
  <c r="I130" i="5"/>
  <c r="I173" i="5" s="1"/>
  <c r="I80" i="5"/>
  <c r="K80" i="5" s="1"/>
  <c r="H99" i="5"/>
  <c r="Q73" i="5"/>
  <c r="H98" i="5"/>
  <c r="I34" i="5"/>
  <c r="K34" i="5" s="1"/>
  <c r="Q19" i="5"/>
  <c r="Q41" i="5"/>
  <c r="I41" i="5"/>
  <c r="K41" i="5" s="1"/>
  <c r="H42" i="5"/>
  <c r="I42" i="5" s="1"/>
  <c r="K42" i="5" s="1"/>
  <c r="I19" i="5"/>
  <c r="K19" i="5" s="1"/>
  <c r="I54" i="16"/>
  <c r="K54" i="16" s="1"/>
  <c r="Q53" i="16"/>
  <c r="H75" i="16"/>
  <c r="I75" i="16" s="1"/>
  <c r="K75" i="16" s="1"/>
  <c r="Q46" i="16"/>
  <c r="H48" i="16"/>
  <c r="Q47" i="16" s="1"/>
  <c r="I76" i="16"/>
  <c r="Q75" i="16"/>
  <c r="Q52" i="16"/>
  <c r="Q23" i="16"/>
  <c r="I27" i="16"/>
  <c r="I30" i="16" s="1"/>
  <c r="Q24" i="16"/>
  <c r="I37" i="364"/>
  <c r="I43" i="364" s="1"/>
  <c r="K155" i="5"/>
  <c r="I174" i="5"/>
  <c r="Q155" i="5"/>
  <c r="Q94" i="5"/>
  <c r="I109" i="5"/>
  <c r="I35" i="5"/>
  <c r="I52" i="5" s="1"/>
  <c r="K52" i="5" s="1"/>
  <c r="Q70" i="16"/>
  <c r="I54" i="5"/>
  <c r="K146" i="5"/>
  <c r="F189" i="5"/>
  <c r="K189" i="5" s="1"/>
  <c r="F174" i="5"/>
  <c r="K174" i="5" s="1"/>
  <c r="F103" i="5"/>
  <c r="F121" i="5"/>
  <c r="F109" i="5"/>
  <c r="F108" i="5"/>
  <c r="K109" i="5"/>
  <c r="F85" i="5"/>
  <c r="F120" i="5" s="1"/>
  <c r="F58" i="5"/>
  <c r="K35" i="5"/>
  <c r="F25" i="5"/>
  <c r="F64" i="5" s="1"/>
  <c r="D64" i="5"/>
  <c r="K90" i="16"/>
  <c r="I90" i="16"/>
  <c r="F40" i="16"/>
  <c r="F35" i="16"/>
  <c r="F113" i="16"/>
  <c r="I17" i="16"/>
  <c r="I113" i="16" s="1"/>
  <c r="K12" i="16"/>
  <c r="K24" i="364"/>
  <c r="I49" i="364"/>
  <c r="L13" i="42668" s="1"/>
  <c r="F14" i="364"/>
  <c r="F16" i="364"/>
  <c r="F49" i="364" s="1"/>
  <c r="C24" i="42667"/>
  <c r="D78" i="16"/>
  <c r="D81" i="16"/>
  <c r="J20" i="42668"/>
  <c r="N20" i="42668"/>
  <c r="H31" i="4128"/>
  <c r="K18" i="4128"/>
  <c r="J31" i="4128"/>
  <c r="K14" i="4128"/>
  <c r="K69" i="16"/>
  <c r="Q137" i="5"/>
  <c r="H160" i="5"/>
  <c r="Q160" i="5" s="1"/>
  <c r="I137" i="5"/>
  <c r="K137" i="5" s="1"/>
  <c r="E21" i="42668"/>
  <c r="E24" i="42668" s="1"/>
  <c r="F88" i="16"/>
  <c r="I88" i="16"/>
  <c r="Q68" i="16"/>
  <c r="I102" i="16"/>
  <c r="K61" i="16"/>
  <c r="K102" i="16" s="1"/>
  <c r="K85" i="5"/>
  <c r="I120" i="5"/>
  <c r="K120" i="5" s="1"/>
  <c r="D119" i="5"/>
  <c r="D121" i="5" s="1"/>
  <c r="D212" i="5"/>
  <c r="F15" i="16"/>
  <c r="F43" i="364"/>
  <c r="K41" i="364"/>
  <c r="L41" i="364" s="1"/>
  <c r="I40" i="16"/>
  <c r="I141" i="5"/>
  <c r="F141" i="5"/>
  <c r="F184" i="5" s="1"/>
  <c r="D184" i="5"/>
  <c r="G14" i="42667"/>
  <c r="G19" i="42667"/>
  <c r="J29" i="42667"/>
  <c r="G16" i="42667"/>
  <c r="I162" i="5"/>
  <c r="K54" i="5"/>
  <c r="D142" i="5"/>
  <c r="I25" i="364"/>
  <c r="Q25" i="364"/>
  <c r="Q18" i="5"/>
  <c r="H40" i="5"/>
  <c r="I93" i="5"/>
  <c r="Q93" i="5"/>
  <c r="I13" i="364"/>
  <c r="Q13" i="364"/>
  <c r="D55" i="16"/>
  <c r="D93" i="16"/>
  <c r="I18" i="5"/>
  <c r="F18" i="5"/>
  <c r="F57" i="5" s="1"/>
  <c r="D57" i="5"/>
  <c r="D60" i="5" s="1"/>
  <c r="D211" i="5" s="1"/>
  <c r="D21" i="5"/>
  <c r="D81" i="5"/>
  <c r="F79" i="5"/>
  <c r="F114" i="5" s="1"/>
  <c r="I79" i="5"/>
  <c r="F139" i="5"/>
  <c r="F182" i="5" s="1"/>
  <c r="D180" i="5"/>
  <c r="D165" i="5"/>
  <c r="D167" i="5" s="1"/>
  <c r="F160" i="5"/>
  <c r="F163" i="5"/>
  <c r="F183" i="5" s="1"/>
  <c r="F176" i="5"/>
  <c r="I133" i="5"/>
  <c r="K133" i="5" s="1"/>
  <c r="F20" i="5"/>
  <c r="F59" i="5" s="1"/>
  <c r="I20" i="5"/>
  <c r="K29" i="16"/>
  <c r="F30" i="16"/>
  <c r="G18" i="42667"/>
  <c r="G19" i="42668"/>
  <c r="G14" i="42668"/>
  <c r="G15" i="42668"/>
  <c r="G18" i="42668"/>
  <c r="G13" i="42668"/>
  <c r="K25" i="5"/>
  <c r="I64" i="5"/>
  <c r="K64" i="5" s="1"/>
  <c r="D65" i="5"/>
  <c r="I45" i="5"/>
  <c r="Q13" i="16"/>
  <c r="I13" i="16"/>
  <c r="F53" i="16"/>
  <c r="D94" i="16"/>
  <c r="I53" i="16"/>
  <c r="D179" i="5"/>
  <c r="F136" i="5"/>
  <c r="F179" i="5" s="1"/>
  <c r="I136" i="5"/>
  <c r="K26" i="16"/>
  <c r="K27" i="16" s="1"/>
  <c r="I140" i="5"/>
  <c r="K140" i="5" s="1"/>
  <c r="H163" i="5"/>
  <c r="Q163" i="5" s="1"/>
  <c r="Q12" i="5"/>
  <c r="I12" i="5"/>
  <c r="K47" i="16"/>
  <c r="L21" i="42667"/>
  <c r="L24" i="42667" s="1"/>
  <c r="F51" i="5"/>
  <c r="F43" i="5"/>
  <c r="F46" i="5" s="1"/>
  <c r="G13" i="42667"/>
  <c r="G15" i="42667"/>
  <c r="J27" i="42667"/>
  <c r="G17" i="42667"/>
  <c r="J27" i="42668"/>
  <c r="G16" i="42668"/>
  <c r="G17" i="42668"/>
  <c r="K16" i="364" l="1"/>
  <c r="L16" i="364" s="1"/>
  <c r="K121" i="5"/>
  <c r="K102" i="5"/>
  <c r="I160" i="5"/>
  <c r="K160" i="5" s="1"/>
  <c r="I184" i="5"/>
  <c r="K184" i="5" s="1"/>
  <c r="K130" i="5"/>
  <c r="I163" i="5"/>
  <c r="K163" i="5" s="1"/>
  <c r="I179" i="5"/>
  <c r="K179" i="5" s="1"/>
  <c r="I181" i="5"/>
  <c r="K181" i="5" s="1"/>
  <c r="I99" i="5"/>
  <c r="K99" i="5" s="1"/>
  <c r="Q99" i="5"/>
  <c r="Q98" i="5"/>
  <c r="I98" i="5"/>
  <c r="K98" i="5" s="1"/>
  <c r="Q42" i="5"/>
  <c r="I58" i="5"/>
  <c r="K58" i="5" s="1"/>
  <c r="I95" i="16"/>
  <c r="I48" i="16"/>
  <c r="K48" i="16" s="1"/>
  <c r="H70" i="16"/>
  <c r="I70" i="16" s="1"/>
  <c r="Q74" i="16"/>
  <c r="K76" i="16"/>
  <c r="K95" i="16" s="1"/>
  <c r="K35" i="16"/>
  <c r="K37" i="364"/>
  <c r="L37" i="364" s="1"/>
  <c r="I176" i="5"/>
  <c r="K176" i="5" s="1"/>
  <c r="D214" i="5"/>
  <c r="D185" i="5"/>
  <c r="D213" i="5" s="1"/>
  <c r="K17" i="16"/>
  <c r="L17" i="16" s="1"/>
  <c r="F37" i="16"/>
  <c r="F41" i="16" s="1"/>
  <c r="F50" i="364"/>
  <c r="F51" i="364" s="1"/>
  <c r="F18" i="364"/>
  <c r="I51" i="5"/>
  <c r="K12" i="5"/>
  <c r="F94" i="16"/>
  <c r="K45" i="5"/>
  <c r="I65" i="5"/>
  <c r="K65" i="5" s="1"/>
  <c r="F167" i="5"/>
  <c r="D190" i="5"/>
  <c r="I167" i="5"/>
  <c r="I114" i="5"/>
  <c r="K114" i="5" s="1"/>
  <c r="K79" i="5"/>
  <c r="D56" i="16"/>
  <c r="D60" i="16"/>
  <c r="K93" i="5"/>
  <c r="K100" i="5" s="1"/>
  <c r="I108" i="5"/>
  <c r="I182" i="5"/>
  <c r="K182" i="5" s="1"/>
  <c r="K162" i="5"/>
  <c r="K49" i="364"/>
  <c r="J30" i="42667"/>
  <c r="I17" i="42667" s="1"/>
  <c r="J17" i="42667" s="1"/>
  <c r="O72" i="5" s="1"/>
  <c r="G21" i="42667"/>
  <c r="I59" i="5"/>
  <c r="K59" i="5" s="1"/>
  <c r="K20" i="5"/>
  <c r="Q40" i="5"/>
  <c r="I40" i="5"/>
  <c r="K113" i="16"/>
  <c r="L14" i="42668"/>
  <c r="K88" i="16"/>
  <c r="K173" i="5"/>
  <c r="I81" i="16"/>
  <c r="F81" i="16"/>
  <c r="F103" i="16" s="1"/>
  <c r="K30" i="16"/>
  <c r="K53" i="16"/>
  <c r="K94" i="16" s="1"/>
  <c r="K13" i="16"/>
  <c r="K15" i="16" s="1"/>
  <c r="I15" i="16"/>
  <c r="I118" i="16" s="1"/>
  <c r="G21" i="42668"/>
  <c r="J30" i="42668"/>
  <c r="I75" i="5"/>
  <c r="D84" i="5"/>
  <c r="D75" i="5"/>
  <c r="K18" i="5"/>
  <c r="K13" i="364"/>
  <c r="I14" i="364"/>
  <c r="D145" i="5"/>
  <c r="D132" i="5"/>
  <c r="K40" i="16"/>
  <c r="L40" i="16" s="1"/>
  <c r="F118" i="16"/>
  <c r="F19" i="16"/>
  <c r="O20" i="42668"/>
  <c r="P20" i="42668"/>
  <c r="J29" i="42668"/>
  <c r="F78" i="16"/>
  <c r="D97" i="16"/>
  <c r="I78" i="16"/>
  <c r="I94" i="16"/>
  <c r="K136" i="5"/>
  <c r="F180" i="5"/>
  <c r="F165" i="5"/>
  <c r="D14" i="5"/>
  <c r="D24" i="5"/>
  <c r="D96" i="16"/>
  <c r="I26" i="364"/>
  <c r="I30" i="364" s="1"/>
  <c r="K25" i="364"/>
  <c r="K26" i="364" s="1"/>
  <c r="K141" i="5"/>
  <c r="K31" i="4128"/>
  <c r="K103" i="5" l="1"/>
  <c r="I180" i="5"/>
  <c r="K180" i="5" s="1"/>
  <c r="K43" i="364"/>
  <c r="L43" i="364" s="1"/>
  <c r="I165" i="5"/>
  <c r="I168" i="5" s="1"/>
  <c r="I183" i="5"/>
  <c r="K183" i="5" s="1"/>
  <c r="I100" i="5"/>
  <c r="I103" i="5" s="1"/>
  <c r="I115" i="5"/>
  <c r="K115" i="5" s="1"/>
  <c r="I89" i="16"/>
  <c r="K70" i="16"/>
  <c r="K89" i="16" s="1"/>
  <c r="Q69" i="16"/>
  <c r="K165" i="5"/>
  <c r="L165" i="5" s="1"/>
  <c r="I15" i="42667"/>
  <c r="J15" i="42667" s="1"/>
  <c r="O46" i="16" s="1"/>
  <c r="I18" i="42667"/>
  <c r="J18" i="42667" s="1"/>
  <c r="O129" i="5" s="1"/>
  <c r="F98" i="16"/>
  <c r="D217" i="5"/>
  <c r="D220" i="5" s="1"/>
  <c r="D222" i="5" s="1"/>
  <c r="D124" i="16"/>
  <c r="D125" i="16" s="1"/>
  <c r="K78" i="16"/>
  <c r="K97" i="16" s="1"/>
  <c r="F123" i="16"/>
  <c r="I50" i="364"/>
  <c r="I18" i="364"/>
  <c r="D110" i="5"/>
  <c r="F75" i="5"/>
  <c r="K75" i="5" s="1"/>
  <c r="K81" i="5" s="1"/>
  <c r="F190" i="5"/>
  <c r="F168" i="5"/>
  <c r="K51" i="5"/>
  <c r="L26" i="364"/>
  <c r="K30" i="364"/>
  <c r="L30" i="364" s="1"/>
  <c r="I24" i="5"/>
  <c r="D63" i="5"/>
  <c r="F24" i="5"/>
  <c r="I14" i="42667"/>
  <c r="J14" i="42667" s="1"/>
  <c r="O12" i="16" s="1"/>
  <c r="I19" i="42667"/>
  <c r="J19" i="42667" s="1"/>
  <c r="L28" i="4128" s="1"/>
  <c r="L30" i="4128" s="1"/>
  <c r="L13" i="364"/>
  <c r="K14" i="364"/>
  <c r="F84" i="5"/>
  <c r="I84" i="5"/>
  <c r="I19" i="16"/>
  <c r="I103" i="16"/>
  <c r="K81" i="16"/>
  <c r="K103" i="16" s="1"/>
  <c r="I60" i="16"/>
  <c r="F60" i="16"/>
  <c r="K19" i="42668"/>
  <c r="K19" i="42667"/>
  <c r="D53" i="5"/>
  <c r="I14" i="5"/>
  <c r="F14" i="5"/>
  <c r="F97" i="16"/>
  <c r="F79" i="16"/>
  <c r="F82" i="16" s="1"/>
  <c r="I16" i="42667"/>
  <c r="J16" i="42667" s="1"/>
  <c r="O11" i="5" s="1"/>
  <c r="I132" i="5"/>
  <c r="F132" i="5"/>
  <c r="I110" i="5"/>
  <c r="I81" i="5"/>
  <c r="K36" i="16"/>
  <c r="K37" i="16" s="1"/>
  <c r="I37" i="16"/>
  <c r="I41" i="16" s="1"/>
  <c r="K40" i="5"/>
  <c r="K43" i="5" s="1"/>
  <c r="L43" i="5" s="1"/>
  <c r="I43" i="5"/>
  <c r="I46" i="5" s="1"/>
  <c r="K108" i="5"/>
  <c r="F56" i="16"/>
  <c r="F57" i="16" s="1"/>
  <c r="I56" i="16"/>
  <c r="K167" i="5"/>
  <c r="I190" i="5"/>
  <c r="I13" i="42668"/>
  <c r="J13" i="42668" s="1"/>
  <c r="I16" i="42668"/>
  <c r="J16" i="42668" s="1"/>
  <c r="I17" i="42668"/>
  <c r="J17" i="42668" s="1"/>
  <c r="I15" i="42668"/>
  <c r="J15" i="42668" s="1"/>
  <c r="I19" i="42668"/>
  <c r="J19" i="42668" s="1"/>
  <c r="I18" i="42668"/>
  <c r="J18" i="42668" s="1"/>
  <c r="I14" i="42668"/>
  <c r="J14" i="42668" s="1"/>
  <c r="I13" i="42667"/>
  <c r="J13" i="42667" s="1"/>
  <c r="I145" i="5"/>
  <c r="F145" i="5"/>
  <c r="I57" i="5"/>
  <c r="K57" i="5" s="1"/>
  <c r="K19" i="16"/>
  <c r="L19" i="16" s="1"/>
  <c r="L15" i="16"/>
  <c r="O14" i="16"/>
  <c r="I79" i="16"/>
  <c r="I82" i="16" s="1"/>
  <c r="K79" i="16" l="1"/>
  <c r="L79" i="16" s="1"/>
  <c r="K168" i="5"/>
  <c r="L168" i="5" s="1"/>
  <c r="I206" i="5"/>
  <c r="I98" i="16"/>
  <c r="K98" i="16"/>
  <c r="L98" i="16" s="1"/>
  <c r="K46" i="5"/>
  <c r="L46" i="5" s="1"/>
  <c r="D223" i="5"/>
  <c r="F147" i="5"/>
  <c r="F201" i="5" s="1"/>
  <c r="F188" i="5"/>
  <c r="F191" i="5" s="1"/>
  <c r="I53" i="5"/>
  <c r="K14" i="5"/>
  <c r="K21" i="5" s="1"/>
  <c r="I21" i="5"/>
  <c r="M19" i="42668"/>
  <c r="N19" i="42668"/>
  <c r="L14" i="364"/>
  <c r="K18" i="364"/>
  <c r="L18" i="364" s="1"/>
  <c r="F63" i="5"/>
  <c r="F66" i="5" s="1"/>
  <c r="F26" i="5"/>
  <c r="F199" i="5" s="1"/>
  <c r="I147" i="5"/>
  <c r="I188" i="5"/>
  <c r="K145" i="5"/>
  <c r="J21" i="42668"/>
  <c r="J24" i="42668" s="1"/>
  <c r="K56" i="16"/>
  <c r="K57" i="16" s="1"/>
  <c r="I57" i="16"/>
  <c r="I119" i="16" s="1"/>
  <c r="I120" i="16" s="1"/>
  <c r="O74" i="5"/>
  <c r="F62" i="16"/>
  <c r="F101" i="16"/>
  <c r="F104" i="16" s="1"/>
  <c r="F106" i="16" s="1"/>
  <c r="K14" i="42668"/>
  <c r="K14" i="42667"/>
  <c r="K118" i="16"/>
  <c r="I123" i="16"/>
  <c r="K13" i="42668"/>
  <c r="K13" i="42667"/>
  <c r="I51" i="364"/>
  <c r="K50" i="364"/>
  <c r="O12" i="364"/>
  <c r="O14" i="364" s="1"/>
  <c r="J21" i="42667"/>
  <c r="J24" i="42667" s="1"/>
  <c r="K190" i="5"/>
  <c r="F119" i="16"/>
  <c r="F120" i="16" s="1"/>
  <c r="L37" i="16"/>
  <c r="K41" i="16"/>
  <c r="L41" i="16" s="1"/>
  <c r="F142" i="5"/>
  <c r="F175" i="5"/>
  <c r="F185" i="5" s="1"/>
  <c r="I62" i="16"/>
  <c r="I101" i="16"/>
  <c r="I104" i="16" s="1"/>
  <c r="K60" i="16"/>
  <c r="I119" i="5"/>
  <c r="I86" i="5"/>
  <c r="K84" i="5"/>
  <c r="K86" i="5" s="1"/>
  <c r="K24" i="5"/>
  <c r="K26" i="5" s="1"/>
  <c r="L26" i="5" s="1"/>
  <c r="I63" i="5"/>
  <c r="I26" i="5"/>
  <c r="I199" i="5" s="1"/>
  <c r="F110" i="5"/>
  <c r="F116" i="5" s="1"/>
  <c r="F81" i="5"/>
  <c r="F206" i="5" s="1"/>
  <c r="I116" i="5"/>
  <c r="I175" i="5"/>
  <c r="K132" i="5"/>
  <c r="I142" i="5"/>
  <c r="F53" i="5"/>
  <c r="F60" i="5" s="1"/>
  <c r="F21" i="5"/>
  <c r="M19" i="42667"/>
  <c r="I219" i="5" s="1"/>
  <c r="K219" i="5" s="1"/>
  <c r="L219" i="5" s="1"/>
  <c r="N19" i="42667"/>
  <c r="F86" i="5"/>
  <c r="F119" i="5"/>
  <c r="F122" i="5" s="1"/>
  <c r="K82" i="16" l="1"/>
  <c r="L82" i="16" s="1"/>
  <c r="K206" i="5"/>
  <c r="I106" i="16"/>
  <c r="O37" i="364"/>
  <c r="O39" i="364" s="1"/>
  <c r="F28" i="5"/>
  <c r="F205" i="5"/>
  <c r="K175" i="5"/>
  <c r="K185" i="5" s="1"/>
  <c r="I185" i="5"/>
  <c r="K62" i="16"/>
  <c r="K101" i="16"/>
  <c r="K104" i="16" s="1"/>
  <c r="F207" i="5"/>
  <c r="F213" i="5" s="1"/>
  <c r="F149" i="5"/>
  <c r="L50" i="364"/>
  <c r="K51" i="364"/>
  <c r="L51" i="364" s="1"/>
  <c r="N14" i="42667"/>
  <c r="M14" i="42667"/>
  <c r="O19" i="42668"/>
  <c r="P19" i="42668"/>
  <c r="Q19" i="42668"/>
  <c r="K53" i="5"/>
  <c r="K60" i="5" s="1"/>
  <c r="I60" i="5"/>
  <c r="F88" i="5"/>
  <c r="F200" i="5"/>
  <c r="F212" i="5" s="1"/>
  <c r="F68" i="5"/>
  <c r="F124" i="5"/>
  <c r="K88" i="5"/>
  <c r="L88" i="5" s="1"/>
  <c r="L86" i="5"/>
  <c r="K123" i="16"/>
  <c r="M14" i="42668"/>
  <c r="N14" i="42668"/>
  <c r="L81" i="5"/>
  <c r="K110" i="5"/>
  <c r="K116" i="5" s="1"/>
  <c r="Q19" i="42667"/>
  <c r="O19" i="42667"/>
  <c r="P19" i="42667"/>
  <c r="K18" i="42668"/>
  <c r="I207" i="5"/>
  <c r="I149" i="5"/>
  <c r="K142" i="5"/>
  <c r="K18" i="42667"/>
  <c r="K17" i="42668"/>
  <c r="K17" i="42667"/>
  <c r="L16" i="42668"/>
  <c r="K199" i="5"/>
  <c r="I200" i="5"/>
  <c r="I88" i="5"/>
  <c r="I64" i="16"/>
  <c r="I114" i="16"/>
  <c r="M13" i="42667"/>
  <c r="N13" i="42667"/>
  <c r="K15" i="42668"/>
  <c r="K15" i="42667"/>
  <c r="K119" i="16"/>
  <c r="L119" i="16" s="1"/>
  <c r="K188" i="5"/>
  <c r="K191" i="5" s="1"/>
  <c r="L191" i="5" s="1"/>
  <c r="I191" i="5"/>
  <c r="K16" i="42667"/>
  <c r="I28" i="5"/>
  <c r="K16" i="42668"/>
  <c r="I205" i="5"/>
  <c r="K63" i="5"/>
  <c r="K66" i="5" s="1"/>
  <c r="L66" i="5" s="1"/>
  <c r="I66" i="5"/>
  <c r="I122" i="5"/>
  <c r="I124" i="5" s="1"/>
  <c r="K119" i="5"/>
  <c r="K122" i="5" s="1"/>
  <c r="L122" i="5" s="1"/>
  <c r="F193" i="5"/>
  <c r="N13" i="42668"/>
  <c r="M13" i="42668"/>
  <c r="L118" i="16"/>
  <c r="F114" i="16"/>
  <c r="F64" i="16"/>
  <c r="O48" i="16"/>
  <c r="L57" i="16"/>
  <c r="K147" i="5"/>
  <c r="L147" i="5" s="1"/>
  <c r="I201" i="5"/>
  <c r="F211" i="5"/>
  <c r="L21" i="5"/>
  <c r="O13" i="5"/>
  <c r="K28" i="5"/>
  <c r="K207" i="5" l="1"/>
  <c r="I202" i="5"/>
  <c r="I193" i="5"/>
  <c r="F217" i="5"/>
  <c r="F220" i="5" s="1"/>
  <c r="F222" i="5" s="1"/>
  <c r="L28" i="5"/>
  <c r="K21" i="42667"/>
  <c r="K24" i="42667" s="1"/>
  <c r="K120" i="16"/>
  <c r="L120" i="16" s="1"/>
  <c r="F214" i="5"/>
  <c r="O13" i="42668"/>
  <c r="P13" i="42668"/>
  <c r="Q13" i="42668"/>
  <c r="N16" i="42668"/>
  <c r="M16" i="42668"/>
  <c r="N17" i="42668"/>
  <c r="O14" i="42668"/>
  <c r="Q14" i="42668"/>
  <c r="P14" i="42668"/>
  <c r="F202" i="5"/>
  <c r="O13" i="42667"/>
  <c r="P13" i="42667"/>
  <c r="Q13" i="42667"/>
  <c r="P14" i="42667"/>
  <c r="Q14" i="42667"/>
  <c r="O14" i="42667"/>
  <c r="L185" i="5"/>
  <c r="K193" i="5"/>
  <c r="L193" i="5" s="1"/>
  <c r="L18" i="42668"/>
  <c r="M18" i="42668" s="1"/>
  <c r="K201" i="5"/>
  <c r="I213" i="5"/>
  <c r="K213" i="5" s="1"/>
  <c r="N16" i="42667"/>
  <c r="M16" i="42667"/>
  <c r="N15" i="42667"/>
  <c r="M15" i="42667"/>
  <c r="L17" i="42668"/>
  <c r="M17" i="42668" s="1"/>
  <c r="K200" i="5"/>
  <c r="I212" i="5"/>
  <c r="K212" i="5" s="1"/>
  <c r="N18" i="42667"/>
  <c r="M18" i="42667"/>
  <c r="N18" i="42668"/>
  <c r="L116" i="5"/>
  <c r="K124" i="5"/>
  <c r="L124" i="5" s="1"/>
  <c r="L123" i="16"/>
  <c r="I68" i="5"/>
  <c r="I217" i="5" s="1"/>
  <c r="L104" i="16"/>
  <c r="K106" i="16"/>
  <c r="L106" i="16" s="1"/>
  <c r="F208" i="5"/>
  <c r="F124" i="16"/>
  <c r="F125" i="16" s="1"/>
  <c r="F115" i="16"/>
  <c r="K21" i="42668"/>
  <c r="K24" i="42668" s="1"/>
  <c r="I208" i="5"/>
  <c r="K205" i="5"/>
  <c r="K208" i="5" s="1"/>
  <c r="N15" i="42668"/>
  <c r="L15" i="42668"/>
  <c r="M15" i="42668" s="1"/>
  <c r="I124" i="16"/>
  <c r="K114" i="16"/>
  <c r="K115" i="16" s="1"/>
  <c r="I115" i="16"/>
  <c r="I211" i="5"/>
  <c r="M17" i="42667"/>
  <c r="N17" i="42667"/>
  <c r="K149" i="5"/>
  <c r="L149" i="5" s="1"/>
  <c r="L142" i="5"/>
  <c r="O131" i="5"/>
  <c r="L60" i="5"/>
  <c r="K68" i="5"/>
  <c r="L68" i="5" s="1"/>
  <c r="K64" i="16"/>
  <c r="L64" i="16" s="1"/>
  <c r="L62" i="16"/>
  <c r="K202" i="5" l="1"/>
  <c r="M21" i="42668"/>
  <c r="M21" i="42667"/>
  <c r="M24" i="42667" s="1"/>
  <c r="F223" i="5"/>
  <c r="O15" i="42668"/>
  <c r="Q15" i="42668"/>
  <c r="P15" i="42668"/>
  <c r="K217" i="5"/>
  <c r="I220" i="5"/>
  <c r="Q18" i="42667"/>
  <c r="P18" i="42667"/>
  <c r="O18" i="42667"/>
  <c r="Q16" i="42667"/>
  <c r="O16" i="42667"/>
  <c r="P16" i="42667"/>
  <c r="O16" i="42668"/>
  <c r="Q16" i="42668"/>
  <c r="P16" i="42668"/>
  <c r="Q17" i="42667"/>
  <c r="P17" i="42667"/>
  <c r="O17" i="42667"/>
  <c r="O18" i="42668"/>
  <c r="Q18" i="42668"/>
  <c r="P18" i="42668"/>
  <c r="O17" i="42668"/>
  <c r="P17" i="42668"/>
  <c r="Q17" i="42668"/>
  <c r="N21" i="42668"/>
  <c r="K124" i="16"/>
  <c r="I125" i="16"/>
  <c r="P15" i="42667"/>
  <c r="Q15" i="42667"/>
  <c r="O15" i="42667"/>
  <c r="I214" i="5"/>
  <c r="K211" i="5"/>
  <c r="K214" i="5" s="1"/>
  <c r="L21" i="42668"/>
  <c r="L24" i="42668" s="1"/>
  <c r="N21" i="42667"/>
  <c r="M24" i="42668" l="1"/>
  <c r="K221" i="5"/>
  <c r="I221" i="5"/>
  <c r="I222" i="5" s="1"/>
  <c r="Q21" i="42667"/>
  <c r="Q24" i="42667" s="1"/>
  <c r="N32" i="42667" s="1"/>
  <c r="I223" i="5"/>
  <c r="Q21" i="42668"/>
  <c r="Q24" i="42668" s="1"/>
  <c r="N32" i="42668" s="1"/>
  <c r="K220" i="5"/>
  <c r="L217" i="5"/>
  <c r="N24" i="42667"/>
  <c r="O21" i="42667"/>
  <c r="L221" i="5"/>
  <c r="P21" i="42667"/>
  <c r="O21" i="42668"/>
  <c r="P21" i="42668"/>
  <c r="N24" i="42668"/>
  <c r="L124" i="16"/>
  <c r="K125" i="16"/>
  <c r="L125" i="16" s="1"/>
  <c r="K223" i="5" l="1"/>
  <c r="O24" i="42667"/>
  <c r="P24" i="42667"/>
  <c r="O24" i="42668"/>
  <c r="P24" i="42668"/>
  <c r="L220" i="5"/>
  <c r="K222" i="5"/>
</calcChain>
</file>

<file path=xl/comments1.xml><?xml version="1.0" encoding="utf-8"?>
<comments xmlns="http://schemas.openxmlformats.org/spreadsheetml/2006/main">
  <authors>
    <author>jphelp</author>
  </authors>
  <commentList>
    <comment ref="F52" authorId="0">
      <text>
        <r>
          <rPr>
            <b/>
            <sz val="8"/>
            <color indexed="81"/>
            <rFont val="Tahoma"/>
            <family val="2"/>
          </rPr>
          <t>jphelp:</t>
        </r>
        <r>
          <rPr>
            <sz val="8"/>
            <color indexed="81"/>
            <rFont val="Tahoma"/>
            <family val="2"/>
          </rPr>
          <t xml:space="preserve">
Revenue from the first 900 therms is counted under minimum bill charges, because all customers pay the minimum whether they consume 900 therms or not. (03/09)</t>
        </r>
      </text>
    </comment>
    <comment ref="F74" authorId="0">
      <text>
        <r>
          <rPr>
            <b/>
            <sz val="8"/>
            <color indexed="81"/>
            <rFont val="Tahoma"/>
            <family val="2"/>
          </rPr>
          <t>jphelp:</t>
        </r>
        <r>
          <rPr>
            <sz val="8"/>
            <color indexed="81"/>
            <rFont val="Tahoma"/>
            <family val="2"/>
          </rPr>
          <t xml:space="preserve">
Revenue from the first 900 therms is counted under minimum bill charges, because all customers pay the minimum whether they consume 900 therms or not. (03/09)</t>
        </r>
      </text>
    </comment>
    <comment ref="F93" authorId="0">
      <text>
        <r>
          <rPr>
            <b/>
            <sz val="8"/>
            <color indexed="81"/>
            <rFont val="Tahoma"/>
            <family val="2"/>
          </rPr>
          <t>jphelp:</t>
        </r>
        <r>
          <rPr>
            <sz val="8"/>
            <color indexed="81"/>
            <rFont val="Tahoma"/>
            <family val="2"/>
          </rPr>
          <t xml:space="preserve">
Revenue from the first 900 therms is counted under minimum bill charges, because all customers pay the minimum whether they consume 900 therms or not. (03/09)</t>
        </r>
      </text>
    </comment>
  </commentList>
</comments>
</file>

<file path=xl/sharedStrings.xml><?xml version="1.0" encoding="utf-8"?>
<sst xmlns="http://schemas.openxmlformats.org/spreadsheetml/2006/main" count="736" uniqueCount="215">
  <si>
    <t xml:space="preserve">Billing </t>
  </si>
  <si>
    <t>Proposed</t>
  </si>
  <si>
    <t xml:space="preserve">Difference </t>
  </si>
  <si>
    <t>Description</t>
  </si>
  <si>
    <t>Determinants</t>
  </si>
  <si>
    <t>Rates</t>
  </si>
  <si>
    <t>$</t>
  </si>
  <si>
    <t>%</t>
  </si>
  <si>
    <t>TARGET</t>
  </si>
  <si>
    <t>Mantles</t>
  </si>
  <si>
    <t>Therms</t>
  </si>
  <si>
    <t>Minimum Bill</t>
  </si>
  <si>
    <t>All over 5,000 therms</t>
  </si>
  <si>
    <t>First 25,000 Therms</t>
  </si>
  <si>
    <t>Next 25,000 Therms</t>
  </si>
  <si>
    <t>All over 50,000 Therms</t>
  </si>
  <si>
    <t>First 1,000 therms</t>
  </si>
  <si>
    <t>All over 1,000 therms</t>
  </si>
  <si>
    <t>Next 50,000 Therms</t>
  </si>
  <si>
    <t>Next 100,000 therms</t>
  </si>
  <si>
    <t>Next 300,000 therms</t>
  </si>
  <si>
    <t>All over 500,000 therms</t>
  </si>
  <si>
    <t>Current</t>
  </si>
  <si>
    <t>Total</t>
  </si>
  <si>
    <t>Demand Charge</t>
  </si>
  <si>
    <t>Schedule</t>
  </si>
  <si>
    <t>Total Revenues</t>
  </si>
  <si>
    <t>Revenues</t>
  </si>
  <si>
    <t>71</t>
  </si>
  <si>
    <t>71G-A</t>
  </si>
  <si>
    <t xml:space="preserve">Standard Models </t>
  </si>
  <si>
    <t>71G-B</t>
  </si>
  <si>
    <t xml:space="preserve">Conservation Models </t>
  </si>
  <si>
    <t>71G-C</t>
  </si>
  <si>
    <t xml:space="preserve">Direct Vent Models </t>
  </si>
  <si>
    <t>71G-D</t>
  </si>
  <si>
    <t xml:space="preserve">High Recovery Models </t>
  </si>
  <si>
    <t>71G-E</t>
  </si>
  <si>
    <t xml:space="preserve">High Efficiency Standard (Energy Factor ≥.60)  </t>
  </si>
  <si>
    <t>71G-F</t>
  </si>
  <si>
    <t xml:space="preserve">High Efficiency Direct Vent (Energy Factor ≥.60) </t>
  </si>
  <si>
    <t>72</t>
  </si>
  <si>
    <t>72G-F</t>
  </si>
  <si>
    <t xml:space="preserve">25 - 40 gallon storage 30,000 to 50,000 </t>
  </si>
  <si>
    <t>72G-G</t>
  </si>
  <si>
    <t xml:space="preserve">45 - 55 gallon storage 70,000 to 79,000 </t>
  </si>
  <si>
    <t>72G-H</t>
  </si>
  <si>
    <t xml:space="preserve">45 - 55 gallon storage 51,000 to 75,000 </t>
  </si>
  <si>
    <t>72G-I</t>
  </si>
  <si>
    <t xml:space="preserve">50 - 65 gallon storage 60,000 to 69,000 </t>
  </si>
  <si>
    <t>72G-J</t>
  </si>
  <si>
    <t xml:space="preserve">60 - 84 gallon storage 70,000 to 129,000 </t>
  </si>
  <si>
    <t>72G-K</t>
  </si>
  <si>
    <t xml:space="preserve">75 - 90 gallon storage 130,000 to 169,000 </t>
  </si>
  <si>
    <t>72G-L</t>
  </si>
  <si>
    <t xml:space="preserve">75 - 100 gallon storage 170,000 to 200,000 </t>
  </si>
  <si>
    <t>74</t>
  </si>
  <si>
    <t>74G-A</t>
  </si>
  <si>
    <t xml:space="preserve">45,000 to 400,000 Standard Models </t>
  </si>
  <si>
    <t>74G-B</t>
  </si>
  <si>
    <t xml:space="preserve">401,000 to 700,000 Standard Models </t>
  </si>
  <si>
    <t>74G-C</t>
  </si>
  <si>
    <t xml:space="preserve">701,000 to 1,300,000 Standard Models </t>
  </si>
  <si>
    <t>74G-D</t>
  </si>
  <si>
    <t xml:space="preserve">45,000 to 400,000 Conservation Models </t>
  </si>
  <si>
    <t>Increase</t>
  </si>
  <si>
    <t>Procurement Charge</t>
  </si>
  <si>
    <t>Bills</t>
  </si>
  <si>
    <t>Calculated Total Therms</t>
  </si>
  <si>
    <t>Rate Class</t>
  </si>
  <si>
    <t>Puget Sound Energy</t>
  </si>
  <si>
    <t>Schedule 23</t>
  </si>
  <si>
    <t>Schedule 16</t>
  </si>
  <si>
    <t>Schedule 53</t>
  </si>
  <si>
    <t>Demand</t>
  </si>
  <si>
    <t>Units</t>
  </si>
  <si>
    <t>Volume</t>
  </si>
  <si>
    <t>Pro forma</t>
  </si>
  <si>
    <t>Revenue at</t>
  </si>
  <si>
    <t>Existing</t>
  </si>
  <si>
    <t>Gas Revenue</t>
  </si>
  <si>
    <t>at Existing</t>
  </si>
  <si>
    <t>Delivery Charge</t>
  </si>
  <si>
    <t>Rate</t>
  </si>
  <si>
    <t>Delivery Charge:</t>
  </si>
  <si>
    <t>Volumetric Charge</t>
  </si>
  <si>
    <t>Margin</t>
  </si>
  <si>
    <t>(Therms)</t>
  </si>
  <si>
    <t>Residential (16,23,53)</t>
  </si>
  <si>
    <t>Rentals</t>
  </si>
  <si>
    <t>Other revenue</t>
  </si>
  <si>
    <t>Revenue</t>
  </si>
  <si>
    <t>Percent</t>
  </si>
  <si>
    <t>Proposed total increase</t>
  </si>
  <si>
    <t>Line</t>
  </si>
  <si>
    <t>TARGET 23/53</t>
  </si>
  <si>
    <t>Spread</t>
  </si>
  <si>
    <t>TARGET 16</t>
  </si>
  <si>
    <t xml:space="preserve">Under </t>
  </si>
  <si>
    <t>Existing Rates</t>
  </si>
  <si>
    <t>Proposed Rates</t>
  </si>
  <si>
    <t>Rental Schedules 71, 72 and 74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</si>
  <si>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</si>
  <si>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</si>
  <si>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</si>
  <si>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</si>
  <si>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</si>
  <si>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</si>
  <si>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</si>
  <si>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</si>
  <si>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</si>
  <si>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</si>
  <si>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</si>
  <si>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</si>
  <si>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</si>
  <si>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</si>
  <si>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I</t>
  </si>
  <si>
    <t>Target</t>
  </si>
  <si>
    <t>over (under)</t>
  </si>
  <si>
    <t xml:space="preserve"> </t>
  </si>
  <si>
    <t>Gas Balancing Service Charge</t>
  </si>
  <si>
    <t>Total Volume</t>
  </si>
  <si>
    <t>Total Gas (Schedule 101) Revenues</t>
  </si>
  <si>
    <t>Total Margin Revenues</t>
  </si>
  <si>
    <t>Total Revenue</t>
  </si>
  <si>
    <t>Calculated</t>
  </si>
  <si>
    <t>Change in</t>
  </si>
  <si>
    <t>Minimum Bills</t>
  </si>
  <si>
    <t>Total Residential Gas (Schedule 101) Revenues</t>
  </si>
  <si>
    <t>Total Residential Margin Revenues</t>
  </si>
  <si>
    <t>Total Residential Revenues</t>
  </si>
  <si>
    <t>Check</t>
  </si>
  <si>
    <t>Change</t>
  </si>
  <si>
    <t>in minimum bills</t>
  </si>
  <si>
    <t>Schedule 85 - Sales</t>
  </si>
  <si>
    <t>Schedule 85 - Transportation</t>
  </si>
  <si>
    <t>Schedule 87 - Sales</t>
  </si>
  <si>
    <t>Schedule 87 - Transportation</t>
  </si>
  <si>
    <t>Schedule 41 - Sales</t>
  </si>
  <si>
    <t>Schedule 85 - Total</t>
  </si>
  <si>
    <t>Schedule 41 - Total</t>
  </si>
  <si>
    <t>Schedule 87 - Total</t>
  </si>
  <si>
    <t>Basic Charge</t>
  </si>
  <si>
    <t>Grand Total</t>
  </si>
  <si>
    <t>Contracts</t>
  </si>
  <si>
    <t>Gas Revenue (Schedule 101) (1)</t>
  </si>
  <si>
    <t>Annual</t>
  </si>
  <si>
    <t>Charges</t>
  </si>
  <si>
    <t>Schedule 86 - Sales</t>
  </si>
  <si>
    <t>Schedule 86 - Transportation</t>
  </si>
  <si>
    <t>Schedule 86 - Total</t>
  </si>
  <si>
    <t>Schedule 31 - Sales</t>
  </si>
  <si>
    <t>Schedule 31 - Transportation</t>
  </si>
  <si>
    <t>Schedule 31 - Total</t>
  </si>
  <si>
    <t>Residential Summary</t>
  </si>
  <si>
    <t>Commercial &amp; Industrial Summary</t>
  </si>
  <si>
    <t>Next 4,100 therms</t>
  </si>
  <si>
    <t>Rates (1)</t>
  </si>
  <si>
    <t>Total (2)</t>
  </si>
  <si>
    <t>(2) Calculated margin increase (column M) divided by pro forma revenue at existing rates (column B).</t>
  </si>
  <si>
    <t>Large volume (41,41T)</t>
  </si>
  <si>
    <t>Non exclusive interruptible (87,87T)</t>
  </si>
  <si>
    <t>First 900 therms</t>
  </si>
  <si>
    <t>Interruptible (85, 85T)</t>
  </si>
  <si>
    <t>Schedule 41 - Transportation</t>
  </si>
  <si>
    <t>of Total</t>
  </si>
  <si>
    <t>Uniform</t>
  </si>
  <si>
    <t>Average increase on margin (includes rentals, excludes contracts)</t>
  </si>
  <si>
    <t>Average increase on total (includes rentals, excludes contracts)</t>
  </si>
  <si>
    <t>Adjustment to increase for unequal allocation of increase</t>
  </si>
  <si>
    <t>Resulting</t>
  </si>
  <si>
    <t>Increase Less</t>
  </si>
  <si>
    <t>Rounding error</t>
  </si>
  <si>
    <t>Plus Contracts</t>
  </si>
  <si>
    <t>Average increase on margin after contracts</t>
  </si>
  <si>
    <t>Subtotal revenue from rates</t>
  </si>
  <si>
    <t>Plus Rentals</t>
  </si>
  <si>
    <t>Total Delivery Charge</t>
  </si>
  <si>
    <t>Pro Forma Total</t>
  </si>
  <si>
    <t>Interruptible Summary</t>
  </si>
  <si>
    <t>Total Summary</t>
  </si>
  <si>
    <t>Schedules 85, 85T</t>
  </si>
  <si>
    <t>Schedules 87, 87T</t>
  </si>
  <si>
    <t>Schedules 86, 86T</t>
  </si>
  <si>
    <t>Total Delivery Charges</t>
  </si>
  <si>
    <t>Total Gas Revenue</t>
  </si>
  <si>
    <t>Gas Revenue (Schedule 101)</t>
  </si>
  <si>
    <t>Limited interruptible (86, 86T)</t>
  </si>
  <si>
    <t>Current and Proposed Rates by Rate Schedule</t>
  </si>
  <si>
    <t>(1) Schedule 101 rates at proposed revenue adjustment factor (RAF).</t>
  </si>
  <si>
    <t>Schedules 31, 31T, 61</t>
  </si>
  <si>
    <t>Schedule 41, 41T</t>
  </si>
  <si>
    <t>TARGET 31/31T</t>
  </si>
  <si>
    <t>TARGET 41/41T</t>
  </si>
  <si>
    <t>TARGET 85/85T</t>
  </si>
  <si>
    <t>TARGET 86/86T</t>
  </si>
  <si>
    <t>TARGET 87/87T</t>
  </si>
  <si>
    <t>Margin (3)</t>
  </si>
  <si>
    <t>P</t>
  </si>
  <si>
    <t>(3) Calculated margin increase (column M) divided by pro forma margin at existing rates (column D).</t>
  </si>
  <si>
    <t>Over</t>
  </si>
  <si>
    <t>(Under)</t>
  </si>
  <si>
    <t>Less</t>
  </si>
  <si>
    <t>of</t>
  </si>
  <si>
    <t>Test Year Ended September 2015</t>
  </si>
  <si>
    <t>Schedules 31, 31T</t>
  </si>
  <si>
    <t>Commercial &amp; industrial (31,31T)</t>
  </si>
  <si>
    <t>at Proposed Rates</t>
  </si>
  <si>
    <t>Allocation of Revenue Deficiency to Rate Classes With Proposed PGA Allocation</t>
  </si>
  <si>
    <t>Allocation of Revenue Deficiency to Rate Classes At Existing PGA Allocation</t>
  </si>
  <si>
    <t>Rates (4)</t>
  </si>
  <si>
    <t>2017 Gas General Rate Case</t>
  </si>
  <si>
    <t>Test Year Ended September 2016</t>
  </si>
  <si>
    <t>(4) Pro forma gas revenue at proposed PGA allocation based on 2016 PGA rates.</t>
  </si>
  <si>
    <t>(1) Pro forma gas revenue at rates (2016 PGA) in place at the time of filing.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</si>
</sst>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&quot;$&quot;#,##0.00"/>
    <numFmt numFmtId="168" formatCode="#,##0.00000"/>
    <numFmt numFmtId="169" formatCode="&quot;$&quot;#,##0.00000"/>
    <numFmt numFmtId="170" formatCode="0.000%"/>
    <numFmt numFmtId="171" formatCode="_(&quot;$&quot;* #,##0.0000_);_(&quot;$&quot;* \(#,##0.0000\);_(&quot;$&quot;* &quot;-&quot;????_);_(@_)"/>
    <numFmt numFmtId="172" formatCode="&quot;$&quot;#,##0.00000\ ;\(&quot;$&quot;#,##0.00000\)"/>
    <numFmt numFmtId="173" formatCode="&quot;$&quot;#,##0.00\ ;\(&quot;$&quot;#,##0.00\)"/>
    <numFmt numFmtId="174" formatCode="#,##0.0"/>
    <numFmt numFmtId="175" formatCode="&quot;$&quot;#,##0\ ;\(&quot;$&quot;#,##0\)"/>
    <numFmt numFmtId="176" formatCode="&quot;$&quot;#,##0.0000\ ;\(&quot;$&quot;#,##0.0000\)"/>
    <numFmt numFmtId="177" formatCode="0.000000"/>
    <numFmt numFmtId="178" formatCode="0.0%"/>
    <numFmt numFmtId="179" formatCode="00000"/>
    <numFmt numFmtId="180" formatCode="#,##0.00000000000;[Red]\-#,##0.00000000000"/>
    <numFmt numFmtId="181" formatCode="_(&quot;$&quot;* #,##0.00000_);_(&quot;$&quot;* \(#,##0.00000\);_(&quot;$&quot;* &quot;-&quot;??_);_(@_)"/>
    <numFmt numFmtId="182" formatCode="0.0000%"/>
    <numFmt numFmtId="183" formatCode="&quot;$&quot;#,##0.000\ ;\(&quot;$&quot;#,##0.000\)"/>
    <numFmt numFmtId="184" formatCode="#,##0.000"/>
    <numFmt numFmtId="185" formatCode="_(* #,##0.0_);_(* \(#,##0.0\);_(* &quot;-&quot;_);_(@_)"/>
  </numFmts>
  <fonts count="2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4"/>
      <color indexed="56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12"/>
      <name val="Helv"/>
    </font>
    <font>
      <b/>
      <sz val="10"/>
      <name val="Helv"/>
    </font>
    <font>
      <b/>
      <sz val="12"/>
      <color indexed="60"/>
      <name val="Arial"/>
      <family val="2"/>
    </font>
    <font>
      <b/>
      <sz val="18"/>
      <name val="Arial"/>
      <family val="2"/>
    </font>
    <font>
      <b/>
      <i/>
      <sz val="10"/>
      <name val="Helv"/>
    </font>
    <font>
      <i/>
      <sz val="10"/>
      <name val="Helv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41" fontId="1" fillId="2" borderId="0"/>
    <xf numFmtId="43" fontId="1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1" fillId="0" borderId="0" applyFont="0" applyFill="0" applyBorder="0" applyAlignment="0" applyProtection="0"/>
    <xf numFmtId="179" fontId="1" fillId="0" borderId="0"/>
    <xf numFmtId="2" fontId="2" fillId="0" borderId="0" applyFont="0" applyFill="0" applyBorder="0" applyAlignment="0" applyProtection="0"/>
    <xf numFmtId="38" fontId="16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38" fontId="17" fillId="0" borderId="0"/>
    <xf numFmtId="40" fontId="17" fillId="0" borderId="0"/>
    <xf numFmtId="10" fontId="16" fillId="2" borderId="1" applyNumberFormat="0" applyBorder="0" applyAlignment="0" applyProtection="0"/>
    <xf numFmtId="44" fontId="18" fillId="0" borderId="2" applyNumberFormat="0" applyFont="0" applyAlignment="0">
      <alignment horizontal="center"/>
    </xf>
    <xf numFmtId="44" fontId="18" fillId="0" borderId="3" applyNumberFormat="0" applyFont="0" applyAlignment="0">
      <alignment horizontal="center"/>
    </xf>
    <xf numFmtId="180" fontId="1" fillId="0" borderId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42" fontId="3" fillId="2" borderId="0"/>
    <xf numFmtId="0" fontId="10" fillId="4" borderId="0"/>
    <xf numFmtId="0" fontId="11" fillId="4" borderId="4"/>
    <xf numFmtId="0" fontId="14" fillId="5" borderId="5"/>
    <xf numFmtId="0" fontId="15" fillId="4" borderId="6"/>
    <xf numFmtId="42" fontId="4" fillId="6" borderId="7">
      <alignment vertical="center"/>
    </xf>
    <xf numFmtId="0" fontId="5" fillId="2" borderId="8" applyNumberFormat="0">
      <alignment horizontal="center" vertical="center" wrapText="1"/>
    </xf>
    <xf numFmtId="171" fontId="1" fillId="2" borderId="0"/>
    <xf numFmtId="42" fontId="6" fillId="2" borderId="9">
      <alignment horizontal="left"/>
    </xf>
    <xf numFmtId="38" fontId="16" fillId="0" borderId="10"/>
    <xf numFmtId="38" fontId="17" fillId="0" borderId="9"/>
    <xf numFmtId="177" fontId="1" fillId="0" borderId="0">
      <alignment horizontal="left" wrapText="1"/>
    </xf>
    <xf numFmtId="0" fontId="3" fillId="0" borderId="0" applyNumberFormat="0" applyBorder="0" applyAlignment="0"/>
    <xf numFmtId="0" fontId="10" fillId="0" borderId="0"/>
    <xf numFmtId="0" fontId="11" fillId="4" borderId="0"/>
    <xf numFmtId="167" fontId="12" fillId="0" borderId="0">
      <alignment horizontal="left" vertical="center"/>
    </xf>
    <xf numFmtId="0" fontId="5" fillId="2" borderId="0">
      <alignment horizontal="left" wrapText="1"/>
    </xf>
    <xf numFmtId="0" fontId="7" fillId="0" borderId="0">
      <alignment horizontal="left" vertical="center"/>
    </xf>
    <xf numFmtId="0" fontId="1" fillId="0" borderId="11" applyNumberFormat="0" applyFont="0" applyFill="0" applyAlignment="0" applyProtection="0"/>
    <xf numFmtId="0" fontId="1" fillId="0" borderId="0"/>
  </cellStyleXfs>
  <cellXfs count="39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Continuous"/>
    </xf>
    <xf numFmtId="0" fontId="5" fillId="0" borderId="16" xfId="0" applyFont="1" applyBorder="1" applyProtection="1">
      <protection locked="0"/>
    </xf>
    <xf numFmtId="0" fontId="5" fillId="0" borderId="12" xfId="0" applyFont="1" applyBorder="1"/>
    <xf numFmtId="0" fontId="5" fillId="0" borderId="12" xfId="0" applyFont="1" applyFill="1" applyBorder="1"/>
    <xf numFmtId="0" fontId="5" fillId="0" borderId="0" xfId="0" applyFont="1" applyFill="1" applyBorder="1"/>
    <xf numFmtId="0" fontId="5" fillId="0" borderId="14" xfId="0" applyFont="1" applyBorder="1"/>
    <xf numFmtId="175" fontId="5" fillId="0" borderId="0" xfId="0" applyNumberFormat="1" applyFont="1" applyBorder="1"/>
    <xf numFmtId="175" fontId="5" fillId="0" borderId="0" xfId="0" applyNumberFormat="1" applyFont="1" applyFill="1" applyBorder="1"/>
    <xf numFmtId="175" fontId="5" fillId="0" borderId="8" xfId="0" applyNumberFormat="1" applyFont="1" applyBorder="1"/>
    <xf numFmtId="0" fontId="5" fillId="0" borderId="16" xfId="0" applyFont="1" applyFill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0" xfId="0" applyFont="1" applyBorder="1"/>
    <xf numFmtId="0" fontId="5" fillId="0" borderId="9" xfId="0" applyFont="1" applyFill="1" applyBorder="1" applyProtection="1">
      <protection locked="0"/>
    </xf>
    <xf numFmtId="0" fontId="5" fillId="0" borderId="8" xfId="0" applyFont="1" applyBorder="1"/>
    <xf numFmtId="3" fontId="1" fillId="0" borderId="0" xfId="37" applyNumberFormat="1" applyFont="1" applyFill="1" applyBorder="1"/>
    <xf numFmtId="0" fontId="5" fillId="0" borderId="0" xfId="37" applyFont="1" applyAlignment="1">
      <alignment horizontal="centerContinuous"/>
    </xf>
    <xf numFmtId="0" fontId="5" fillId="0" borderId="16" xfId="37" applyFont="1" applyBorder="1" applyProtection="1">
      <protection locked="0"/>
    </xf>
    <xf numFmtId="0" fontId="1" fillId="0" borderId="0" xfId="37" applyFont="1" applyBorder="1"/>
    <xf numFmtId="0" fontId="1" fillId="0" borderId="12" xfId="37" applyFont="1" applyBorder="1"/>
    <xf numFmtId="0" fontId="1" fillId="0" borderId="12" xfId="37" applyFont="1" applyBorder="1" applyProtection="1">
      <protection locked="0"/>
    </xf>
    <xf numFmtId="0" fontId="1" fillId="0" borderId="9" xfId="37" applyFont="1" applyBorder="1" applyProtection="1">
      <protection locked="0"/>
    </xf>
    <xf numFmtId="0" fontId="1" fillId="0" borderId="0" xfId="37" applyFont="1" applyBorder="1" applyProtection="1">
      <protection locked="0"/>
    </xf>
    <xf numFmtId="0" fontId="1" fillId="0" borderId="0" xfId="37" applyFont="1" applyFill="1"/>
    <xf numFmtId="0" fontId="1" fillId="0" borderId="8" xfId="37" applyFont="1" applyFill="1" applyBorder="1" applyAlignment="1">
      <alignment horizontal="center"/>
    </xf>
    <xf numFmtId="0" fontId="1" fillId="0" borderId="0" xfId="37" applyFont="1" applyFill="1" applyBorder="1" applyAlignment="1">
      <alignment horizontal="center"/>
    </xf>
    <xf numFmtId="165" fontId="1" fillId="0" borderId="0" xfId="37" applyNumberFormat="1" applyFont="1" applyFill="1"/>
    <xf numFmtId="0" fontId="5" fillId="0" borderId="0" xfId="37" applyFont="1" applyFill="1" applyBorder="1" applyAlignment="1">
      <alignment horizontal="centerContinuous"/>
    </xf>
    <xf numFmtId="0" fontId="1" fillId="0" borderId="0" xfId="37" applyFont="1" applyFill="1" applyBorder="1" applyAlignment="1">
      <alignment horizontal="center" wrapText="1"/>
    </xf>
    <xf numFmtId="41" fontId="1" fillId="0" borderId="0" xfId="37" applyNumberFormat="1" applyFont="1" applyFill="1"/>
    <xf numFmtId="0" fontId="5" fillId="0" borderId="0" xfId="37" applyFont="1"/>
    <xf numFmtId="42" fontId="1" fillId="0" borderId="0" xfId="0" applyNumberFormat="1" applyFont="1" applyFill="1" applyBorder="1"/>
    <xf numFmtId="0" fontId="1" fillId="0" borderId="0" xfId="0" applyFont="1" applyFill="1"/>
    <xf numFmtId="0" fontId="5" fillId="0" borderId="0" xfId="0" applyFont="1" applyFill="1" applyAlignment="1">
      <alignment horizontal="centerContinuous"/>
    </xf>
    <xf numFmtId="0" fontId="1" fillId="0" borderId="0" xfId="37" applyFont="1" applyFill="1" applyBorder="1"/>
    <xf numFmtId="0" fontId="1" fillId="0" borderId="0" xfId="37" applyFont="1" applyBorder="1" applyAlignment="1">
      <alignment horizontal="center"/>
    </xf>
    <xf numFmtId="0" fontId="1" fillId="0" borderId="0" xfId="37" applyFont="1" applyFill="1" applyBorder="1" applyProtection="1">
      <protection locked="0"/>
    </xf>
    <xf numFmtId="0" fontId="5" fillId="0" borderId="0" xfId="37" applyFont="1" applyFill="1" applyBorder="1" applyProtection="1">
      <protection locked="0"/>
    </xf>
    <xf numFmtId="8" fontId="1" fillId="0" borderId="0" xfId="37" applyNumberFormat="1" applyFont="1" applyBorder="1"/>
    <xf numFmtId="0" fontId="5" fillId="0" borderId="16" xfId="37" applyFont="1" applyFill="1" applyBorder="1" applyProtection="1">
      <protection locked="0"/>
    </xf>
    <xf numFmtId="0" fontId="1" fillId="0" borderId="12" xfId="37" applyFont="1" applyFill="1" applyBorder="1"/>
    <xf numFmtId="172" fontId="1" fillId="0" borderId="0" xfId="37" applyNumberFormat="1" applyFont="1" applyFill="1" applyBorder="1"/>
    <xf numFmtId="173" fontId="1" fillId="0" borderId="0" xfId="37" applyNumberFormat="1" applyFont="1" applyFill="1" applyBorder="1"/>
    <xf numFmtId="3" fontId="1" fillId="0" borderId="9" xfId="37" applyNumberFormat="1" applyFont="1" applyFill="1" applyBorder="1"/>
    <xf numFmtId="175" fontId="1" fillId="0" borderId="19" xfId="37" applyNumberFormat="1" applyFont="1" applyBorder="1" applyAlignment="1">
      <alignment horizontal="center"/>
    </xf>
    <xf numFmtId="0" fontId="1" fillId="0" borderId="9" xfId="37" applyFont="1" applyFill="1" applyBorder="1" applyProtection="1">
      <protection locked="0"/>
    </xf>
    <xf numFmtId="0" fontId="1" fillId="0" borderId="12" xfId="37" applyFont="1" applyFill="1" applyBorder="1" applyProtection="1">
      <protection locked="0"/>
    </xf>
    <xf numFmtId="3" fontId="1" fillId="0" borderId="8" xfId="37" applyNumberFormat="1" applyFont="1" applyFill="1" applyBorder="1"/>
    <xf numFmtId="178" fontId="1" fillId="0" borderId="0" xfId="23" applyNumberFormat="1" applyFont="1" applyBorder="1"/>
    <xf numFmtId="0" fontId="1" fillId="0" borderId="0" xfId="0" applyFont="1" applyFill="1" applyAlignment="1"/>
    <xf numFmtId="42" fontId="1" fillId="0" borderId="0" xfId="37" applyNumberFormat="1" applyFont="1" applyFill="1"/>
    <xf numFmtId="0" fontId="1" fillId="0" borderId="0" xfId="37" applyFont="1" applyFill="1" applyAlignment="1">
      <alignment horizontal="centerContinuous"/>
    </xf>
    <xf numFmtId="0" fontId="1" fillId="0" borderId="0" xfId="37" applyFont="1" applyFill="1" applyBorder="1" applyAlignment="1"/>
    <xf numFmtId="0" fontId="1" fillId="0" borderId="0" xfId="37" applyFont="1" applyFill="1" applyAlignment="1">
      <alignment horizontal="center"/>
    </xf>
    <xf numFmtId="0" fontId="1" fillId="0" borderId="0" xfId="37" applyFont="1" applyFill="1" applyAlignment="1"/>
    <xf numFmtId="0" fontId="1" fillId="0" borderId="0" xfId="0" applyFont="1" applyAlignment="1">
      <alignment horizontal="center"/>
    </xf>
    <xf numFmtId="0" fontId="1" fillId="0" borderId="0" xfId="37" applyFont="1" applyFill="1" applyAlignment="1">
      <alignment horizontal="right"/>
    </xf>
    <xf numFmtId="164" fontId="1" fillId="0" borderId="0" xfId="0" applyNumberFormat="1" applyFont="1" applyBorder="1"/>
    <xf numFmtId="44" fontId="1" fillId="0" borderId="0" xfId="7" applyFont="1"/>
    <xf numFmtId="44" fontId="1" fillId="0" borderId="0" xfId="37" applyNumberFormat="1" applyFont="1" applyFill="1" applyBorder="1"/>
    <xf numFmtId="44" fontId="1" fillId="0" borderId="0" xfId="37" applyNumberFormat="1" applyFont="1" applyFill="1"/>
    <xf numFmtId="9" fontId="1" fillId="0" borderId="0" xfId="23" applyFont="1" applyFill="1" applyBorder="1"/>
    <xf numFmtId="9" fontId="1" fillId="0" borderId="0" xfId="23" applyNumberFormat="1" applyFont="1" applyFill="1" applyBorder="1"/>
    <xf numFmtId="44" fontId="1" fillId="0" borderId="22" xfId="37" applyNumberFormat="1" applyFont="1" applyFill="1" applyBorder="1" applyAlignment="1">
      <alignment horizontal="center"/>
    </xf>
    <xf numFmtId="165" fontId="1" fillId="0" borderId="21" xfId="37" applyNumberFormat="1" applyFont="1" applyFill="1" applyBorder="1"/>
    <xf numFmtId="44" fontId="1" fillId="0" borderId="21" xfId="37" applyNumberFormat="1" applyFont="1" applyFill="1" applyBorder="1" applyAlignment="1">
      <alignment horizontal="center"/>
    </xf>
    <xf numFmtId="164" fontId="1" fillId="0" borderId="8" xfId="0" applyNumberFormat="1" applyFont="1" applyBorder="1"/>
    <xf numFmtId="165" fontId="1" fillId="0" borderId="20" xfId="37" applyNumberFormat="1" applyFont="1" applyFill="1" applyBorder="1"/>
    <xf numFmtId="165" fontId="1" fillId="0" borderId="9" xfId="37" applyNumberFormat="1" applyFont="1" applyFill="1" applyBorder="1"/>
    <xf numFmtId="42" fontId="1" fillId="0" borderId="9" xfId="37" applyNumberFormat="1" applyFont="1" applyFill="1" applyBorder="1"/>
    <xf numFmtId="165" fontId="1" fillId="0" borderId="0" xfId="37" applyNumberFormat="1" applyFont="1" applyFill="1" applyBorder="1"/>
    <xf numFmtId="0" fontId="1" fillId="0" borderId="0" xfId="37" applyFont="1" applyFill="1" applyBorder="1" applyAlignment="1">
      <alignment horizontal="right"/>
    </xf>
    <xf numFmtId="3" fontId="1" fillId="0" borderId="0" xfId="37" applyNumberFormat="1" applyFont="1" applyFill="1"/>
    <xf numFmtId="170" fontId="1" fillId="0" borderId="1" xfId="23" applyNumberFormat="1" applyFont="1" applyFill="1" applyBorder="1" applyAlignment="1">
      <alignment horizontal="right"/>
    </xf>
    <xf numFmtId="165" fontId="1" fillId="0" borderId="0" xfId="37" applyNumberFormat="1" applyFont="1" applyFill="1" applyBorder="1" applyAlignment="1">
      <alignment horizontal="center"/>
    </xf>
    <xf numFmtId="44" fontId="1" fillId="0" borderId="0" xfId="37" applyNumberFormat="1" applyFont="1" applyFill="1" applyBorder="1" applyAlignment="1">
      <alignment horizontal="right"/>
    </xf>
    <xf numFmtId="10" fontId="1" fillId="0" borderId="0" xfId="37" applyNumberFormat="1" applyFont="1" applyFill="1" applyBorder="1"/>
    <xf numFmtId="10" fontId="1" fillId="0" borderId="0" xfId="37" applyNumberFormat="1" applyFont="1" applyFill="1"/>
    <xf numFmtId="0" fontId="1" fillId="0" borderId="0" xfId="37" applyFont="1"/>
    <xf numFmtId="0" fontId="1" fillId="0" borderId="0" xfId="37" applyFont="1" applyAlignment="1">
      <alignment horizontal="centerContinuous"/>
    </xf>
    <xf numFmtId="3" fontId="1" fillId="0" borderId="0" xfId="37" applyNumberFormat="1" applyFont="1" applyFill="1" applyAlignment="1">
      <alignment horizontal="centerContinuous"/>
    </xf>
    <xf numFmtId="172" fontId="1" fillId="0" borderId="0" xfId="37" applyNumberFormat="1" applyFont="1" applyAlignment="1">
      <alignment horizontal="centerContinuous"/>
    </xf>
    <xf numFmtId="173" fontId="1" fillId="0" borderId="0" xfId="37" applyNumberFormat="1" applyFont="1" applyAlignment="1">
      <alignment horizontal="centerContinuous"/>
    </xf>
    <xf numFmtId="3" fontId="1" fillId="0" borderId="0" xfId="37" applyNumberFormat="1" applyFont="1" applyFill="1" applyBorder="1" applyAlignment="1">
      <alignment horizontal="centerContinuous"/>
    </xf>
    <xf numFmtId="173" fontId="1" fillId="0" borderId="0" xfId="37" applyNumberFormat="1" applyFont="1" applyFill="1" applyAlignment="1">
      <alignment horizontal="centerContinuous"/>
    </xf>
    <xf numFmtId="170" fontId="1" fillId="0" borderId="0" xfId="37" applyNumberFormat="1" applyFont="1" applyAlignment="1">
      <alignment horizontal="centerContinuous"/>
    </xf>
    <xf numFmtId="170" fontId="1" fillId="0" borderId="0" xfId="37" applyNumberFormat="1" applyFont="1" applyBorder="1" applyAlignment="1">
      <alignment horizontal="centerContinuous"/>
    </xf>
    <xf numFmtId="0" fontId="1" fillId="0" borderId="0" xfId="37" applyFont="1" applyBorder="1" applyAlignment="1">
      <alignment horizontal="centerContinuous"/>
    </xf>
    <xf numFmtId="0" fontId="1" fillId="0" borderId="0" xfId="37" applyFont="1" applyBorder="1" applyAlignment="1">
      <alignment horizontal="left"/>
    </xf>
    <xf numFmtId="172" fontId="1" fillId="0" borderId="0" xfId="37" applyNumberFormat="1" applyFont="1" applyBorder="1"/>
    <xf numFmtId="173" fontId="1" fillId="0" borderId="0" xfId="37" applyNumberFormat="1" applyFont="1" applyBorder="1"/>
    <xf numFmtId="170" fontId="1" fillId="0" borderId="0" xfId="37" applyNumberFormat="1" applyFont="1" applyBorder="1" applyAlignment="1">
      <alignment horizontal="right"/>
    </xf>
    <xf numFmtId="170" fontId="1" fillId="0" borderId="0" xfId="37" applyNumberFormat="1" applyFont="1" applyBorder="1" applyAlignment="1">
      <alignment horizontal="left"/>
    </xf>
    <xf numFmtId="0" fontId="1" fillId="0" borderId="13" xfId="37" applyFont="1" applyBorder="1" applyAlignment="1">
      <alignment horizontal="center"/>
    </xf>
    <xf numFmtId="0" fontId="1" fillId="0" borderId="9" xfId="37" applyFont="1" applyBorder="1" applyAlignment="1">
      <alignment horizontal="center"/>
    </xf>
    <xf numFmtId="3" fontId="1" fillId="0" borderId="9" xfId="37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Continuous"/>
    </xf>
    <xf numFmtId="173" fontId="1" fillId="0" borderId="7" xfId="37" applyNumberFormat="1" applyFont="1" applyBorder="1" applyAlignment="1">
      <alignment horizontal="centerContinuous"/>
    </xf>
    <xf numFmtId="173" fontId="1" fillId="0" borderId="7" xfId="37" applyNumberFormat="1" applyFont="1" applyFill="1" applyBorder="1" applyAlignment="1">
      <alignment horizontal="centerContinuous"/>
    </xf>
    <xf numFmtId="173" fontId="1" fillId="0" borderId="9" xfId="37" applyNumberFormat="1" applyFont="1" applyBorder="1" applyAlignment="1">
      <alignment horizontal="left"/>
    </xf>
    <xf numFmtId="169" fontId="1" fillId="0" borderId="0" xfId="0" applyNumberFormat="1" applyFont="1" applyBorder="1" applyAlignment="1">
      <alignment horizontal="center"/>
    </xf>
    <xf numFmtId="0" fontId="1" fillId="0" borderId="14" xfId="37" applyFont="1" applyBorder="1" applyAlignment="1">
      <alignment horizontal="center"/>
    </xf>
    <xf numFmtId="3" fontId="1" fillId="0" borderId="8" xfId="37" applyNumberFormat="1" applyFont="1" applyBorder="1" applyAlignment="1">
      <alignment horizontal="center"/>
    </xf>
    <xf numFmtId="3" fontId="1" fillId="0" borderId="8" xfId="37" applyNumberFormat="1" applyFont="1" applyFill="1" applyBorder="1" applyAlignment="1">
      <alignment horizontal="center"/>
    </xf>
    <xf numFmtId="172" fontId="1" fillId="0" borderId="8" xfId="37" applyNumberFormat="1" applyFont="1" applyBorder="1" applyAlignment="1">
      <alignment horizontal="center"/>
    </xf>
    <xf numFmtId="173" fontId="1" fillId="0" borderId="8" xfId="37" applyNumberFormat="1" applyFont="1" applyBorder="1" applyAlignment="1">
      <alignment horizontal="center"/>
    </xf>
    <xf numFmtId="173" fontId="1" fillId="0" borderId="8" xfId="37" applyNumberFormat="1" applyFont="1" applyFill="1" applyBorder="1" applyAlignment="1">
      <alignment horizontal="center"/>
    </xf>
    <xf numFmtId="170" fontId="1" fillId="0" borderId="15" xfId="37" applyNumberFormat="1" applyFont="1" applyBorder="1" applyAlignment="1">
      <alignment horizontal="center"/>
    </xf>
    <xf numFmtId="170" fontId="1" fillId="0" borderId="0" xfId="0" applyNumberFormat="1" applyFont="1" applyBorder="1" applyAlignment="1">
      <alignment horizontal="center"/>
    </xf>
    <xf numFmtId="0" fontId="1" fillId="0" borderId="8" xfId="37" applyFont="1" applyBorder="1" applyAlignment="1">
      <alignment horizontal="center"/>
    </xf>
    <xf numFmtId="169" fontId="1" fillId="0" borderId="8" xfId="0" applyNumberFormat="1" applyFont="1" applyBorder="1" applyAlignment="1">
      <alignment horizontal="center"/>
    </xf>
    <xf numFmtId="3" fontId="1" fillId="0" borderId="0" xfId="37" applyNumberFormat="1" applyFont="1" applyFill="1" applyBorder="1" applyProtection="1">
      <protection locked="0"/>
    </xf>
    <xf numFmtId="173" fontId="1" fillId="0" borderId="0" xfId="37" applyNumberFormat="1" applyFont="1" applyBorder="1" applyAlignment="1">
      <alignment horizontal="right"/>
    </xf>
    <xf numFmtId="170" fontId="1" fillId="0" borderId="19" xfId="37" applyNumberFormat="1" applyFont="1" applyBorder="1" applyAlignment="1">
      <alignment horizontal="right"/>
    </xf>
    <xf numFmtId="172" fontId="1" fillId="0" borderId="9" xfId="37" applyNumberFormat="1" applyFont="1" applyBorder="1"/>
    <xf numFmtId="175" fontId="1" fillId="0" borderId="9" xfId="37" applyNumberFormat="1" applyFont="1" applyBorder="1"/>
    <xf numFmtId="3" fontId="1" fillId="0" borderId="9" xfId="37" applyNumberFormat="1" applyFont="1" applyFill="1" applyBorder="1" applyProtection="1">
      <protection locked="0"/>
    </xf>
    <xf numFmtId="173" fontId="1" fillId="0" borderId="9" xfId="37" applyNumberFormat="1" applyFont="1" applyFill="1" applyBorder="1"/>
    <xf numFmtId="173" fontId="1" fillId="0" borderId="9" xfId="37" applyNumberFormat="1" applyFont="1" applyBorder="1" applyAlignment="1">
      <alignment horizontal="right"/>
    </xf>
    <xf numFmtId="178" fontId="1" fillId="0" borderId="18" xfId="37" applyNumberFormat="1" applyFont="1" applyBorder="1" applyAlignment="1">
      <alignment horizontal="right"/>
    </xf>
    <xf numFmtId="0" fontId="1" fillId="0" borderId="22" xfId="37" applyFont="1" applyBorder="1" applyAlignment="1">
      <alignment horizontal="center"/>
    </xf>
    <xf numFmtId="175" fontId="1" fillId="0" borderId="0" xfId="37" applyNumberFormat="1" applyFont="1" applyBorder="1"/>
    <xf numFmtId="175" fontId="1" fillId="0" borderId="0" xfId="37" applyNumberFormat="1" applyFont="1" applyBorder="1" applyAlignment="1">
      <alignment horizontal="right"/>
    </xf>
    <xf numFmtId="178" fontId="1" fillId="0" borderId="19" xfId="37" applyNumberFormat="1" applyFont="1" applyBorder="1" applyAlignment="1">
      <alignment horizontal="right"/>
    </xf>
    <xf numFmtId="175" fontId="1" fillId="0" borderId="21" xfId="37" applyNumberFormat="1" applyFont="1" applyFill="1" applyBorder="1" applyAlignment="1">
      <alignment horizontal="center"/>
    </xf>
    <xf numFmtId="175" fontId="1" fillId="0" borderId="21" xfId="37" applyNumberFormat="1" applyFont="1" applyBorder="1" applyAlignment="1">
      <alignment horizontal="center"/>
    </xf>
    <xf numFmtId="170" fontId="1" fillId="0" borderId="0" xfId="23" applyNumberFormat="1" applyFont="1" applyBorder="1"/>
    <xf numFmtId="175" fontId="1" fillId="0" borderId="20" xfId="37" applyNumberFormat="1" applyFont="1" applyBorder="1" applyAlignment="1">
      <alignment horizontal="center"/>
    </xf>
    <xf numFmtId="10" fontId="1" fillId="0" borderId="0" xfId="37" applyNumberFormat="1" applyFont="1" applyFill="1" applyBorder="1" applyAlignment="1">
      <alignment horizontal="center"/>
    </xf>
    <xf numFmtId="175" fontId="1" fillId="0" borderId="0" xfId="37" applyNumberFormat="1" applyFont="1" applyFill="1" applyBorder="1" applyAlignment="1">
      <alignment horizontal="right"/>
    </xf>
    <xf numFmtId="10" fontId="1" fillId="0" borderId="0" xfId="37" applyNumberFormat="1" applyFont="1" applyBorder="1" applyAlignment="1">
      <alignment horizontal="center"/>
    </xf>
    <xf numFmtId="182" fontId="1" fillId="0" borderId="1" xfId="23" applyNumberFormat="1" applyFont="1" applyFill="1" applyBorder="1"/>
    <xf numFmtId="178" fontId="1" fillId="0" borderId="19" xfId="37" applyNumberFormat="1" applyFont="1" applyBorder="1"/>
    <xf numFmtId="0" fontId="1" fillId="0" borderId="12" xfId="0" applyFont="1" applyBorder="1" applyProtection="1">
      <protection locked="0"/>
    </xf>
    <xf numFmtId="175" fontId="1" fillId="0" borderId="9" xfId="37" applyNumberFormat="1" applyFont="1" applyBorder="1" applyAlignment="1">
      <alignment horizontal="right"/>
    </xf>
    <xf numFmtId="178" fontId="1" fillId="0" borderId="18" xfId="37" applyNumberFormat="1" applyFont="1" applyFill="1" applyBorder="1" applyAlignment="1">
      <alignment horizontal="right"/>
    </xf>
    <xf numFmtId="172" fontId="1" fillId="0" borderId="0" xfId="37" applyNumberFormat="1" applyFont="1" applyFill="1" applyAlignment="1">
      <alignment horizontal="center"/>
    </xf>
    <xf numFmtId="169" fontId="1" fillId="0" borderId="0" xfId="37" applyNumberFormat="1" applyFont="1" applyFill="1" applyAlignment="1">
      <alignment horizontal="center"/>
    </xf>
    <xf numFmtId="173" fontId="1" fillId="0" borderId="0" xfId="37" applyNumberFormat="1" applyFont="1" applyAlignment="1">
      <alignment horizontal="center"/>
    </xf>
    <xf numFmtId="0" fontId="1" fillId="0" borderId="0" xfId="37" applyFont="1" applyAlignment="1">
      <alignment horizontal="center"/>
    </xf>
    <xf numFmtId="169" fontId="1" fillId="0" borderId="0" xfId="37" applyNumberFormat="1" applyFont="1" applyAlignment="1">
      <alignment horizontal="center"/>
    </xf>
    <xf numFmtId="0" fontId="1" fillId="0" borderId="12" xfId="0" applyFont="1" applyBorder="1"/>
    <xf numFmtId="3" fontId="1" fillId="0" borderId="0" xfId="37" applyNumberFormat="1" applyFont="1" applyFill="1" applyBorder="1" applyAlignment="1">
      <alignment horizontal="right"/>
    </xf>
    <xf numFmtId="3" fontId="1" fillId="0" borderId="0" xfId="37" applyNumberFormat="1" applyFont="1" applyFill="1" applyBorder="1" applyAlignment="1">
      <alignment horizontal="center"/>
    </xf>
    <xf numFmtId="178" fontId="1" fillId="0" borderId="0" xfId="37" applyNumberFormat="1" applyFont="1" applyFill="1" applyBorder="1" applyAlignment="1">
      <alignment horizontal="left"/>
    </xf>
    <xf numFmtId="175" fontId="1" fillId="0" borderId="0" xfId="37" applyNumberFormat="1" applyFont="1" applyFill="1" applyBorder="1"/>
    <xf numFmtId="0" fontId="1" fillId="0" borderId="14" xfId="37" applyFont="1" applyBorder="1"/>
    <xf numFmtId="0" fontId="1" fillId="0" borderId="8" xfId="37" applyFont="1" applyBorder="1"/>
    <xf numFmtId="172" fontId="1" fillId="0" borderId="8" xfId="37" applyNumberFormat="1" applyFont="1" applyBorder="1"/>
    <xf numFmtId="175" fontId="1" fillId="0" borderId="8" xfId="37" applyNumberFormat="1" applyFont="1" applyBorder="1"/>
    <xf numFmtId="173" fontId="1" fillId="0" borderId="8" xfId="37" applyNumberFormat="1" applyFont="1" applyFill="1" applyBorder="1"/>
    <xf numFmtId="173" fontId="1" fillId="0" borderId="8" xfId="37" applyNumberFormat="1" applyFont="1" applyBorder="1" applyAlignment="1">
      <alignment horizontal="right"/>
    </xf>
    <xf numFmtId="178" fontId="1" fillId="0" borderId="15" xfId="37" applyNumberFormat="1" applyFont="1" applyBorder="1"/>
    <xf numFmtId="173" fontId="1" fillId="0" borderId="0" xfId="37" applyNumberFormat="1" applyFont="1" applyFill="1" applyBorder="1" applyAlignment="1">
      <alignment horizontal="right"/>
    </xf>
    <xf numFmtId="178" fontId="1" fillId="0" borderId="0" xfId="37" applyNumberFormat="1" applyFont="1" applyFill="1" applyBorder="1"/>
    <xf numFmtId="175" fontId="1" fillId="0" borderId="0" xfId="37" applyNumberFormat="1" applyFont="1" applyFill="1" applyBorder="1" applyProtection="1">
      <protection locked="0"/>
    </xf>
    <xf numFmtId="175" fontId="1" fillId="0" borderId="8" xfId="37" applyNumberFormat="1" applyFont="1" applyBorder="1" applyAlignment="1">
      <alignment horizontal="right"/>
    </xf>
    <xf numFmtId="178" fontId="1" fillId="0" borderId="0" xfId="37" applyNumberFormat="1" applyFont="1" applyBorder="1"/>
    <xf numFmtId="178" fontId="1" fillId="0" borderId="19" xfId="37" applyNumberFormat="1" applyFont="1" applyFill="1" applyBorder="1" applyAlignment="1">
      <alignment horizontal="right"/>
    </xf>
    <xf numFmtId="170" fontId="1" fillId="0" borderId="0" xfId="37" applyNumberFormat="1" applyFont="1" applyFill="1" applyBorder="1" applyAlignment="1">
      <alignment horizontal="left"/>
    </xf>
    <xf numFmtId="175" fontId="1" fillId="0" borderId="8" xfId="37" applyNumberFormat="1" applyFont="1" applyFill="1" applyBorder="1"/>
    <xf numFmtId="178" fontId="1" fillId="0" borderId="19" xfId="37" applyNumberFormat="1" applyFont="1" applyFill="1" applyBorder="1"/>
    <xf numFmtId="175" fontId="1" fillId="0" borderId="9" xfId="37" applyNumberFormat="1" applyFont="1" applyFill="1" applyBorder="1" applyAlignment="1">
      <alignment horizontal="right"/>
    </xf>
    <xf numFmtId="172" fontId="1" fillId="0" borderId="8" xfId="37" applyNumberFormat="1" applyFont="1" applyFill="1" applyBorder="1"/>
    <xf numFmtId="175" fontId="1" fillId="0" borderId="8" xfId="37" applyNumberFormat="1" applyFont="1" applyFill="1" applyBorder="1" applyAlignment="1">
      <alignment horizontal="right"/>
    </xf>
    <xf numFmtId="173" fontId="1" fillId="0" borderId="8" xfId="37" applyNumberFormat="1" applyFont="1" applyFill="1" applyBorder="1" applyAlignment="1">
      <alignment horizontal="right"/>
    </xf>
    <xf numFmtId="178" fontId="1" fillId="0" borderId="15" xfId="37" applyNumberFormat="1" applyFont="1" applyFill="1" applyBorder="1"/>
    <xf numFmtId="178" fontId="1" fillId="0" borderId="18" xfId="37" applyNumberFormat="1" applyFont="1" applyBorder="1"/>
    <xf numFmtId="170" fontId="1" fillId="0" borderId="19" xfId="37" applyNumberFormat="1" applyFont="1" applyBorder="1" applyAlignment="1">
      <alignment horizontal="left"/>
    </xf>
    <xf numFmtId="0" fontId="1" fillId="0" borderId="19" xfId="37" applyFont="1" applyBorder="1" applyAlignment="1">
      <alignment horizontal="center"/>
    </xf>
    <xf numFmtId="175" fontId="1" fillId="0" borderId="19" xfId="37" applyNumberFormat="1" applyFont="1" applyFill="1" applyBorder="1" applyAlignment="1">
      <alignment horizontal="center"/>
    </xf>
    <xf numFmtId="172" fontId="1" fillId="0" borderId="0" xfId="37" applyNumberFormat="1" applyFont="1" applyBorder="1" applyAlignment="1">
      <alignment horizontal="center"/>
    </xf>
    <xf numFmtId="182" fontId="1" fillId="0" borderId="1" xfId="23" applyNumberFormat="1" applyFont="1" applyFill="1" applyBorder="1" applyAlignment="1">
      <alignment horizontal="center"/>
    </xf>
    <xf numFmtId="172" fontId="1" fillId="0" borderId="0" xfId="37" applyNumberFormat="1" applyFont="1" applyAlignment="1">
      <alignment horizontal="center"/>
    </xf>
    <xf numFmtId="172" fontId="1" fillId="0" borderId="8" xfId="37" applyNumberFormat="1" applyFont="1" applyFill="1" applyBorder="1" applyAlignment="1">
      <alignment horizontal="right"/>
    </xf>
    <xf numFmtId="178" fontId="1" fillId="0" borderId="15" xfId="37" applyNumberFormat="1" applyFont="1" applyBorder="1" applyAlignment="1">
      <alignment horizontal="right"/>
    </xf>
    <xf numFmtId="172" fontId="1" fillId="0" borderId="0" xfId="37" applyNumberFormat="1" applyFont="1" applyFill="1" applyBorder="1" applyAlignment="1">
      <alignment horizontal="right"/>
    </xf>
    <xf numFmtId="178" fontId="1" fillId="0" borderId="0" xfId="37" applyNumberFormat="1" applyFont="1" applyBorder="1" applyAlignment="1">
      <alignment horizontal="right"/>
    </xf>
    <xf numFmtId="178" fontId="1" fillId="0" borderId="0" xfId="37" applyNumberFormat="1" applyFont="1" applyFill="1" applyBorder="1" applyAlignment="1">
      <alignment horizontal="right"/>
    </xf>
    <xf numFmtId="0" fontId="1" fillId="0" borderId="18" xfId="37" applyFont="1" applyBorder="1" applyAlignment="1">
      <alignment horizontal="center"/>
    </xf>
    <xf numFmtId="178" fontId="1" fillId="0" borderId="19" xfId="37" applyNumberFormat="1" applyFont="1" applyBorder="1" applyAlignment="1">
      <alignment horizontal="center"/>
    </xf>
    <xf numFmtId="175" fontId="1" fillId="0" borderId="15" xfId="37" applyNumberFormat="1" applyFont="1" applyBorder="1" applyAlignment="1">
      <alignment horizontal="center"/>
    </xf>
    <xf numFmtId="175" fontId="1" fillId="0" borderId="0" xfId="37" applyNumberFormat="1" applyFont="1" applyBorder="1" applyAlignment="1">
      <alignment horizontal="center"/>
    </xf>
    <xf numFmtId="4" fontId="1" fillId="0" borderId="0" xfId="37" applyNumberFormat="1" applyFont="1" applyBorder="1" applyAlignment="1">
      <alignment horizontal="center"/>
    </xf>
    <xf numFmtId="3" fontId="1" fillId="0" borderId="0" xfId="37" applyNumberFormat="1" applyFont="1" applyBorder="1" applyAlignment="1">
      <alignment horizontal="center"/>
    </xf>
    <xf numFmtId="183" fontId="1" fillId="0" borderId="0" xfId="37" applyNumberFormat="1" applyFont="1" applyFill="1" applyBorder="1" applyAlignment="1">
      <alignment horizontal="center"/>
    </xf>
    <xf numFmtId="175" fontId="1" fillId="0" borderId="0" xfId="37" applyNumberFormat="1" applyFont="1" applyFill="1" applyBorder="1" applyAlignment="1">
      <alignment horizontal="center"/>
    </xf>
    <xf numFmtId="178" fontId="1" fillId="0" borderId="0" xfId="23" applyNumberFormat="1" applyFont="1"/>
    <xf numFmtId="182" fontId="1" fillId="0" borderId="0" xfId="23" applyNumberFormat="1" applyFont="1" applyFill="1" applyBorder="1"/>
    <xf numFmtId="175" fontId="1" fillId="0" borderId="19" xfId="2" applyNumberFormat="1" applyFont="1" applyBorder="1" applyAlignment="1">
      <alignment horizontal="right"/>
    </xf>
    <xf numFmtId="175" fontId="1" fillId="0" borderId="0" xfId="37" applyNumberFormat="1" applyFont="1"/>
    <xf numFmtId="172" fontId="1" fillId="0" borderId="9" xfId="37" applyNumberFormat="1" applyFont="1" applyFill="1" applyBorder="1"/>
    <xf numFmtId="175" fontId="1" fillId="0" borderId="9" xfId="37" applyNumberFormat="1" applyFont="1" applyFill="1" applyBorder="1"/>
    <xf numFmtId="173" fontId="1" fillId="0" borderId="9" xfId="37" applyNumberFormat="1" applyFont="1" applyFill="1" applyBorder="1" applyAlignment="1">
      <alignment horizontal="right"/>
    </xf>
    <xf numFmtId="178" fontId="1" fillId="0" borderId="19" xfId="37" applyNumberFormat="1" applyFont="1" applyFill="1" applyBorder="1" applyAlignment="1">
      <alignment horizontal="center"/>
    </xf>
    <xf numFmtId="0" fontId="1" fillId="0" borderId="12" xfId="0" applyFont="1" applyFill="1" applyBorder="1"/>
    <xf numFmtId="178" fontId="1" fillId="0" borderId="18" xfId="37" applyNumberFormat="1" applyFont="1" applyFill="1" applyBorder="1"/>
    <xf numFmtId="173" fontId="1" fillId="0" borderId="8" xfId="37" applyNumberFormat="1" applyFont="1" applyBorder="1"/>
    <xf numFmtId="170" fontId="1" fillId="0" borderId="0" xfId="37" applyNumberFormat="1" applyFont="1" applyBorder="1"/>
    <xf numFmtId="175" fontId="1" fillId="0" borderId="8" xfId="37" applyNumberFormat="1" applyFont="1" applyBorder="1" applyAlignment="1">
      <alignment horizontal="center"/>
    </xf>
    <xf numFmtId="5" fontId="1" fillId="0" borderId="0" xfId="37" applyNumberFormat="1" applyFont="1" applyBorder="1"/>
    <xf numFmtId="5" fontId="1" fillId="0" borderId="0" xfId="37" applyNumberFormat="1" applyFont="1" applyFill="1" applyBorder="1"/>
    <xf numFmtId="3" fontId="1" fillId="0" borderId="0" xfId="37" applyNumberFormat="1" applyFont="1" applyBorder="1"/>
    <xf numFmtId="5" fontId="1" fillId="0" borderId="9" xfId="37" applyNumberFormat="1" applyFont="1" applyBorder="1"/>
    <xf numFmtId="3" fontId="1" fillId="0" borderId="9" xfId="37" applyNumberFormat="1" applyFont="1" applyBorder="1"/>
    <xf numFmtId="3" fontId="1" fillId="0" borderId="0" xfId="37" applyNumberFormat="1" applyFont="1"/>
    <xf numFmtId="5" fontId="1" fillId="0" borderId="0" xfId="37" applyNumberFormat="1" applyFont="1"/>
    <xf numFmtId="5" fontId="1" fillId="0" borderId="0" xfId="37" applyNumberFormat="1" applyFont="1" applyFill="1" applyBorder="1" applyAlignment="1">
      <alignment horizontal="center"/>
    </xf>
    <xf numFmtId="5" fontId="1" fillId="0" borderId="0" xfId="37" applyNumberFormat="1" applyFont="1" applyFill="1"/>
    <xf numFmtId="170" fontId="1" fillId="0" borderId="0" xfId="37" applyNumberFormat="1" applyFont="1" applyAlignment="1">
      <alignment horizontal="right"/>
    </xf>
    <xf numFmtId="170" fontId="1" fillId="0" borderId="0" xfId="37" applyNumberFormat="1" applyFont="1" applyAlignment="1">
      <alignment horizontal="left"/>
    </xf>
    <xf numFmtId="173" fontId="1" fillId="0" borderId="0" xfId="37" applyNumberFormat="1" applyFont="1"/>
    <xf numFmtId="178" fontId="1" fillId="0" borderId="0" xfId="37" applyNumberFormat="1" applyFont="1" applyAlignment="1">
      <alignment horizontal="right"/>
    </xf>
    <xf numFmtId="173" fontId="1" fillId="0" borderId="0" xfId="37" applyNumberFormat="1" applyFont="1" applyFill="1"/>
    <xf numFmtId="172" fontId="1" fillId="0" borderId="0" xfId="37" applyNumberFormat="1" applyFont="1"/>
    <xf numFmtId="0" fontId="1" fillId="0" borderId="0" xfId="0" applyFont="1"/>
    <xf numFmtId="178" fontId="1" fillId="0" borderId="0" xfId="37" applyNumberFormat="1" applyFont="1" applyAlignment="1">
      <alignment horizontal="centerContinuous"/>
    </xf>
    <xf numFmtId="169" fontId="1" fillId="0" borderId="0" xfId="37" applyNumberFormat="1" applyFont="1" applyAlignment="1">
      <alignment horizontal="centerContinuous"/>
    </xf>
    <xf numFmtId="0" fontId="1" fillId="0" borderId="0" xfId="37" applyFont="1" applyAlignment="1"/>
    <xf numFmtId="173" fontId="1" fillId="0" borderId="0" xfId="37" applyNumberFormat="1" applyFont="1" applyAlignment="1"/>
    <xf numFmtId="3" fontId="1" fillId="0" borderId="8" xfId="37" applyNumberFormat="1" applyFont="1" applyFill="1" applyBorder="1" applyAlignment="1"/>
    <xf numFmtId="178" fontId="1" fillId="0" borderId="0" xfId="37" applyNumberFormat="1" applyFont="1" applyAlignment="1"/>
    <xf numFmtId="169" fontId="1" fillId="0" borderId="0" xfId="37" applyNumberFormat="1" applyFont="1"/>
    <xf numFmtId="0" fontId="1" fillId="0" borderId="9" xfId="37" applyFont="1" applyFill="1" applyBorder="1" applyAlignment="1">
      <alignment horizontal="center"/>
    </xf>
    <xf numFmtId="0" fontId="1" fillId="0" borderId="7" xfId="37" applyFont="1" applyFill="1" applyBorder="1" applyAlignment="1">
      <alignment horizontal="centerContinuous"/>
    </xf>
    <xf numFmtId="173" fontId="1" fillId="0" borderId="0" xfId="37" applyNumberFormat="1" applyFont="1" applyBorder="1" applyAlignment="1">
      <alignment horizontal="left"/>
    </xf>
    <xf numFmtId="178" fontId="1" fillId="0" borderId="15" xfId="37" applyNumberFormat="1" applyFont="1" applyBorder="1" applyAlignment="1">
      <alignment horizontal="center"/>
    </xf>
    <xf numFmtId="170" fontId="1" fillId="0" borderId="0" xfId="37" applyNumberFormat="1" applyFont="1" applyBorder="1" applyAlignment="1">
      <alignment horizontal="center"/>
    </xf>
    <xf numFmtId="173" fontId="1" fillId="0" borderId="0" xfId="37" applyNumberFormat="1" applyFont="1" applyBorder="1" applyAlignment="1">
      <alignment horizontal="center"/>
    </xf>
    <xf numFmtId="178" fontId="1" fillId="0" borderId="0" xfId="37" applyNumberFormat="1" applyFont="1" applyBorder="1" applyAlignment="1">
      <alignment horizontal="center"/>
    </xf>
    <xf numFmtId="169" fontId="1" fillId="0" borderId="0" xfId="37" applyNumberFormat="1" applyFont="1" applyBorder="1"/>
    <xf numFmtId="0" fontId="1" fillId="0" borderId="9" xfId="37" applyFont="1" applyBorder="1"/>
    <xf numFmtId="0" fontId="1" fillId="0" borderId="9" xfId="37" applyFont="1" applyFill="1" applyBorder="1"/>
    <xf numFmtId="178" fontId="1" fillId="0" borderId="0" xfId="37" applyNumberFormat="1" applyFont="1" applyBorder="1" applyAlignment="1">
      <alignment horizontal="left"/>
    </xf>
    <xf numFmtId="173" fontId="1" fillId="0" borderId="0" xfId="0" applyNumberFormat="1" applyFont="1" applyFill="1" applyBorder="1"/>
    <xf numFmtId="175" fontId="1" fillId="0" borderId="20" xfId="37" applyNumberFormat="1" applyFont="1" applyFill="1" applyBorder="1" applyAlignment="1">
      <alignment horizontal="center"/>
    </xf>
    <xf numFmtId="0" fontId="1" fillId="0" borderId="0" xfId="37" applyFont="1" applyBorder="1" applyAlignment="1">
      <alignment horizontal="center" wrapText="1"/>
    </xf>
    <xf numFmtId="169" fontId="1" fillId="0" borderId="0" xfId="37" applyNumberFormat="1" applyFont="1" applyBorder="1" applyAlignment="1">
      <alignment horizontal="center" wrapText="1"/>
    </xf>
    <xf numFmtId="174" fontId="1" fillId="0" borderId="0" xfId="37" applyNumberFormat="1" applyFont="1" applyFill="1" applyBorder="1"/>
    <xf numFmtId="168" fontId="1" fillId="0" borderId="0" xfId="37" applyNumberFormat="1" applyFont="1" applyFill="1" applyBorder="1"/>
    <xf numFmtId="42" fontId="1" fillId="0" borderId="0" xfId="37" applyNumberFormat="1" applyFont="1" applyBorder="1" applyAlignment="1">
      <alignment horizontal="right"/>
    </xf>
    <xf numFmtId="9" fontId="1" fillId="0" borderId="0" xfId="37" applyNumberFormat="1" applyFont="1" applyFill="1" applyBorder="1"/>
    <xf numFmtId="0" fontId="1" fillId="0" borderId="8" xfId="37" applyFont="1" applyBorder="1" applyProtection="1">
      <protection locked="0"/>
    </xf>
    <xf numFmtId="0" fontId="1" fillId="0" borderId="8" xfId="37" applyFont="1" applyFill="1" applyBorder="1"/>
    <xf numFmtId="175" fontId="1" fillId="0" borderId="8" xfId="37" applyNumberFormat="1" applyFont="1" applyFill="1" applyBorder="1" applyAlignment="1">
      <alignment horizontal="center"/>
    </xf>
    <xf numFmtId="9" fontId="1" fillId="0" borderId="8" xfId="37" applyNumberFormat="1" applyFont="1" applyFill="1" applyBorder="1"/>
    <xf numFmtId="170" fontId="1" fillId="0" borderId="19" xfId="37" applyNumberFormat="1" applyFont="1" applyBorder="1"/>
    <xf numFmtId="170" fontId="1" fillId="0" borderId="19" xfId="37" applyNumberFormat="1" applyFont="1" applyBorder="1" applyAlignment="1">
      <alignment horizontal="center"/>
    </xf>
    <xf numFmtId="182" fontId="1" fillId="0" borderId="9" xfId="37" applyNumberFormat="1" applyFont="1" applyFill="1" applyBorder="1" applyAlignment="1">
      <alignment horizontal="center"/>
    </xf>
    <xf numFmtId="169" fontId="1" fillId="0" borderId="0" xfId="37" applyNumberFormat="1" applyFont="1" applyFill="1"/>
    <xf numFmtId="166" fontId="1" fillId="0" borderId="0" xfId="37" applyNumberFormat="1" applyFont="1"/>
    <xf numFmtId="172" fontId="1" fillId="0" borderId="0" xfId="37" applyNumberFormat="1" applyFont="1" applyFill="1" applyBorder="1" applyAlignment="1">
      <alignment horizontal="center"/>
    </xf>
    <xf numFmtId="170" fontId="1" fillId="0" borderId="0" xfId="37" applyNumberFormat="1" applyFont="1" applyFill="1" applyBorder="1"/>
    <xf numFmtId="181" fontId="1" fillId="0" borderId="0" xfId="7" applyNumberFormat="1" applyFont="1" applyBorder="1"/>
    <xf numFmtId="181" fontId="1" fillId="0" borderId="0" xfId="7" applyNumberFormat="1" applyFont="1" applyFill="1" applyBorder="1"/>
    <xf numFmtId="173" fontId="1" fillId="0" borderId="0" xfId="37" applyNumberFormat="1" applyFont="1" applyFill="1" applyAlignment="1">
      <alignment horizontal="center"/>
    </xf>
    <xf numFmtId="2" fontId="1" fillId="0" borderId="0" xfId="37" applyNumberFormat="1" applyFont="1" applyFill="1"/>
    <xf numFmtId="0" fontId="1" fillId="0" borderId="14" xfId="37" applyFont="1" applyFill="1" applyBorder="1"/>
    <xf numFmtId="178" fontId="1" fillId="0" borderId="0" xfId="37" applyNumberFormat="1" applyFont="1"/>
    <xf numFmtId="166" fontId="1" fillId="0" borderId="0" xfId="37" applyNumberFormat="1" applyFont="1" applyFill="1"/>
    <xf numFmtId="178" fontId="1" fillId="0" borderId="0" xfId="37" applyNumberFormat="1" applyFont="1" applyAlignment="1">
      <alignment horizontal="left"/>
    </xf>
    <xf numFmtId="170" fontId="1" fillId="0" borderId="0" xfId="37" applyNumberFormat="1" applyFont="1"/>
    <xf numFmtId="166" fontId="1" fillId="0" borderId="0" xfId="37" applyNumberFormat="1" applyFont="1" applyBorder="1"/>
    <xf numFmtId="166" fontId="1" fillId="0" borderId="0" xfId="37" applyNumberFormat="1" applyFont="1" applyAlignment="1">
      <alignment horizontal="left"/>
    </xf>
    <xf numFmtId="166" fontId="1" fillId="0" borderId="9" xfId="37" applyNumberFormat="1" applyFont="1" applyBorder="1"/>
    <xf numFmtId="0" fontId="1" fillId="0" borderId="0" xfId="0" applyFont="1" applyFill="1" applyAlignment="1">
      <alignment horizontal="centerContinuous"/>
    </xf>
    <xf numFmtId="3" fontId="1" fillId="0" borderId="0" xfId="0" applyNumberFormat="1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173" fontId="1" fillId="0" borderId="0" xfId="0" applyNumberFormat="1" applyFont="1" applyAlignment="1">
      <alignment horizontal="centerContinuous"/>
    </xf>
    <xf numFmtId="173" fontId="1" fillId="0" borderId="0" xfId="0" applyNumberFormat="1" applyFont="1" applyBorder="1" applyAlignment="1">
      <alignment horizontal="centerContinuous"/>
    </xf>
    <xf numFmtId="175" fontId="1" fillId="0" borderId="0" xfId="0" applyNumberFormat="1" applyFont="1" applyAlignment="1">
      <alignment horizontal="centerContinuous"/>
    </xf>
    <xf numFmtId="169" fontId="1" fillId="0" borderId="0" xfId="0" applyNumberFormat="1" applyFont="1" applyAlignment="1">
      <alignment horizontal="centerContinuous"/>
    </xf>
    <xf numFmtId="175" fontId="1" fillId="0" borderId="0" xfId="0" applyNumberFormat="1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3" fontId="1" fillId="0" borderId="0" xfId="0" applyNumberFormat="1" applyFont="1" applyBorder="1"/>
    <xf numFmtId="173" fontId="1" fillId="0" borderId="0" xfId="0" applyNumberFormat="1" applyFont="1"/>
    <xf numFmtId="173" fontId="1" fillId="0" borderId="0" xfId="0" applyNumberFormat="1" applyFont="1" applyBorder="1"/>
    <xf numFmtId="175" fontId="1" fillId="0" borderId="0" xfId="0" applyNumberFormat="1" applyFont="1" applyAlignment="1">
      <alignment horizontal="right"/>
    </xf>
    <xf numFmtId="175" fontId="1" fillId="0" borderId="0" xfId="0" applyNumberFormat="1" applyFont="1" applyBorder="1" applyAlignment="1">
      <alignment horizontal="right"/>
    </xf>
    <xf numFmtId="0" fontId="1" fillId="0" borderId="0" xfId="0" applyFont="1" applyBorder="1"/>
    <xf numFmtId="169" fontId="1" fillId="0" borderId="0" xfId="0" applyNumberFormat="1" applyFont="1"/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Continuous"/>
    </xf>
    <xf numFmtId="173" fontId="1" fillId="0" borderId="7" xfId="0" applyNumberFormat="1" applyFont="1" applyBorder="1" applyAlignment="1">
      <alignment horizontal="centerContinuous"/>
    </xf>
    <xf numFmtId="0" fontId="1" fillId="0" borderId="9" xfId="0" applyFont="1" applyBorder="1" applyAlignment="1">
      <alignment horizontal="left"/>
    </xf>
    <xf numFmtId="173" fontId="1" fillId="0" borderId="9" xfId="0" applyNumberFormat="1" applyFont="1" applyBorder="1" applyAlignment="1">
      <alignment horizontal="left"/>
    </xf>
    <xf numFmtId="173" fontId="1" fillId="0" borderId="17" xfId="0" applyNumberFormat="1" applyFont="1" applyBorder="1" applyAlignment="1">
      <alignment horizontal="centerContinuous"/>
    </xf>
    <xf numFmtId="173" fontId="1" fillId="0" borderId="0" xfId="0" applyNumberFormat="1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3" fontId="1" fillId="0" borderId="8" xfId="0" applyNumberFormat="1" applyFont="1" applyBorder="1" applyAlignment="1">
      <alignment horizontal="center"/>
    </xf>
    <xf numFmtId="170" fontId="1" fillId="0" borderId="15" xfId="0" applyNumberFormat="1" applyFont="1" applyBorder="1" applyAlignment="1">
      <alignment horizontal="center"/>
    </xf>
    <xf numFmtId="0" fontId="1" fillId="0" borderId="0" xfId="0" applyFont="1" applyFill="1" applyBorder="1"/>
    <xf numFmtId="0" fontId="1" fillId="0" borderId="9" xfId="0" applyFont="1" applyFill="1" applyBorder="1"/>
    <xf numFmtId="0" fontId="1" fillId="0" borderId="9" xfId="0" applyFont="1" applyBorder="1"/>
    <xf numFmtId="3" fontId="1" fillId="0" borderId="9" xfId="0" applyNumberFormat="1" applyFont="1" applyBorder="1"/>
    <xf numFmtId="175" fontId="1" fillId="0" borderId="9" xfId="0" applyNumberFormat="1" applyFont="1" applyBorder="1"/>
    <xf numFmtId="178" fontId="1" fillId="0" borderId="18" xfId="23" applyNumberFormat="1" applyFont="1" applyBorder="1" applyAlignment="1">
      <alignment horizontal="right"/>
    </xf>
    <xf numFmtId="3" fontId="1" fillId="0" borderId="0" xfId="0" applyNumberFormat="1" applyFont="1" applyBorder="1" applyProtection="1">
      <protection locked="0"/>
    </xf>
    <xf numFmtId="175" fontId="1" fillId="0" borderId="0" xfId="0" applyNumberFormat="1" applyFont="1" applyBorder="1"/>
    <xf numFmtId="178" fontId="1" fillId="0" borderId="19" xfId="23" applyNumberFormat="1" applyFont="1" applyBorder="1" applyAlignment="1">
      <alignment horizontal="right"/>
    </xf>
    <xf numFmtId="0" fontId="1" fillId="0" borderId="22" xfId="0" applyFont="1" applyBorder="1" applyAlignment="1">
      <alignment horizontal="center"/>
    </xf>
    <xf numFmtId="0" fontId="1" fillId="0" borderId="12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3" fontId="1" fillId="0" borderId="0" xfId="0" applyNumberFormat="1" applyFont="1" applyFill="1" applyBorder="1"/>
    <xf numFmtId="178" fontId="1" fillId="0" borderId="19" xfId="23" applyNumberFormat="1" applyFont="1" applyBorder="1"/>
    <xf numFmtId="175" fontId="1" fillId="0" borderId="21" xfId="0" applyNumberFormat="1" applyFont="1" applyFill="1" applyBorder="1" applyAlignment="1">
      <alignment horizontal="center"/>
    </xf>
    <xf numFmtId="172" fontId="1" fillId="0" borderId="0" xfId="0" applyNumberFormat="1" applyFont="1" applyFill="1" applyBorder="1"/>
    <xf numFmtId="175" fontId="1" fillId="0" borderId="21" xfId="0" applyNumberFormat="1" applyFont="1" applyBorder="1" applyAlignment="1">
      <alignment horizontal="center"/>
    </xf>
    <xf numFmtId="0" fontId="1" fillId="0" borderId="0" xfId="0" applyFont="1" applyBorder="1" applyProtection="1">
      <protection locked="0"/>
    </xf>
    <xf numFmtId="178" fontId="1" fillId="0" borderId="18" xfId="23" applyNumberFormat="1" applyFont="1" applyBorder="1"/>
    <xf numFmtId="175" fontId="1" fillId="0" borderId="20" xfId="0" applyNumberFormat="1" applyFont="1" applyBorder="1" applyAlignment="1">
      <alignment horizontal="center"/>
    </xf>
    <xf numFmtId="169" fontId="1" fillId="0" borderId="0" xfId="0" applyNumberFormat="1" applyFont="1" applyFill="1" applyBorder="1" applyAlignment="1">
      <alignment horizontal="center"/>
    </xf>
    <xf numFmtId="9" fontId="1" fillId="0" borderId="0" xfId="23" applyFont="1" applyBorder="1" applyAlignment="1">
      <alignment horizontal="center"/>
    </xf>
    <xf numFmtId="169" fontId="1" fillId="0" borderId="0" xfId="0" applyNumberFormat="1" applyFont="1" applyBorder="1"/>
    <xf numFmtId="172" fontId="1" fillId="0" borderId="0" xfId="44" applyNumberFormat="1" applyFont="1" applyFill="1" applyBorder="1"/>
    <xf numFmtId="0" fontId="1" fillId="0" borderId="0" xfId="0" applyFont="1" applyBorder="1" applyAlignment="1">
      <alignment horizontal="center"/>
    </xf>
    <xf numFmtId="182" fontId="1" fillId="0" borderId="0" xfId="23" applyNumberFormat="1" applyFont="1" applyFill="1" applyBorder="1" applyAlignment="1">
      <alignment horizontal="center"/>
    </xf>
    <xf numFmtId="168" fontId="1" fillId="0" borderId="0" xfId="0" applyNumberFormat="1" applyFont="1" applyFill="1" applyBorder="1"/>
    <xf numFmtId="172" fontId="1" fillId="0" borderId="0" xfId="0" applyNumberFormat="1" applyFont="1"/>
    <xf numFmtId="175" fontId="1" fillId="0" borderId="0" xfId="0" applyNumberFormat="1" applyFont="1" applyFill="1" applyBorder="1"/>
    <xf numFmtId="175" fontId="1" fillId="0" borderId="0" xfId="7" applyNumberFormat="1" applyFont="1" applyBorder="1"/>
    <xf numFmtId="0" fontId="1" fillId="0" borderId="14" xfId="0" applyFont="1" applyFill="1" applyBorder="1"/>
    <xf numFmtId="0" fontId="1" fillId="0" borderId="8" xfId="0" applyFont="1" applyFill="1" applyBorder="1"/>
    <xf numFmtId="175" fontId="1" fillId="0" borderId="8" xfId="0" applyNumberFormat="1" applyFont="1" applyFill="1" applyBorder="1"/>
    <xf numFmtId="3" fontId="1" fillId="0" borderId="8" xfId="0" applyNumberFormat="1" applyFont="1" applyFill="1" applyBorder="1"/>
    <xf numFmtId="178" fontId="1" fillId="0" borderId="15" xfId="23" applyNumberFormat="1" applyFont="1" applyFill="1" applyBorder="1"/>
    <xf numFmtId="175" fontId="1" fillId="0" borderId="0" xfId="0" applyNumberFormat="1" applyFont="1" applyFill="1"/>
    <xf numFmtId="178" fontId="1" fillId="0" borderId="0" xfId="23" applyNumberFormat="1" applyFont="1" applyFill="1" applyBorder="1"/>
    <xf numFmtId="3" fontId="1" fillId="0" borderId="0" xfId="0" applyNumberFormat="1" applyFont="1" applyFill="1" applyBorder="1" applyProtection="1">
      <protection locked="0"/>
    </xf>
    <xf numFmtId="178" fontId="1" fillId="0" borderId="19" xfId="23" applyNumberFormat="1" applyFont="1" applyFill="1" applyBorder="1" applyAlignment="1">
      <alignment horizontal="right"/>
    </xf>
    <xf numFmtId="175" fontId="1" fillId="0" borderId="0" xfId="0" applyNumberFormat="1" applyFont="1" applyFill="1" applyBorder="1" applyAlignment="1">
      <alignment horizontal="right"/>
    </xf>
    <xf numFmtId="169" fontId="1" fillId="0" borderId="0" xfId="0" applyNumberFormat="1" applyFont="1" applyFill="1" applyBorder="1"/>
    <xf numFmtId="175" fontId="1" fillId="0" borderId="0" xfId="0" applyNumberFormat="1" applyFont="1" applyFill="1" applyBorder="1" applyAlignment="1">
      <alignment horizontal="center"/>
    </xf>
    <xf numFmtId="178" fontId="1" fillId="0" borderId="19" xfId="23" applyNumberFormat="1" applyFont="1" applyFill="1" applyBorder="1"/>
    <xf numFmtId="175" fontId="1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72" fontId="1" fillId="0" borderId="0" xfId="0" applyNumberFormat="1" applyFont="1" applyBorder="1" applyAlignment="1">
      <alignment horizontal="center"/>
    </xf>
    <xf numFmtId="170" fontId="1" fillId="0" borderId="0" xfId="23" applyNumberFormat="1" applyFont="1" applyFill="1" applyBorder="1"/>
    <xf numFmtId="172" fontId="1" fillId="0" borderId="0" xfId="0" applyNumberFormat="1" applyFont="1" applyFill="1" applyAlignment="1">
      <alignment horizontal="center"/>
    </xf>
    <xf numFmtId="3" fontId="1" fillId="0" borderId="0" xfId="0" applyNumberFormat="1" applyFont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center"/>
    </xf>
    <xf numFmtId="3" fontId="1" fillId="0" borderId="0" xfId="0" applyNumberFormat="1" applyFont="1" applyFill="1" applyBorder="1" applyAlignment="1" applyProtection="1">
      <alignment horizontal="center"/>
      <protection locked="0"/>
    </xf>
    <xf numFmtId="176" fontId="1" fillId="0" borderId="0" xfId="0" applyNumberFormat="1" applyFont="1" applyBorder="1" applyAlignment="1">
      <alignment horizontal="right"/>
    </xf>
    <xf numFmtId="174" fontId="1" fillId="0" borderId="0" xfId="0" applyNumberFormat="1" applyFont="1" applyBorder="1"/>
    <xf numFmtId="178" fontId="1" fillId="0" borderId="19" xfId="23" applyNumberFormat="1" applyFont="1" applyBorder="1" applyAlignment="1">
      <alignment horizontal="center"/>
    </xf>
    <xf numFmtId="172" fontId="1" fillId="0" borderId="0" xfId="0" applyNumberFormat="1" applyFont="1" applyAlignment="1">
      <alignment horizontal="center"/>
    </xf>
    <xf numFmtId="3" fontId="1" fillId="0" borderId="8" xfId="0" applyNumberFormat="1" applyFont="1" applyBorder="1"/>
    <xf numFmtId="0" fontId="1" fillId="0" borderId="8" xfId="0" applyFont="1" applyBorder="1"/>
    <xf numFmtId="173" fontId="1" fillId="0" borderId="8" xfId="0" applyNumberFormat="1" applyFont="1" applyBorder="1"/>
    <xf numFmtId="178" fontId="1" fillId="0" borderId="15" xfId="23" applyNumberFormat="1" applyFont="1" applyBorder="1" applyAlignment="1">
      <alignment horizontal="right"/>
    </xf>
    <xf numFmtId="175" fontId="1" fillId="0" borderId="0" xfId="0" applyNumberFormat="1" applyFont="1"/>
    <xf numFmtId="3" fontId="1" fillId="0" borderId="0" xfId="0" applyNumberFormat="1" applyFont="1" applyFill="1"/>
    <xf numFmtId="44" fontId="1" fillId="0" borderId="0" xfId="0" applyNumberFormat="1" applyFont="1"/>
    <xf numFmtId="0" fontId="1" fillId="0" borderId="0" xfId="0" applyFont="1" applyAlignment="1"/>
    <xf numFmtId="41" fontId="1" fillId="0" borderId="0" xfId="0" applyNumberFormat="1" applyFont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42" fontId="1" fillId="0" borderId="0" xfId="0" applyNumberFormat="1" applyFont="1" applyFill="1"/>
    <xf numFmtId="3" fontId="1" fillId="0" borderId="0" xfId="0" applyNumberFormat="1" applyFont="1"/>
    <xf numFmtId="9" fontId="1" fillId="0" borderId="0" xfId="23" applyFont="1" applyFill="1" applyBorder="1" applyAlignment="1">
      <alignment horizontal="right"/>
    </xf>
    <xf numFmtId="178" fontId="1" fillId="0" borderId="0" xfId="23" applyNumberFormat="1" applyFont="1" applyFill="1"/>
    <xf numFmtId="42" fontId="1" fillId="0" borderId="0" xfId="0" applyNumberFormat="1" applyFont="1"/>
    <xf numFmtId="10" fontId="1" fillId="0" borderId="0" xfId="23" applyNumberFormat="1" applyFont="1"/>
    <xf numFmtId="0" fontId="1" fillId="0" borderId="0" xfId="0" applyFont="1" applyFill="1" applyBorder="1" applyAlignment="1">
      <alignment horizontal="left"/>
    </xf>
    <xf numFmtId="41" fontId="1" fillId="0" borderId="0" xfId="0" applyNumberFormat="1" applyFont="1" applyFill="1"/>
    <xf numFmtId="41" fontId="1" fillId="0" borderId="0" xfId="0" applyNumberFormat="1" applyFont="1"/>
    <xf numFmtId="0" fontId="1" fillId="0" borderId="0" xfId="0" applyFont="1" applyFill="1" applyAlignment="1">
      <alignment horizontal="left"/>
    </xf>
    <xf numFmtId="185" fontId="1" fillId="0" borderId="0" xfId="0" applyNumberFormat="1" applyFont="1" applyFill="1"/>
    <xf numFmtId="178" fontId="1" fillId="0" borderId="8" xfId="23" applyNumberFormat="1" applyFont="1" applyFill="1" applyBorder="1"/>
    <xf numFmtId="42" fontId="1" fillId="0" borderId="9" xfId="0" applyNumberFormat="1" applyFont="1" applyBorder="1"/>
    <xf numFmtId="9" fontId="1" fillId="0" borderId="9" xfId="23" applyFont="1" applyBorder="1"/>
    <xf numFmtId="42" fontId="1" fillId="0" borderId="9" xfId="0" applyNumberFormat="1" applyFont="1" applyFill="1" applyBorder="1"/>
    <xf numFmtId="178" fontId="1" fillId="0" borderId="9" xfId="23" applyNumberFormat="1" applyFont="1" applyFill="1" applyBorder="1"/>
    <xf numFmtId="9" fontId="1" fillId="0" borderId="0" xfId="23" applyFont="1" applyBorder="1"/>
    <xf numFmtId="170" fontId="1" fillId="0" borderId="0" xfId="23" applyNumberFormat="1" applyFont="1"/>
    <xf numFmtId="10" fontId="1" fillId="0" borderId="0" xfId="23" applyNumberFormat="1" applyFont="1" applyFill="1" applyBorder="1"/>
    <xf numFmtId="10" fontId="1" fillId="0" borderId="0" xfId="23" applyNumberFormat="1" applyFont="1" applyFill="1"/>
    <xf numFmtId="42" fontId="1" fillId="0" borderId="0" xfId="0" applyNumberFormat="1" applyFont="1" applyBorder="1"/>
    <xf numFmtId="42" fontId="1" fillId="0" borderId="0" xfId="23" applyNumberFormat="1" applyFont="1" applyFill="1"/>
    <xf numFmtId="184" fontId="1" fillId="0" borderId="0" xfId="0" applyNumberFormat="1" applyFont="1" applyFill="1"/>
    <xf numFmtId="9" fontId="1" fillId="0" borderId="0" xfId="0" applyNumberFormat="1" applyFont="1" applyFill="1"/>
    <xf numFmtId="42" fontId="1" fillId="0" borderId="0" xfId="37" applyNumberFormat="1" applyFont="1"/>
    <xf numFmtId="164" fontId="1" fillId="0" borderId="0" xfId="2" applyNumberFormat="1" applyFont="1" applyFill="1"/>
    <xf numFmtId="173" fontId="1" fillId="0" borderId="7" xfId="37" applyNumberFormat="1" applyFont="1" applyBorder="1" applyAlignment="1">
      <alignment horizontal="center"/>
    </xf>
    <xf numFmtId="173" fontId="1" fillId="0" borderId="17" xfId="37" applyNumberFormat="1" applyFont="1" applyBorder="1" applyAlignment="1">
      <alignment horizontal="center"/>
    </xf>
    <xf numFmtId="0" fontId="1" fillId="0" borderId="22" xfId="37" applyFont="1" applyFill="1" applyBorder="1" applyAlignment="1">
      <alignment horizontal="center"/>
    </xf>
  </cellXfs>
  <cellStyles count="45">
    <cellStyle name="Calculation" xfId="1" builtinId="22" customBuiltin="1"/>
    <cellStyle name="Comma" xfId="2" builtinId="3"/>
    <cellStyle name="Comma0" xfId="3"/>
    <cellStyle name="Comma0 - Style4" xfId="4"/>
    <cellStyle name="Comma1 - Style1" xfId="5"/>
    <cellStyle name="Curren - Style2" xfId="6"/>
    <cellStyle name="Currency" xfId="7" builtinId="4"/>
    <cellStyle name="Currency0" xfId="8"/>
    <cellStyle name="Date" xfId="9"/>
    <cellStyle name="Entered" xfId="10"/>
    <cellStyle name="Fixed" xfId="11"/>
    <cellStyle name="Grey" xfId="12"/>
    <cellStyle name="Heading 1" xfId="13" builtinId="16" customBuiltin="1"/>
    <cellStyle name="Heading 2" xfId="14" builtinId="17" customBuiltin="1"/>
    <cellStyle name="Heading1" xfId="15"/>
    <cellStyle name="Heading2" xfId="16"/>
    <cellStyle name="Input [yellow]" xfId="17"/>
    <cellStyle name="modified border" xfId="18"/>
    <cellStyle name="modified border1" xfId="19"/>
    <cellStyle name="Normal" xfId="0" builtinId="0"/>
    <cellStyle name="Normal - Style1" xfId="20"/>
    <cellStyle name="Normal - Style1 2 2 3 4" xfId="44"/>
    <cellStyle name="Percen - Style2" xfId="21"/>
    <cellStyle name="Percen - Style3" xfId="22"/>
    <cellStyle name="Percent" xfId="23" builtinId="5"/>
    <cellStyle name="Percent [2]" xfId="24"/>
    <cellStyle name="Report" xfId="25"/>
    <cellStyle name="Report - Style5" xfId="26"/>
    <cellStyle name="Report - Style6" xfId="27"/>
    <cellStyle name="Report - Style7" xfId="28"/>
    <cellStyle name="Report - Style8" xfId="29"/>
    <cellStyle name="Report Bar" xfId="30"/>
    <cellStyle name="Report Heading" xfId="31"/>
    <cellStyle name="Report Unit Cost" xfId="32"/>
    <cellStyle name="Reports Total" xfId="33"/>
    <cellStyle name="StmtTtl1" xfId="34"/>
    <cellStyle name="StmtTtl2" xfId="35"/>
    <cellStyle name="Style 1" xfId="36"/>
    <cellStyle name="Test" xfId="37"/>
    <cellStyle name="Title: - Style3" xfId="38"/>
    <cellStyle name="Title: - Style4" xfId="39"/>
    <cellStyle name="Title: Major" xfId="40"/>
    <cellStyle name="Title: Minor" xfId="41"/>
    <cellStyle name="Title: Worksheet" xfId="42"/>
    <cellStyle name="Total" xfId="43" builtinId="25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S52"/>
  <sheetViews>
    <sheetView view="pageBreakPreview" zoomScale="60"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G43" sqref="G43"/>
    </sheetView>
  </sheetViews>
  <sheetFormatPr defaultColWidth="9.109375" defaultRowHeight="13.2" x14ac:dyDescent="0.25"/>
  <cols>
    <col min="1" max="1" width="2" style="216" customWidth="1"/>
    <col min="2" max="2" width="55" style="216" customWidth="1"/>
    <col min="3" max="3" width="15" style="216" bestFit="1" customWidth="1"/>
    <col min="4" max="5" width="13.44140625" style="216" bestFit="1" customWidth="1"/>
    <col min="6" max="6" width="12.6640625" style="216" bestFit="1" customWidth="1"/>
    <col min="7" max="7" width="9" style="216" bestFit="1" customWidth="1"/>
    <col min="8" max="8" width="8" style="216" bestFit="1" customWidth="1"/>
    <col min="9" max="9" width="8.88671875" style="216" bestFit="1" customWidth="1"/>
    <col min="10" max="12" width="13.44140625" style="216" bestFit="1" customWidth="1"/>
    <col min="13" max="13" width="15" style="216" bestFit="1" customWidth="1"/>
    <col min="14" max="14" width="12.88671875" style="216" bestFit="1" customWidth="1"/>
    <col min="15" max="15" width="8" style="216" bestFit="1" customWidth="1"/>
    <col min="16" max="16" width="9.33203125" style="216" bestFit="1" customWidth="1"/>
    <col min="17" max="17" width="12.88671875" style="216" bestFit="1" customWidth="1"/>
    <col min="18" max="18" width="9.109375" style="216"/>
    <col min="19" max="19" width="14.44140625" style="33" bestFit="1" customWidth="1"/>
    <col min="20" max="16384" width="9.109375" style="216"/>
  </cols>
  <sheetData>
    <row r="1" spans="2:19" x14ac:dyDescent="0.25">
      <c r="B1" s="2" t="s">
        <v>70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"/>
      <c r="O1" s="268"/>
      <c r="P1" s="268"/>
      <c r="Q1" s="268"/>
    </row>
    <row r="2" spans="2:19" x14ac:dyDescent="0.25">
      <c r="B2" s="2" t="s">
        <v>211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"/>
      <c r="O2" s="268"/>
      <c r="P2" s="268"/>
      <c r="Q2" s="268"/>
    </row>
    <row r="3" spans="2:19" x14ac:dyDescent="0.25">
      <c r="B3" s="2" t="s">
        <v>212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"/>
      <c r="O3" s="268"/>
      <c r="P3" s="268"/>
      <c r="Q3" s="268"/>
    </row>
    <row r="4" spans="2:19" x14ac:dyDescent="0.25">
      <c r="B4" s="2" t="s">
        <v>209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"/>
      <c r="O4" s="268"/>
      <c r="P4" s="268"/>
      <c r="Q4" s="268"/>
    </row>
    <row r="5" spans="2:19" s="358" customFormat="1" x14ac:dyDescent="0.25">
      <c r="K5" s="359"/>
      <c r="S5" s="50"/>
    </row>
    <row r="6" spans="2:19" x14ac:dyDescent="0.25">
      <c r="B6" s="268"/>
      <c r="J6" s="33"/>
    </row>
    <row r="7" spans="2:19" x14ac:dyDescent="0.25">
      <c r="B7" s="268"/>
      <c r="G7" s="340" t="s">
        <v>92</v>
      </c>
    </row>
    <row r="8" spans="2:19" x14ac:dyDescent="0.25">
      <c r="C8" s="320" t="s">
        <v>77</v>
      </c>
      <c r="D8" s="320" t="s">
        <v>77</v>
      </c>
      <c r="E8" s="320" t="s">
        <v>77</v>
      </c>
      <c r="G8" s="340" t="s">
        <v>165</v>
      </c>
      <c r="H8" s="340" t="s">
        <v>92</v>
      </c>
      <c r="I8" s="340"/>
      <c r="J8" s="56" t="s">
        <v>1</v>
      </c>
      <c r="K8" s="360"/>
      <c r="L8" s="320" t="s">
        <v>77</v>
      </c>
      <c r="M8" s="360"/>
      <c r="N8" s="361"/>
      <c r="Q8" s="56" t="s">
        <v>200</v>
      </c>
    </row>
    <row r="9" spans="2:19" x14ac:dyDescent="0.25">
      <c r="C9" s="320" t="s">
        <v>78</v>
      </c>
      <c r="D9" s="320" t="s">
        <v>80</v>
      </c>
      <c r="E9" s="320" t="s">
        <v>86</v>
      </c>
      <c r="G9" s="340" t="s">
        <v>86</v>
      </c>
      <c r="H9" s="340" t="s">
        <v>203</v>
      </c>
      <c r="I9" s="340" t="s">
        <v>1</v>
      </c>
      <c r="J9" s="340" t="s">
        <v>86</v>
      </c>
      <c r="K9" s="362" t="s">
        <v>125</v>
      </c>
      <c r="L9" s="320" t="s">
        <v>80</v>
      </c>
      <c r="M9" s="362" t="s">
        <v>125</v>
      </c>
      <c r="N9" s="362" t="s">
        <v>125</v>
      </c>
      <c r="O9" s="56" t="s">
        <v>92</v>
      </c>
      <c r="P9" s="56" t="s">
        <v>92</v>
      </c>
      <c r="Q9" s="340" t="s">
        <v>201</v>
      </c>
      <c r="S9" s="340"/>
    </row>
    <row r="10" spans="2:19" x14ac:dyDescent="0.25">
      <c r="C10" s="320" t="s">
        <v>79</v>
      </c>
      <c r="D10" s="320" t="s">
        <v>81</v>
      </c>
      <c r="E10" s="320" t="s">
        <v>81</v>
      </c>
      <c r="F10" s="340" t="s">
        <v>76</v>
      </c>
      <c r="G10" s="340" t="s">
        <v>202</v>
      </c>
      <c r="H10" s="340" t="s">
        <v>166</v>
      </c>
      <c r="I10" s="340" t="s">
        <v>86</v>
      </c>
      <c r="J10" s="340" t="s">
        <v>171</v>
      </c>
      <c r="K10" s="340" t="s">
        <v>86</v>
      </c>
      <c r="L10" s="320" t="s">
        <v>81</v>
      </c>
      <c r="M10" s="340" t="s">
        <v>23</v>
      </c>
      <c r="N10" s="340" t="s">
        <v>126</v>
      </c>
      <c r="O10" s="340" t="s">
        <v>158</v>
      </c>
      <c r="P10" s="340" t="s">
        <v>197</v>
      </c>
      <c r="Q10" s="340" t="s">
        <v>117</v>
      </c>
      <c r="S10" s="340"/>
    </row>
    <row r="11" spans="2:19" x14ac:dyDescent="0.25">
      <c r="B11" s="292" t="s">
        <v>69</v>
      </c>
      <c r="C11" s="292" t="s">
        <v>5</v>
      </c>
      <c r="D11" s="292" t="s">
        <v>157</v>
      </c>
      <c r="E11" s="292" t="s">
        <v>5</v>
      </c>
      <c r="F11" s="293" t="s">
        <v>87</v>
      </c>
      <c r="G11" s="293" t="s">
        <v>144</v>
      </c>
      <c r="H11" s="293" t="s">
        <v>65</v>
      </c>
      <c r="I11" s="293" t="s">
        <v>65</v>
      </c>
      <c r="J11" s="293" t="s">
        <v>144</v>
      </c>
      <c r="K11" s="293" t="s">
        <v>91</v>
      </c>
      <c r="L11" s="292" t="s">
        <v>157</v>
      </c>
      <c r="M11" s="293" t="s">
        <v>91</v>
      </c>
      <c r="N11" s="293" t="s">
        <v>86</v>
      </c>
      <c r="O11" s="293" t="s">
        <v>65</v>
      </c>
      <c r="P11" s="293" t="s">
        <v>65</v>
      </c>
      <c r="Q11" s="293" t="s">
        <v>96</v>
      </c>
      <c r="S11" s="340"/>
    </row>
    <row r="12" spans="2:19" x14ac:dyDescent="0.25">
      <c r="B12" s="56" t="s">
        <v>102</v>
      </c>
      <c r="C12" s="340" t="s">
        <v>103</v>
      </c>
      <c r="D12" s="340" t="s">
        <v>104</v>
      </c>
      <c r="E12" s="340" t="s">
        <v>105</v>
      </c>
      <c r="F12" s="340" t="s">
        <v>106</v>
      </c>
      <c r="G12" s="340" t="s">
        <v>107</v>
      </c>
      <c r="H12" s="340" t="s">
        <v>108</v>
      </c>
      <c r="I12" s="340" t="s">
        <v>109</v>
      </c>
      <c r="J12" s="340" t="s">
        <v>116</v>
      </c>
      <c r="K12" s="340" t="s">
        <v>110</v>
      </c>
      <c r="L12" s="340" t="s">
        <v>111</v>
      </c>
      <c r="M12" s="340" t="s">
        <v>112</v>
      </c>
      <c r="N12" s="340" t="s">
        <v>113</v>
      </c>
      <c r="O12" s="340" t="s">
        <v>114</v>
      </c>
      <c r="P12" s="340" t="s">
        <v>115</v>
      </c>
      <c r="Q12" s="340" t="s">
        <v>198</v>
      </c>
    </row>
    <row r="13" spans="2:19" x14ac:dyDescent="0.25">
      <c r="B13" s="363" t="s">
        <v>88</v>
      </c>
      <c r="C13" s="364">
        <v>545841699.84354484</v>
      </c>
      <c r="D13" s="364">
        <v>241458158.91637486</v>
      </c>
      <c r="E13" s="364">
        <f>C13-D13</f>
        <v>304383540.92716998</v>
      </c>
      <c r="F13" s="365">
        <v>577787183.477</v>
      </c>
      <c r="G13" s="366">
        <f>E13/SUM(E$13:E$19)</f>
        <v>0.7026954540636956</v>
      </c>
      <c r="H13" s="367">
        <v>1</v>
      </c>
      <c r="I13" s="188">
        <f>$J$29*$J$30*H13</f>
        <v>4.8464026806303614E-2</v>
      </c>
      <c r="J13" s="368">
        <f>E13*I13</f>
        <v>14751652.086891979</v>
      </c>
      <c r="K13" s="364">
        <f>'JAP-24 Page 3'!I50</f>
        <v>319136380.17167699</v>
      </c>
      <c r="L13" s="368">
        <f>D13</f>
        <v>241458158.91637486</v>
      </c>
      <c r="M13" s="368">
        <f>SUM(K13:L13)</f>
        <v>560594539.0880518</v>
      </c>
      <c r="N13" s="364">
        <f t="shared" ref="N13:N20" si="0">K13-E13</f>
        <v>14752839.244507015</v>
      </c>
      <c r="O13" s="367">
        <f t="shared" ref="O13:O24" si="1">N13/C13</f>
        <v>2.7027688153425499E-2</v>
      </c>
      <c r="P13" s="367">
        <f>N13/E13</f>
        <v>4.846792700935474E-2</v>
      </c>
      <c r="Q13" s="364">
        <f t="shared" ref="Q13:Q19" si="2">N13-J13</f>
        <v>1187.1576150357723</v>
      </c>
      <c r="R13" s="369"/>
      <c r="S13" s="367"/>
    </row>
    <row r="14" spans="2:19" x14ac:dyDescent="0.25">
      <c r="B14" s="370" t="s">
        <v>206</v>
      </c>
      <c r="C14" s="371">
        <v>176684814.97663116</v>
      </c>
      <c r="D14" s="371">
        <v>88240148.940744311</v>
      </c>
      <c r="E14" s="371">
        <f t="shared" ref="E14:E20" si="3">C14-D14</f>
        <v>88444666.035886854</v>
      </c>
      <c r="F14" s="365">
        <v>214593771.22299999</v>
      </c>
      <c r="G14" s="366">
        <f t="shared" ref="G14:G19" si="4">E14/SUM(E$13:E$19)</f>
        <v>0.20418208083882569</v>
      </c>
      <c r="H14" s="367">
        <v>1.5</v>
      </c>
      <c r="I14" s="188">
        <f t="shared" ref="I14:I19" si="5">$J$29*$J$30*H14</f>
        <v>7.2696040209455415E-2</v>
      </c>
      <c r="J14" s="372">
        <f t="shared" ref="J14:J20" si="6">E14*I14</f>
        <v>6429576.9984566867</v>
      </c>
      <c r="K14" s="371">
        <f>'JAP-24 Pages 4 - 6'!I118</f>
        <v>94873292.450000003</v>
      </c>
      <c r="L14" s="372">
        <f t="shared" ref="L14:L20" si="7">D14</f>
        <v>88240148.940744311</v>
      </c>
      <c r="M14" s="372">
        <f>SUM(K14:L14)</f>
        <v>183113441.39074433</v>
      </c>
      <c r="N14" s="371">
        <f t="shared" si="0"/>
        <v>6428626.414113149</v>
      </c>
      <c r="O14" s="367">
        <f t="shared" si="1"/>
        <v>3.6384713734247155E-2</v>
      </c>
      <c r="P14" s="367">
        <f t="shared" ref="P14:P21" si="8">N14/E14</f>
        <v>7.2685292423453812E-2</v>
      </c>
      <c r="Q14" s="364">
        <f t="shared" si="2"/>
        <v>-950.58434353768826</v>
      </c>
      <c r="R14" s="369"/>
      <c r="S14" s="367"/>
    </row>
    <row r="15" spans="2:19" x14ac:dyDescent="0.25">
      <c r="B15" s="373" t="s">
        <v>160</v>
      </c>
      <c r="C15" s="371">
        <v>33056600.460159004</v>
      </c>
      <c r="D15" s="371">
        <v>19551215.729296993</v>
      </c>
      <c r="E15" s="371">
        <f t="shared" si="3"/>
        <v>13505384.73086201</v>
      </c>
      <c r="F15" s="365">
        <v>54558710.760999992</v>
      </c>
      <c r="G15" s="366">
        <f t="shared" si="4"/>
        <v>3.1178336472630432E-2</v>
      </c>
      <c r="H15" s="367">
        <v>1</v>
      </c>
      <c r="I15" s="188">
        <f t="shared" si="5"/>
        <v>4.8464026806303614E-2</v>
      </c>
      <c r="J15" s="372">
        <f>E15*I15</f>
        <v>654525.32762593997</v>
      </c>
      <c r="K15" s="371">
        <f>'JAP-24 Pages 4 - 6'!I119</f>
        <v>14159844.980282499</v>
      </c>
      <c r="L15" s="372">
        <f t="shared" si="7"/>
        <v>19551215.729296993</v>
      </c>
      <c r="M15" s="372">
        <f>SUM(K15:L15)</f>
        <v>33711060.70957949</v>
      </c>
      <c r="N15" s="371">
        <f t="shared" si="0"/>
        <v>654460.24942048825</v>
      </c>
      <c r="O15" s="367">
        <f t="shared" si="1"/>
        <v>1.9798171630179186E-2</v>
      </c>
      <c r="P15" s="367">
        <f t="shared" si="8"/>
        <v>4.8459208120516531E-2</v>
      </c>
      <c r="Q15" s="364">
        <f t="shared" si="2"/>
        <v>-65.078205451718532</v>
      </c>
      <c r="R15" s="369"/>
      <c r="S15" s="367"/>
    </row>
    <row r="16" spans="2:19" x14ac:dyDescent="0.25">
      <c r="B16" s="363" t="s">
        <v>163</v>
      </c>
      <c r="C16" s="371">
        <v>26838492.813075565</v>
      </c>
      <c r="D16" s="371">
        <v>13012174.846591236</v>
      </c>
      <c r="E16" s="371">
        <f t="shared" si="3"/>
        <v>13826317.966484329</v>
      </c>
      <c r="F16" s="365">
        <v>126370130.04100002</v>
      </c>
      <c r="G16" s="366">
        <f t="shared" si="4"/>
        <v>3.1919238313258262E-2</v>
      </c>
      <c r="H16" s="367">
        <v>1</v>
      </c>
      <c r="I16" s="188">
        <f t="shared" si="5"/>
        <v>4.8464026806303614E-2</v>
      </c>
      <c r="J16" s="372">
        <f t="shared" si="6"/>
        <v>670079.04456017376</v>
      </c>
      <c r="K16" s="371">
        <f>'JAP-24 Pages 7-12'!I21+'JAP-24 Pages 7-12'!I43</f>
        <v>14496313.949999999</v>
      </c>
      <c r="L16" s="372">
        <f t="shared" si="7"/>
        <v>13012174.846591236</v>
      </c>
      <c r="M16" s="372">
        <f t="shared" ref="M16:M23" si="9">SUM(K16:L16)</f>
        <v>27508488.796591237</v>
      </c>
      <c r="N16" s="371">
        <f t="shared" si="0"/>
        <v>669995.98351567052</v>
      </c>
      <c r="O16" s="367">
        <f t="shared" si="1"/>
        <v>2.4963994371146363E-2</v>
      </c>
      <c r="P16" s="367">
        <f t="shared" si="8"/>
        <v>4.8458019346855292E-2</v>
      </c>
      <c r="Q16" s="364">
        <f t="shared" si="2"/>
        <v>-83.061044503236189</v>
      </c>
      <c r="R16" s="369"/>
      <c r="S16" s="367"/>
    </row>
    <row r="17" spans="2:19" x14ac:dyDescent="0.25">
      <c r="B17" s="373" t="s">
        <v>187</v>
      </c>
      <c r="C17" s="371">
        <v>5763700.7880001646</v>
      </c>
      <c r="D17" s="371">
        <v>3588371.4953389997</v>
      </c>
      <c r="E17" s="371">
        <f t="shared" si="3"/>
        <v>2175329.2926611649</v>
      </c>
      <c r="F17" s="365">
        <v>9978633.8300000001</v>
      </c>
      <c r="G17" s="366">
        <f t="shared" si="4"/>
        <v>5.0219338417195909E-3</v>
      </c>
      <c r="H17" s="367">
        <v>0.5</v>
      </c>
      <c r="I17" s="188">
        <f t="shared" si="5"/>
        <v>2.4232013403151807E-2</v>
      </c>
      <c r="J17" s="372">
        <f>E17*I17</f>
        <v>52712.608576034087</v>
      </c>
      <c r="K17" s="371">
        <f>'JAP-24 Pages 7-12'!I116</f>
        <v>2228071.13</v>
      </c>
      <c r="L17" s="372">
        <f t="shared" si="7"/>
        <v>3588371.4953389997</v>
      </c>
      <c r="M17" s="372">
        <f>SUM(K17:L17)</f>
        <v>5816442.6253389996</v>
      </c>
      <c r="N17" s="371">
        <f t="shared" si="0"/>
        <v>52741.837338835001</v>
      </c>
      <c r="O17" s="367">
        <f t="shared" si="1"/>
        <v>9.1506896833787373E-3</v>
      </c>
      <c r="P17" s="367">
        <f t="shared" si="8"/>
        <v>2.4245449880516187E-2</v>
      </c>
      <c r="Q17" s="364">
        <f t="shared" si="2"/>
        <v>29.22876280091441</v>
      </c>
      <c r="R17" s="369"/>
      <c r="S17" s="367"/>
    </row>
    <row r="18" spans="2:19" x14ac:dyDescent="0.25">
      <c r="B18" s="373" t="s">
        <v>161</v>
      </c>
      <c r="C18" s="371">
        <v>13178437.652036682</v>
      </c>
      <c r="D18" s="371">
        <v>8389563.9427518807</v>
      </c>
      <c r="E18" s="371">
        <f t="shared" si="3"/>
        <v>4788873.709284801</v>
      </c>
      <c r="F18" s="365">
        <v>122253420.23800002</v>
      </c>
      <c r="G18" s="366">
        <f t="shared" si="4"/>
        <v>1.1055524800550078E-2</v>
      </c>
      <c r="H18" s="367">
        <v>1.5</v>
      </c>
      <c r="I18" s="188">
        <f t="shared" si="5"/>
        <v>7.2696040209455415E-2</v>
      </c>
      <c r="J18" s="372">
        <f>E18*I18</f>
        <v>348132.15572817181</v>
      </c>
      <c r="K18" s="371">
        <f>'JAP-24 Pages 7-12'!I142+'JAP-24 Pages 7-12'!I165</f>
        <v>5137033.1099999994</v>
      </c>
      <c r="L18" s="372">
        <f t="shared" si="7"/>
        <v>8389563.9427518807</v>
      </c>
      <c r="M18" s="372">
        <f t="shared" si="9"/>
        <v>13526597.05275188</v>
      </c>
      <c r="N18" s="371">
        <f>K18-E18</f>
        <v>348159.40071519837</v>
      </c>
      <c r="O18" s="367">
        <f t="shared" si="1"/>
        <v>2.6418867691906676E-2</v>
      </c>
      <c r="P18" s="367">
        <f t="shared" si="8"/>
        <v>7.2701729435916684E-2</v>
      </c>
      <c r="Q18" s="364">
        <f t="shared" si="2"/>
        <v>27.244987026555464</v>
      </c>
      <c r="R18" s="369"/>
      <c r="S18" s="367"/>
    </row>
    <row r="19" spans="2:19" x14ac:dyDescent="0.25">
      <c r="B19" s="363" t="s">
        <v>89</v>
      </c>
      <c r="C19" s="371">
        <v>6041548.46</v>
      </c>
      <c r="D19" s="371">
        <v>0</v>
      </c>
      <c r="E19" s="372">
        <f t="shared" si="3"/>
        <v>6041548.46</v>
      </c>
      <c r="F19" s="365">
        <v>0</v>
      </c>
      <c r="G19" s="366">
        <f t="shared" si="4"/>
        <v>1.3947431669320493E-2</v>
      </c>
      <c r="H19" s="367">
        <v>0</v>
      </c>
      <c r="I19" s="188">
        <f t="shared" si="5"/>
        <v>0</v>
      </c>
      <c r="J19" s="372">
        <f>E19*I19</f>
        <v>0</v>
      </c>
      <c r="K19" s="371">
        <f>E19+'JAP-24 Page 13'!K31</f>
        <v>6041548.46</v>
      </c>
      <c r="L19" s="371">
        <f t="shared" si="7"/>
        <v>0</v>
      </c>
      <c r="M19" s="372">
        <f>SUM(K19:L19)</f>
        <v>6041548.46</v>
      </c>
      <c r="N19" s="374">
        <f>K19-E19</f>
        <v>0</v>
      </c>
      <c r="O19" s="367">
        <f>N19/C19</f>
        <v>0</v>
      </c>
      <c r="P19" s="367">
        <f t="shared" si="8"/>
        <v>0</v>
      </c>
      <c r="Q19" s="364">
        <f t="shared" si="2"/>
        <v>0</v>
      </c>
      <c r="R19" s="369"/>
      <c r="S19" s="367"/>
    </row>
    <row r="20" spans="2:19" s="33" customFormat="1" x14ac:dyDescent="0.25">
      <c r="B20" s="373" t="s">
        <v>144</v>
      </c>
      <c r="C20" s="371">
        <v>1369461.9637169461</v>
      </c>
      <c r="D20" s="371">
        <v>0</v>
      </c>
      <c r="E20" s="371">
        <f t="shared" si="3"/>
        <v>1369461.9637169461</v>
      </c>
      <c r="F20" s="365">
        <v>37008902.460000001</v>
      </c>
      <c r="G20" s="366"/>
      <c r="H20" s="367"/>
      <c r="I20" s="188"/>
      <c r="J20" s="372">
        <f t="shared" si="6"/>
        <v>0</v>
      </c>
      <c r="K20" s="371">
        <v>1455354.7418779605</v>
      </c>
      <c r="L20" s="372">
        <f t="shared" si="7"/>
        <v>0</v>
      </c>
      <c r="M20" s="371">
        <f t="shared" si="9"/>
        <v>1455354.7418779605</v>
      </c>
      <c r="N20" s="371">
        <f t="shared" si="0"/>
        <v>85892.77816101443</v>
      </c>
      <c r="O20" s="375">
        <f t="shared" si="1"/>
        <v>6.2720090398047448E-2</v>
      </c>
      <c r="P20" s="367">
        <f t="shared" si="8"/>
        <v>6.2720090398047448E-2</v>
      </c>
      <c r="Q20" s="364"/>
      <c r="R20" s="369"/>
      <c r="S20" s="367"/>
    </row>
    <row r="21" spans="2:19" x14ac:dyDescent="0.25">
      <c r="B21" s="216" t="s">
        <v>175</v>
      </c>
      <c r="C21" s="376">
        <f>SUM(C13:C20)</f>
        <v>808774756.95716429</v>
      </c>
      <c r="D21" s="376">
        <f>SUM(D13:D20)</f>
        <v>374239633.87109828</v>
      </c>
      <c r="E21" s="376">
        <f>SUM(E13:E20)</f>
        <v>434535123.08606601</v>
      </c>
      <c r="F21" s="299">
        <f>SUM(F13:F20)</f>
        <v>1142550752.0300002</v>
      </c>
      <c r="G21" s="377">
        <f>SUM(G13:G20)</f>
        <v>1.0000000000000002</v>
      </c>
      <c r="H21" s="188"/>
      <c r="I21" s="188"/>
      <c r="J21" s="376">
        <f>SUM(J13:J20)</f>
        <v>22906678.221838988</v>
      </c>
      <c r="K21" s="376">
        <f>SUM(K13:K20)</f>
        <v>457527838.99383742</v>
      </c>
      <c r="L21" s="378">
        <f>SUM(L13:L20)</f>
        <v>374239633.87109828</v>
      </c>
      <c r="M21" s="376">
        <f>SUM(M13:M20)</f>
        <v>831767472.86493576</v>
      </c>
      <c r="N21" s="378">
        <f>SUM(N13:N20)</f>
        <v>22992715.907771371</v>
      </c>
      <c r="O21" s="367">
        <f t="shared" si="1"/>
        <v>2.8429072136569106E-2</v>
      </c>
      <c r="P21" s="379">
        <f t="shared" si="8"/>
        <v>5.2913365770014702E-2</v>
      </c>
      <c r="Q21" s="378">
        <f>SUM(Q13:Q20)</f>
        <v>144.90777137059922</v>
      </c>
      <c r="R21" s="369"/>
      <c r="S21" s="389"/>
    </row>
    <row r="22" spans="2:19" x14ac:dyDescent="0.25">
      <c r="B22" s="363"/>
      <c r="C22" s="372"/>
      <c r="D22" s="372"/>
      <c r="E22" s="372"/>
      <c r="F22" s="365"/>
      <c r="G22" s="366"/>
      <c r="H22" s="188"/>
      <c r="I22" s="188"/>
      <c r="J22" s="372"/>
      <c r="K22" s="372"/>
      <c r="L22" s="371"/>
      <c r="M22" s="372"/>
      <c r="N22" s="371"/>
      <c r="O22" s="367"/>
      <c r="P22" s="367"/>
      <c r="Q22" s="364"/>
    </row>
    <row r="23" spans="2:19" x14ac:dyDescent="0.25">
      <c r="B23" s="363" t="s">
        <v>90</v>
      </c>
      <c r="C23" s="372">
        <v>7009594.2300000004</v>
      </c>
      <c r="D23" s="372"/>
      <c r="E23" s="372">
        <f>C23</f>
        <v>7009594.2300000004</v>
      </c>
      <c r="F23" s="365"/>
      <c r="G23" s="366"/>
      <c r="H23" s="49"/>
      <c r="I23" s="49"/>
      <c r="J23" s="372"/>
      <c r="K23" s="372">
        <f>E23</f>
        <v>7009594.2300000004</v>
      </c>
      <c r="L23" s="371"/>
      <c r="M23" s="372">
        <f t="shared" si="9"/>
        <v>7009594.2300000004</v>
      </c>
      <c r="N23" s="371"/>
      <c r="O23" s="375">
        <f t="shared" si="1"/>
        <v>0</v>
      </c>
      <c r="P23" s="332"/>
      <c r="Q23" s="33"/>
    </row>
    <row r="24" spans="2:19" x14ac:dyDescent="0.25">
      <c r="B24" s="363" t="s">
        <v>23</v>
      </c>
      <c r="C24" s="376">
        <f>SUM(C21:C23)</f>
        <v>815784351.18716431</v>
      </c>
      <c r="D24" s="376">
        <f>SUM(D21:D23)</f>
        <v>374239633.87109828</v>
      </c>
      <c r="E24" s="376">
        <f>SUM(E21:E23)</f>
        <v>441544717.31606603</v>
      </c>
      <c r="F24" s="299">
        <f>SUM(F21:F23)</f>
        <v>1142550752.0300002</v>
      </c>
      <c r="G24" s="380"/>
      <c r="H24" s="49"/>
      <c r="I24" s="188"/>
      <c r="J24" s="376">
        <f>SUM(J21:J23)</f>
        <v>22906678.221838988</v>
      </c>
      <c r="K24" s="376">
        <f>SUM(K21:K23)</f>
        <v>464537433.22383744</v>
      </c>
      <c r="L24" s="378">
        <f>SUM(L21:L23)</f>
        <v>374239633.87109828</v>
      </c>
      <c r="M24" s="376">
        <f>SUM(M21:M23)</f>
        <v>838777067.09493577</v>
      </c>
      <c r="N24" s="378">
        <f>SUM(N21:N23)</f>
        <v>22992715.907771371</v>
      </c>
      <c r="O24" s="367">
        <f t="shared" si="1"/>
        <v>2.818479647753893E-2</v>
      </c>
      <c r="P24" s="379">
        <f>N24/E24</f>
        <v>5.2073357479017812E-2</v>
      </c>
      <c r="Q24" s="378">
        <f>SUM(Q21:Q23)</f>
        <v>144.90777137059922</v>
      </c>
    </row>
    <row r="25" spans="2:19" x14ac:dyDescent="0.25">
      <c r="H25" s="280"/>
      <c r="J25" s="33"/>
      <c r="K25" s="364"/>
      <c r="L25" s="33"/>
      <c r="N25" s="368"/>
      <c r="Q25" s="381"/>
    </row>
    <row r="26" spans="2:19" x14ac:dyDescent="0.25">
      <c r="B26" s="363" t="s">
        <v>93</v>
      </c>
      <c r="J26" s="32">
        <v>22992571</v>
      </c>
      <c r="K26" s="382"/>
      <c r="L26" s="383"/>
      <c r="M26" s="368"/>
      <c r="N26" s="384"/>
      <c r="O26" s="280"/>
      <c r="P26" s="280"/>
      <c r="Q26" s="368"/>
    </row>
    <row r="27" spans="2:19" x14ac:dyDescent="0.25">
      <c r="B27" s="363" t="s">
        <v>167</v>
      </c>
      <c r="J27" s="383">
        <f>$J$26/(SUM(E$13:E$19))</f>
        <v>5.3080317909839282E-2</v>
      </c>
      <c r="K27" s="383"/>
      <c r="L27" s="364"/>
      <c r="M27" s="385"/>
      <c r="N27" s="127"/>
      <c r="O27" s="280"/>
      <c r="P27" s="280"/>
    </row>
    <row r="28" spans="2:19" x14ac:dyDescent="0.25">
      <c r="B28" s="363" t="s">
        <v>168</v>
      </c>
      <c r="E28" s="368"/>
      <c r="J28" s="383">
        <f>ROUND($J$26/(SUM(C$13:C$19)),4)</f>
        <v>2.8500000000000001E-2</v>
      </c>
      <c r="L28" s="364"/>
      <c r="N28" s="384"/>
      <c r="O28" s="280"/>
      <c r="P28" s="280"/>
      <c r="Q28" s="368"/>
    </row>
    <row r="29" spans="2:19" s="33" customFormat="1" x14ac:dyDescent="0.25">
      <c r="B29" s="373" t="s">
        <v>174</v>
      </c>
      <c r="E29" s="364"/>
      <c r="J29" s="383">
        <f>(J26-N20)/SUM(E13:E19)</f>
        <v>5.2882027080555949E-2</v>
      </c>
      <c r="L29" s="364"/>
      <c r="N29" s="32"/>
      <c r="O29" s="296"/>
      <c r="P29" s="296"/>
      <c r="Q29" s="364"/>
    </row>
    <row r="30" spans="2:19" s="33" customFormat="1" x14ac:dyDescent="0.25">
      <c r="B30" s="373" t="s">
        <v>169</v>
      </c>
      <c r="E30" s="364"/>
      <c r="J30" s="386">
        <f>1/SUMPRODUCT($G$13:$G$19,$H$13:$H$19)</f>
        <v>0.91645554230509485</v>
      </c>
      <c r="L30" s="364"/>
      <c r="M30" s="32"/>
      <c r="N30" s="296"/>
      <c r="O30" s="296"/>
      <c r="P30" s="296"/>
      <c r="Q30" s="364"/>
    </row>
    <row r="31" spans="2:19" s="33" customFormat="1" x14ac:dyDescent="0.25">
      <c r="B31" s="373"/>
      <c r="E31" s="364"/>
      <c r="J31" s="364"/>
      <c r="L31" s="364"/>
      <c r="M31" s="32"/>
      <c r="N31" s="32"/>
      <c r="O31" s="296"/>
      <c r="P31" s="296"/>
      <c r="Q31" s="364"/>
    </row>
    <row r="32" spans="2:19" s="33" customFormat="1" x14ac:dyDescent="0.25">
      <c r="B32" s="373" t="s">
        <v>172</v>
      </c>
      <c r="E32" s="364"/>
      <c r="J32" s="364"/>
      <c r="L32" s="364"/>
      <c r="M32" s="32"/>
      <c r="N32" s="32">
        <f>Q24</f>
        <v>144.90777137059922</v>
      </c>
      <c r="O32" s="296"/>
      <c r="P32" s="296"/>
      <c r="Q32" s="364"/>
    </row>
    <row r="33" spans="2:16" s="33" customFormat="1" x14ac:dyDescent="0.25">
      <c r="E33" s="364"/>
      <c r="J33" s="364"/>
      <c r="K33" s="364"/>
      <c r="L33" s="364"/>
      <c r="M33" s="32"/>
      <c r="N33" s="296"/>
      <c r="O33" s="296"/>
      <c r="P33" s="296"/>
    </row>
    <row r="34" spans="2:16" s="33" customFormat="1" x14ac:dyDescent="0.25">
      <c r="B34" s="50" t="s">
        <v>214</v>
      </c>
      <c r="E34" s="364"/>
      <c r="M34" s="32"/>
      <c r="N34" s="296"/>
      <c r="O34" s="296"/>
      <c r="P34" s="296"/>
    </row>
    <row r="35" spans="2:16" s="33" customFormat="1" x14ac:dyDescent="0.25">
      <c r="B35" s="50" t="s">
        <v>159</v>
      </c>
      <c r="J35" s="364"/>
      <c r="K35" s="364"/>
      <c r="L35" s="364"/>
    </row>
    <row r="36" spans="2:16" s="33" customFormat="1" x14ac:dyDescent="0.25">
      <c r="B36" s="50" t="s">
        <v>199</v>
      </c>
    </row>
    <row r="37" spans="2:16" s="33" customFormat="1" x14ac:dyDescent="0.25">
      <c r="J37" s="364"/>
      <c r="K37" s="364"/>
      <c r="L37" s="364"/>
      <c r="M37" s="364"/>
    </row>
    <row r="38" spans="2:16" s="33" customFormat="1" x14ac:dyDescent="0.25">
      <c r="J38" s="364"/>
      <c r="K38" s="364"/>
    </row>
    <row r="39" spans="2:16" s="33" customFormat="1" x14ac:dyDescent="0.25">
      <c r="J39" s="364"/>
      <c r="N39" s="364"/>
    </row>
    <row r="40" spans="2:16" s="33" customFormat="1" x14ac:dyDescent="0.25">
      <c r="C40" s="364"/>
      <c r="J40" s="385"/>
      <c r="K40" s="32"/>
      <c r="L40" s="32"/>
      <c r="M40" s="32"/>
      <c r="N40" s="32"/>
    </row>
    <row r="41" spans="2:16" s="33" customFormat="1" x14ac:dyDescent="0.25"/>
    <row r="42" spans="2:16" s="33" customFormat="1" x14ac:dyDescent="0.25"/>
    <row r="43" spans="2:16" s="33" customFormat="1" x14ac:dyDescent="0.25"/>
    <row r="44" spans="2:16" s="33" customFormat="1" x14ac:dyDescent="0.25">
      <c r="G44" s="387"/>
      <c r="H44" s="387"/>
      <c r="J44" s="383"/>
    </row>
    <row r="45" spans="2:16" s="33" customFormat="1" x14ac:dyDescent="0.25">
      <c r="G45" s="387"/>
      <c r="H45" s="387"/>
    </row>
    <row r="46" spans="2:16" s="33" customFormat="1" x14ac:dyDescent="0.25">
      <c r="B46" s="33" t="s">
        <v>119</v>
      </c>
      <c r="G46" s="387"/>
      <c r="H46" s="387"/>
    </row>
    <row r="47" spans="2:16" s="33" customFormat="1" x14ac:dyDescent="0.25">
      <c r="G47" s="387"/>
      <c r="H47" s="387"/>
    </row>
    <row r="48" spans="2:16" s="33" customFormat="1" x14ac:dyDescent="0.25">
      <c r="G48" s="387"/>
      <c r="H48" s="387"/>
    </row>
    <row r="49" spans="7:8" s="33" customFormat="1" x14ac:dyDescent="0.25">
      <c r="G49" s="387"/>
      <c r="H49" s="387"/>
    </row>
    <row r="50" spans="7:8" s="33" customFormat="1" x14ac:dyDescent="0.25">
      <c r="G50" s="387"/>
      <c r="H50" s="387"/>
    </row>
    <row r="51" spans="7:8" s="33" customFormat="1" x14ac:dyDescent="0.25">
      <c r="G51" s="387"/>
    </row>
    <row r="52" spans="7:8" s="33" customFormat="1" x14ac:dyDescent="0.25"/>
  </sheetData>
  <phoneticPr fontId="16" type="noConversion"/>
  <printOptions horizontalCentered="1"/>
  <pageMargins left="0.25" right="0.25" top="0.75" bottom="0.75" header="0.3" footer="0.3"/>
  <pageSetup scale="4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2"/>
  <sheetViews>
    <sheetView zoomScaleNormal="100" workbookViewId="0">
      <pane xSplit="2" ySplit="11" topLeftCell="C12" activePane="bottomRight" state="frozen"/>
      <selection activeCell="G43" sqref="G43"/>
      <selection pane="topRight" activeCell="G43" sqref="G43"/>
      <selection pane="bottomLeft" activeCell="G43" sqref="G43"/>
      <selection pane="bottomRight" activeCell="G43" sqref="G43"/>
    </sheetView>
  </sheetViews>
  <sheetFormatPr defaultColWidth="9.109375" defaultRowHeight="13.2" x14ac:dyDescent="0.25"/>
  <cols>
    <col min="1" max="1" width="2" style="216" customWidth="1"/>
    <col min="2" max="2" width="55" style="216" customWidth="1"/>
    <col min="3" max="3" width="15" style="216" bestFit="1" customWidth="1"/>
    <col min="4" max="5" width="13.44140625" style="216" bestFit="1" customWidth="1"/>
    <col min="6" max="6" width="12.6640625" style="216" bestFit="1" customWidth="1"/>
    <col min="7" max="7" width="9" style="216" bestFit="1" customWidth="1"/>
    <col min="8" max="8" width="8" style="216" bestFit="1" customWidth="1"/>
    <col min="9" max="9" width="8.88671875" style="216" bestFit="1" customWidth="1"/>
    <col min="10" max="10" width="12.5546875" style="216" bestFit="1" customWidth="1"/>
    <col min="11" max="11" width="13.44140625" style="216" bestFit="1" customWidth="1"/>
    <col min="12" max="12" width="14.44140625" style="216" customWidth="1"/>
    <col min="13" max="13" width="15" style="216" bestFit="1" customWidth="1"/>
    <col min="14" max="14" width="12.33203125" style="216" bestFit="1" customWidth="1"/>
    <col min="15" max="15" width="8.88671875" style="216" bestFit="1" customWidth="1"/>
    <col min="16" max="16" width="9.33203125" style="216" bestFit="1" customWidth="1"/>
    <col min="17" max="17" width="12.88671875" style="216" bestFit="1" customWidth="1"/>
    <col min="18" max="18" width="9.109375" style="216"/>
    <col min="19" max="19" width="14" style="33" bestFit="1" customWidth="1"/>
    <col min="20" max="16384" width="9.109375" style="216"/>
  </cols>
  <sheetData>
    <row r="1" spans="2:19" x14ac:dyDescent="0.25">
      <c r="B1" s="2" t="s">
        <v>70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"/>
      <c r="O1" s="268"/>
      <c r="P1" s="268"/>
      <c r="Q1" s="268"/>
    </row>
    <row r="2" spans="2:19" x14ac:dyDescent="0.25">
      <c r="B2" s="2" t="s">
        <v>211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"/>
      <c r="O2" s="268"/>
      <c r="P2" s="268"/>
      <c r="Q2" s="268"/>
    </row>
    <row r="3" spans="2:19" x14ac:dyDescent="0.25">
      <c r="B3" s="2" t="s">
        <v>204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"/>
      <c r="O3" s="268"/>
      <c r="P3" s="268"/>
      <c r="Q3" s="268"/>
    </row>
    <row r="4" spans="2:19" x14ac:dyDescent="0.25">
      <c r="B4" s="2" t="s">
        <v>208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"/>
      <c r="O4" s="268"/>
      <c r="P4" s="268"/>
      <c r="Q4" s="268"/>
    </row>
    <row r="5" spans="2:19" s="358" customFormat="1" x14ac:dyDescent="0.25">
      <c r="K5" s="359"/>
      <c r="S5" s="50"/>
    </row>
    <row r="6" spans="2:19" x14ac:dyDescent="0.25">
      <c r="B6" s="268"/>
      <c r="J6" s="33"/>
    </row>
    <row r="7" spans="2:19" x14ac:dyDescent="0.25">
      <c r="B7" s="268"/>
      <c r="G7" s="340" t="s">
        <v>92</v>
      </c>
    </row>
    <row r="8" spans="2:19" x14ac:dyDescent="0.25">
      <c r="C8" s="320" t="s">
        <v>77</v>
      </c>
      <c r="D8" s="320" t="s">
        <v>77</v>
      </c>
      <c r="E8" s="320" t="s">
        <v>77</v>
      </c>
      <c r="G8" s="340" t="s">
        <v>165</v>
      </c>
      <c r="H8" s="340" t="s">
        <v>92</v>
      </c>
      <c r="I8" s="340"/>
      <c r="J8" s="56" t="s">
        <v>1</v>
      </c>
      <c r="K8" s="360"/>
      <c r="L8" s="320" t="s">
        <v>77</v>
      </c>
      <c r="M8" s="360"/>
      <c r="N8" s="361"/>
      <c r="Q8" s="56" t="s">
        <v>200</v>
      </c>
    </row>
    <row r="9" spans="2:19" x14ac:dyDescent="0.25">
      <c r="C9" s="320" t="s">
        <v>78</v>
      </c>
      <c r="D9" s="320" t="s">
        <v>80</v>
      </c>
      <c r="E9" s="320" t="s">
        <v>86</v>
      </c>
      <c r="G9" s="340" t="s">
        <v>86</v>
      </c>
      <c r="H9" s="340" t="s">
        <v>203</v>
      </c>
      <c r="I9" s="340" t="s">
        <v>1</v>
      </c>
      <c r="J9" s="340" t="s">
        <v>86</v>
      </c>
      <c r="K9" s="362" t="s">
        <v>125</v>
      </c>
      <c r="L9" s="320" t="s">
        <v>80</v>
      </c>
      <c r="M9" s="362" t="s">
        <v>125</v>
      </c>
      <c r="N9" s="362" t="s">
        <v>125</v>
      </c>
      <c r="O9" s="56" t="s">
        <v>92</v>
      </c>
      <c r="P9" s="56" t="s">
        <v>92</v>
      </c>
      <c r="Q9" s="340" t="s">
        <v>201</v>
      </c>
      <c r="S9" s="340"/>
    </row>
    <row r="10" spans="2:19" x14ac:dyDescent="0.25">
      <c r="C10" s="320" t="s">
        <v>79</v>
      </c>
      <c r="D10" s="320" t="s">
        <v>81</v>
      </c>
      <c r="E10" s="320" t="s">
        <v>81</v>
      </c>
      <c r="F10" s="340" t="s">
        <v>76</v>
      </c>
      <c r="G10" s="340" t="s">
        <v>202</v>
      </c>
      <c r="H10" s="340" t="s">
        <v>166</v>
      </c>
      <c r="I10" s="340" t="s">
        <v>86</v>
      </c>
      <c r="J10" s="340" t="s">
        <v>171</v>
      </c>
      <c r="K10" s="340" t="s">
        <v>86</v>
      </c>
      <c r="L10" s="320" t="s">
        <v>207</v>
      </c>
      <c r="M10" s="340" t="s">
        <v>23</v>
      </c>
      <c r="N10" s="340" t="s">
        <v>126</v>
      </c>
      <c r="O10" s="340" t="s">
        <v>158</v>
      </c>
      <c r="P10" s="340" t="s">
        <v>197</v>
      </c>
      <c r="Q10" s="340" t="s">
        <v>117</v>
      </c>
      <c r="S10" s="340"/>
    </row>
    <row r="11" spans="2:19" x14ac:dyDescent="0.25">
      <c r="B11" s="292" t="s">
        <v>69</v>
      </c>
      <c r="C11" s="292" t="s">
        <v>5</v>
      </c>
      <c r="D11" s="292" t="s">
        <v>157</v>
      </c>
      <c r="E11" s="292" t="s">
        <v>5</v>
      </c>
      <c r="F11" s="293" t="s">
        <v>87</v>
      </c>
      <c r="G11" s="293" t="s">
        <v>144</v>
      </c>
      <c r="H11" s="293" t="s">
        <v>65</v>
      </c>
      <c r="I11" s="293" t="s">
        <v>65</v>
      </c>
      <c r="J11" s="293" t="s">
        <v>144</v>
      </c>
      <c r="K11" s="293" t="s">
        <v>91</v>
      </c>
      <c r="L11" s="292" t="s">
        <v>210</v>
      </c>
      <c r="M11" s="293" t="s">
        <v>91</v>
      </c>
      <c r="N11" s="293" t="s">
        <v>86</v>
      </c>
      <c r="O11" s="293" t="s">
        <v>65</v>
      </c>
      <c r="P11" s="293" t="s">
        <v>65</v>
      </c>
      <c r="Q11" s="293" t="s">
        <v>96</v>
      </c>
      <c r="S11" s="340"/>
    </row>
    <row r="12" spans="2:19" x14ac:dyDescent="0.25">
      <c r="B12" s="56" t="s">
        <v>102</v>
      </c>
      <c r="C12" s="340" t="s">
        <v>103</v>
      </c>
      <c r="D12" s="340" t="s">
        <v>104</v>
      </c>
      <c r="E12" s="340" t="s">
        <v>105</v>
      </c>
      <c r="F12" s="340" t="s">
        <v>106</v>
      </c>
      <c r="G12" s="340" t="s">
        <v>107</v>
      </c>
      <c r="H12" s="340" t="s">
        <v>108</v>
      </c>
      <c r="I12" s="340" t="s">
        <v>109</v>
      </c>
      <c r="J12" s="340" t="s">
        <v>116</v>
      </c>
      <c r="K12" s="340" t="s">
        <v>110</v>
      </c>
      <c r="L12" s="340" t="s">
        <v>111</v>
      </c>
      <c r="M12" s="340" t="s">
        <v>112</v>
      </c>
      <c r="N12" s="340" t="s">
        <v>113</v>
      </c>
      <c r="O12" s="340" t="s">
        <v>114</v>
      </c>
      <c r="P12" s="340" t="s">
        <v>115</v>
      </c>
      <c r="Q12" s="340" t="s">
        <v>198</v>
      </c>
    </row>
    <row r="13" spans="2:19" x14ac:dyDescent="0.25">
      <c r="B13" s="363" t="s">
        <v>88</v>
      </c>
      <c r="C13" s="364">
        <v>545841699.84354484</v>
      </c>
      <c r="D13" s="364">
        <v>241458158.91637486</v>
      </c>
      <c r="E13" s="364">
        <f>C13-D13</f>
        <v>304383540.92716998</v>
      </c>
      <c r="F13" s="365">
        <v>577787183.477</v>
      </c>
      <c r="G13" s="366">
        <f>E13/SUM(E$13:E$19)</f>
        <v>0.7026954540636956</v>
      </c>
      <c r="H13" s="367">
        <v>1</v>
      </c>
      <c r="I13" s="188">
        <f>$J$29*$J$30*H13</f>
        <v>4.8464026806303614E-2</v>
      </c>
      <c r="J13" s="368">
        <f>E13*I13</f>
        <v>14751652.086891979</v>
      </c>
      <c r="K13" s="364">
        <f>'JAP-24 Page 3'!I50</f>
        <v>319136380.17167699</v>
      </c>
      <c r="L13" s="364">
        <f>'JAP-24 Page 3'!I49</f>
        <v>236408299.12868783</v>
      </c>
      <c r="M13" s="368">
        <f>SUM(K13:L13)</f>
        <v>555544679.30036485</v>
      </c>
      <c r="N13" s="364">
        <f t="shared" ref="N13:N20" si="0">K13-E13</f>
        <v>14752839.244507015</v>
      </c>
      <c r="O13" s="367">
        <f>N13/M13</f>
        <v>2.6555630526578469E-2</v>
      </c>
      <c r="P13" s="367">
        <f t="shared" ref="P13:P21" si="1">N13/E13</f>
        <v>4.846792700935474E-2</v>
      </c>
      <c r="Q13" s="364">
        <f t="shared" ref="Q13:Q19" si="2">N13-J13</f>
        <v>1187.1576150357723</v>
      </c>
      <c r="R13" s="369"/>
      <c r="S13" s="372"/>
    </row>
    <row r="14" spans="2:19" x14ac:dyDescent="0.25">
      <c r="B14" s="370" t="s">
        <v>206</v>
      </c>
      <c r="C14" s="371">
        <v>176684814.97663116</v>
      </c>
      <c r="D14" s="371">
        <v>88240148.940744311</v>
      </c>
      <c r="E14" s="371">
        <f t="shared" ref="E14:E20" si="3">C14-D14</f>
        <v>88444666.035886854</v>
      </c>
      <c r="F14" s="365">
        <v>214593771.22299999</v>
      </c>
      <c r="G14" s="366">
        <f t="shared" ref="G14:G19" si="4">E14/SUM(E$13:E$19)</f>
        <v>0.20418208083882569</v>
      </c>
      <c r="H14" s="367">
        <v>1.5</v>
      </c>
      <c r="I14" s="188">
        <f t="shared" ref="I14:I19" si="5">$J$29*$J$30*H14</f>
        <v>7.2696040209455415E-2</v>
      </c>
      <c r="J14" s="372">
        <f t="shared" ref="J14:J20" si="6">E14*I14</f>
        <v>6429576.9984566867</v>
      </c>
      <c r="K14" s="371">
        <f>'JAP-24 Pages 4 - 6'!I118</f>
        <v>94873292.450000003</v>
      </c>
      <c r="L14" s="371">
        <f>'JAP-24 Pages 4 - 6'!I113</f>
        <v>87220937.211852565</v>
      </c>
      <c r="M14" s="372">
        <f>SUM(K14:L14)</f>
        <v>182094229.66185257</v>
      </c>
      <c r="N14" s="371">
        <f t="shared" si="0"/>
        <v>6428626.414113149</v>
      </c>
      <c r="O14" s="367">
        <f t="shared" ref="O14:O20" si="7">N14/M14</f>
        <v>3.5303844751429267E-2</v>
      </c>
      <c r="P14" s="367">
        <f t="shared" si="1"/>
        <v>7.2685292423453812E-2</v>
      </c>
      <c r="Q14" s="364">
        <f t="shared" si="2"/>
        <v>-950.58434353768826</v>
      </c>
      <c r="R14" s="369"/>
      <c r="S14" s="372"/>
    </row>
    <row r="15" spans="2:19" x14ac:dyDescent="0.25">
      <c r="B15" s="373" t="s">
        <v>160</v>
      </c>
      <c r="C15" s="371">
        <v>33056600.460159004</v>
      </c>
      <c r="D15" s="371">
        <v>19551215.729296993</v>
      </c>
      <c r="E15" s="371">
        <f t="shared" si="3"/>
        <v>13505384.73086201</v>
      </c>
      <c r="F15" s="365">
        <v>54558710.760999992</v>
      </c>
      <c r="G15" s="366">
        <f t="shared" si="4"/>
        <v>3.1178336472630432E-2</v>
      </c>
      <c r="H15" s="367">
        <v>1</v>
      </c>
      <c r="I15" s="188">
        <f t="shared" si="5"/>
        <v>4.8464026806303614E-2</v>
      </c>
      <c r="J15" s="372">
        <f>E15*I15</f>
        <v>654525.32762593997</v>
      </c>
      <c r="K15" s="371">
        <f>'JAP-24 Pages 4 - 6'!I119</f>
        <v>14159844.980282499</v>
      </c>
      <c r="L15" s="371">
        <f>'JAP-24 Pages 4 - 6'!I114</f>
        <v>23123507.488899361</v>
      </c>
      <c r="M15" s="372">
        <f>SUM(K15:L15)</f>
        <v>37283352.469181858</v>
      </c>
      <c r="N15" s="371">
        <f t="shared" si="0"/>
        <v>654460.24942048825</v>
      </c>
      <c r="O15" s="367">
        <f t="shared" si="7"/>
        <v>1.7553685655319225E-2</v>
      </c>
      <c r="P15" s="367">
        <f t="shared" si="1"/>
        <v>4.8459208120516531E-2</v>
      </c>
      <c r="Q15" s="364">
        <f t="shared" si="2"/>
        <v>-65.078205451718532</v>
      </c>
      <c r="R15" s="369"/>
      <c r="S15" s="372"/>
    </row>
    <row r="16" spans="2:19" x14ac:dyDescent="0.25">
      <c r="B16" s="363" t="s">
        <v>163</v>
      </c>
      <c r="C16" s="371">
        <v>26838492.813075565</v>
      </c>
      <c r="D16" s="371">
        <v>13012174.846591236</v>
      </c>
      <c r="E16" s="371">
        <f t="shared" si="3"/>
        <v>13826317.966484329</v>
      </c>
      <c r="F16" s="365">
        <v>126370130.04100002</v>
      </c>
      <c r="G16" s="366">
        <f t="shared" si="4"/>
        <v>3.1919238313258262E-2</v>
      </c>
      <c r="H16" s="367">
        <v>1</v>
      </c>
      <c r="I16" s="188">
        <f t="shared" si="5"/>
        <v>4.8464026806303614E-2</v>
      </c>
      <c r="J16" s="372">
        <f t="shared" si="6"/>
        <v>670079.04456017376</v>
      </c>
      <c r="K16" s="371">
        <f>'JAP-24 Pages 7-12'!I21+'JAP-24 Pages 7-12'!I43</f>
        <v>14496313.949999999</v>
      </c>
      <c r="L16" s="371">
        <f>'JAP-24 Pages 7-12'!I199</f>
        <v>14081369.971293638</v>
      </c>
      <c r="M16" s="372">
        <f t="shared" ref="M16:M23" si="8">SUM(K16:L16)</f>
        <v>28577683.921293639</v>
      </c>
      <c r="N16" s="371">
        <f t="shared" si="0"/>
        <v>669995.98351567052</v>
      </c>
      <c r="O16" s="367">
        <f t="shared" si="7"/>
        <v>2.3444726499212448E-2</v>
      </c>
      <c r="P16" s="367">
        <f t="shared" si="1"/>
        <v>4.8458019346855292E-2</v>
      </c>
      <c r="Q16" s="364">
        <f t="shared" si="2"/>
        <v>-83.061044503236189</v>
      </c>
      <c r="R16" s="369"/>
      <c r="S16" s="372"/>
    </row>
    <row r="17" spans="2:19" x14ac:dyDescent="0.25">
      <c r="B17" s="373" t="s">
        <v>187</v>
      </c>
      <c r="C17" s="371">
        <v>5763700.7880001646</v>
      </c>
      <c r="D17" s="371">
        <v>3588371.4953389997</v>
      </c>
      <c r="E17" s="371">
        <f t="shared" si="3"/>
        <v>2175329.2926611649</v>
      </c>
      <c r="F17" s="365">
        <v>9978633.8300000001</v>
      </c>
      <c r="G17" s="366">
        <f t="shared" si="4"/>
        <v>5.0219338417195909E-3</v>
      </c>
      <c r="H17" s="367">
        <v>0.5</v>
      </c>
      <c r="I17" s="188">
        <f t="shared" si="5"/>
        <v>2.4232013403151807E-2</v>
      </c>
      <c r="J17" s="372">
        <f>E17*I17</f>
        <v>52712.608576034087</v>
      </c>
      <c r="K17" s="371">
        <f>'JAP-24 Pages 7-12'!I116</f>
        <v>2228071.13</v>
      </c>
      <c r="L17" s="371">
        <f>'JAP-24 Pages 7-12'!I200</f>
        <v>3862142.6665599998</v>
      </c>
      <c r="M17" s="372">
        <f>SUM(K17:L17)</f>
        <v>6090213.7965599997</v>
      </c>
      <c r="N17" s="371">
        <f t="shared" si="0"/>
        <v>52741.837338835001</v>
      </c>
      <c r="O17" s="367">
        <f t="shared" si="7"/>
        <v>8.6600961970539903E-3</v>
      </c>
      <c r="P17" s="367">
        <f t="shared" si="1"/>
        <v>2.4245449880516187E-2</v>
      </c>
      <c r="Q17" s="364">
        <f t="shared" si="2"/>
        <v>29.22876280091441</v>
      </c>
      <c r="R17" s="369"/>
      <c r="S17" s="372"/>
    </row>
    <row r="18" spans="2:19" x14ac:dyDescent="0.25">
      <c r="B18" s="373" t="s">
        <v>161</v>
      </c>
      <c r="C18" s="371">
        <v>13178437.652036682</v>
      </c>
      <c r="D18" s="371">
        <v>8389563.9427518807</v>
      </c>
      <c r="E18" s="371">
        <f t="shared" si="3"/>
        <v>4788873.709284801</v>
      </c>
      <c r="F18" s="365">
        <v>122253420.23800002</v>
      </c>
      <c r="G18" s="366">
        <f t="shared" si="4"/>
        <v>1.1055524800550078E-2</v>
      </c>
      <c r="H18" s="367">
        <v>1.5</v>
      </c>
      <c r="I18" s="188">
        <f t="shared" si="5"/>
        <v>7.2696040209455415E-2</v>
      </c>
      <c r="J18" s="372">
        <f>E18*I18</f>
        <v>348132.15572817181</v>
      </c>
      <c r="K18" s="371">
        <f>'JAP-24 Pages 7-12'!I142+'JAP-24 Pages 7-12'!I165</f>
        <v>5137033.1099999994</v>
      </c>
      <c r="L18" s="371">
        <f>'JAP-24 Pages 7-12'!I201</f>
        <v>9046182.8315092791</v>
      </c>
      <c r="M18" s="372">
        <f t="shared" si="8"/>
        <v>14183215.941509278</v>
      </c>
      <c r="N18" s="371">
        <f t="shared" si="0"/>
        <v>348159.40071519837</v>
      </c>
      <c r="O18" s="367">
        <f t="shared" si="7"/>
        <v>2.4547281952907337E-2</v>
      </c>
      <c r="P18" s="367">
        <f t="shared" si="1"/>
        <v>7.2701729435916684E-2</v>
      </c>
      <c r="Q18" s="364">
        <f t="shared" si="2"/>
        <v>27.244987026555464</v>
      </c>
      <c r="R18" s="369"/>
      <c r="S18" s="372"/>
    </row>
    <row r="19" spans="2:19" x14ac:dyDescent="0.25">
      <c r="B19" s="363" t="s">
        <v>89</v>
      </c>
      <c r="C19" s="371">
        <v>6041548.46</v>
      </c>
      <c r="D19" s="371">
        <v>0</v>
      </c>
      <c r="E19" s="372">
        <f t="shared" si="3"/>
        <v>6041548.46</v>
      </c>
      <c r="F19" s="365">
        <v>0</v>
      </c>
      <c r="G19" s="366">
        <f t="shared" si="4"/>
        <v>1.3947431669320493E-2</v>
      </c>
      <c r="H19" s="367">
        <v>0</v>
      </c>
      <c r="I19" s="188">
        <f t="shared" si="5"/>
        <v>0</v>
      </c>
      <c r="J19" s="372">
        <f>E19*I19</f>
        <v>0</v>
      </c>
      <c r="K19" s="371">
        <f>E19+'JAP-24 Page 13'!K31</f>
        <v>6041548.46</v>
      </c>
      <c r="L19" s="371">
        <f>D19</f>
        <v>0</v>
      </c>
      <c r="M19" s="372">
        <f>SUM(K19:L19)</f>
        <v>6041548.46</v>
      </c>
      <c r="N19" s="374">
        <f t="shared" si="0"/>
        <v>0</v>
      </c>
      <c r="O19" s="367">
        <f t="shared" si="7"/>
        <v>0</v>
      </c>
      <c r="P19" s="367">
        <f t="shared" si="1"/>
        <v>0</v>
      </c>
      <c r="Q19" s="364">
        <f t="shared" si="2"/>
        <v>0</v>
      </c>
      <c r="R19" s="369"/>
      <c r="S19" s="372"/>
    </row>
    <row r="20" spans="2:19" s="33" customFormat="1" x14ac:dyDescent="0.25">
      <c r="B20" s="373" t="s">
        <v>144</v>
      </c>
      <c r="C20" s="371">
        <v>1369461.9637169461</v>
      </c>
      <c r="D20" s="371">
        <v>0</v>
      </c>
      <c r="E20" s="371">
        <f t="shared" si="3"/>
        <v>1369461.9637169461</v>
      </c>
      <c r="F20" s="365">
        <v>37008902.460000001</v>
      </c>
      <c r="G20" s="366"/>
      <c r="H20" s="367"/>
      <c r="I20" s="188"/>
      <c r="J20" s="372">
        <f t="shared" si="6"/>
        <v>0</v>
      </c>
      <c r="K20" s="371">
        <v>1455354.7418779605</v>
      </c>
      <c r="L20" s="371">
        <f>D20</f>
        <v>0</v>
      </c>
      <c r="M20" s="371">
        <f t="shared" si="8"/>
        <v>1455354.7418779605</v>
      </c>
      <c r="N20" s="371">
        <f t="shared" si="0"/>
        <v>85892.77816101443</v>
      </c>
      <c r="O20" s="375">
        <f t="shared" si="7"/>
        <v>5.9018448004079141E-2</v>
      </c>
      <c r="P20" s="367">
        <f t="shared" si="1"/>
        <v>6.2720090398047448E-2</v>
      </c>
      <c r="Q20" s="364"/>
      <c r="R20" s="369"/>
      <c r="S20" s="372"/>
    </row>
    <row r="21" spans="2:19" x14ac:dyDescent="0.25">
      <c r="B21" s="216" t="s">
        <v>175</v>
      </c>
      <c r="C21" s="376">
        <f>SUM(C13:C20)</f>
        <v>808774756.95716429</v>
      </c>
      <c r="D21" s="376">
        <f>SUM(D13:D20)</f>
        <v>374239633.87109828</v>
      </c>
      <c r="E21" s="376">
        <f>SUM(E13:E20)</f>
        <v>434535123.08606601</v>
      </c>
      <c r="F21" s="299">
        <f>SUM(F13:F20)</f>
        <v>1142550752.0300002</v>
      </c>
      <c r="G21" s="377">
        <f>SUM(G13:G20)</f>
        <v>1.0000000000000002</v>
      </c>
      <c r="H21" s="188"/>
      <c r="I21" s="188"/>
      <c r="J21" s="376">
        <f>SUM(J13:J20)</f>
        <v>22906678.221838988</v>
      </c>
      <c r="K21" s="376">
        <f>SUM(K13:K20)</f>
        <v>457527838.99383742</v>
      </c>
      <c r="L21" s="378">
        <f>SUM(L13:L20)</f>
        <v>373742439.29880267</v>
      </c>
      <c r="M21" s="376">
        <f>SUM(M13:M20)</f>
        <v>831270278.29264021</v>
      </c>
      <c r="N21" s="378">
        <f>SUM(N13:N20)</f>
        <v>22992715.907771371</v>
      </c>
      <c r="O21" s="367">
        <f>N21/M21</f>
        <v>2.7659735357068813E-2</v>
      </c>
      <c r="P21" s="379">
        <f t="shared" si="1"/>
        <v>5.2913365770014702E-2</v>
      </c>
      <c r="Q21" s="378">
        <f>SUM(Q13:Q20)</f>
        <v>144.90777137059922</v>
      </c>
      <c r="R21" s="369"/>
      <c r="S21" s="367"/>
    </row>
    <row r="22" spans="2:19" x14ac:dyDescent="0.25">
      <c r="B22" s="363"/>
      <c r="C22" s="372"/>
      <c r="D22" s="372"/>
      <c r="E22" s="372"/>
      <c r="F22" s="365"/>
      <c r="G22" s="366"/>
      <c r="H22" s="188"/>
      <c r="I22" s="188"/>
      <c r="J22" s="372"/>
      <c r="K22" s="372"/>
      <c r="L22" s="371"/>
      <c r="M22" s="372"/>
      <c r="N22" s="371"/>
      <c r="O22" s="367"/>
      <c r="P22" s="367"/>
      <c r="Q22" s="364"/>
    </row>
    <row r="23" spans="2:19" x14ac:dyDescent="0.25">
      <c r="B23" s="363" t="s">
        <v>90</v>
      </c>
      <c r="C23" s="372">
        <v>7009594.2300000004</v>
      </c>
      <c r="D23" s="372"/>
      <c r="E23" s="372">
        <f>C23</f>
        <v>7009594.2300000004</v>
      </c>
      <c r="F23" s="365"/>
      <c r="G23" s="366"/>
      <c r="H23" s="49"/>
      <c r="I23" s="49"/>
      <c r="J23" s="372"/>
      <c r="K23" s="372">
        <f>E23</f>
        <v>7009594.2300000004</v>
      </c>
      <c r="L23" s="371"/>
      <c r="M23" s="372">
        <f t="shared" si="8"/>
        <v>7009594.2300000004</v>
      </c>
      <c r="N23" s="371"/>
      <c r="O23" s="375">
        <f>N23/M23</f>
        <v>0</v>
      </c>
      <c r="P23" s="332"/>
      <c r="Q23" s="33"/>
    </row>
    <row r="24" spans="2:19" x14ac:dyDescent="0.25">
      <c r="B24" s="363" t="s">
        <v>23</v>
      </c>
      <c r="C24" s="376">
        <f>SUM(C21:C23)</f>
        <v>815784351.18716431</v>
      </c>
      <c r="D24" s="376">
        <f>SUM(D21:D23)</f>
        <v>374239633.87109828</v>
      </c>
      <c r="E24" s="376">
        <f>SUM(E21:E23)</f>
        <v>441544717.31606603</v>
      </c>
      <c r="F24" s="299">
        <f>SUM(F21:F23)</f>
        <v>1142550752.0300002</v>
      </c>
      <c r="G24" s="380"/>
      <c r="H24" s="49"/>
      <c r="I24" s="188"/>
      <c r="J24" s="376">
        <f>SUM(J21:J23)</f>
        <v>22906678.221838988</v>
      </c>
      <c r="K24" s="376">
        <f>SUM(K21:K23)</f>
        <v>464537433.22383744</v>
      </c>
      <c r="L24" s="378">
        <f>SUM(L21:L23)</f>
        <v>373742439.29880267</v>
      </c>
      <c r="M24" s="376">
        <f>SUM(M21:M23)</f>
        <v>838279872.52264023</v>
      </c>
      <c r="N24" s="378">
        <f>SUM(N21:N23)</f>
        <v>22992715.907771371</v>
      </c>
      <c r="O24" s="367">
        <f>N24/C24</f>
        <v>2.818479647753893E-2</v>
      </c>
      <c r="P24" s="379">
        <f>N24/E24</f>
        <v>5.2073357479017812E-2</v>
      </c>
      <c r="Q24" s="378">
        <f>SUM(Q21:Q23)</f>
        <v>144.90777137059922</v>
      </c>
    </row>
    <row r="25" spans="2:19" x14ac:dyDescent="0.25">
      <c r="H25" s="280"/>
      <c r="J25" s="33"/>
      <c r="K25" s="364"/>
      <c r="L25" s="33"/>
      <c r="N25" s="368"/>
      <c r="Q25" s="381"/>
    </row>
    <row r="26" spans="2:19" x14ac:dyDescent="0.25">
      <c r="B26" s="363" t="s">
        <v>93</v>
      </c>
      <c r="J26" s="32">
        <v>22992571</v>
      </c>
      <c r="K26" s="382"/>
      <c r="L26" s="383"/>
      <c r="M26" s="368"/>
      <c r="N26" s="384"/>
      <c r="O26" s="280"/>
      <c r="P26" s="280"/>
      <c r="Q26" s="368"/>
    </row>
    <row r="27" spans="2:19" x14ac:dyDescent="0.25">
      <c r="B27" s="363" t="s">
        <v>167</v>
      </c>
      <c r="J27" s="383">
        <f>$J$26/(SUM(E$13:E$19))</f>
        <v>5.3080317909839282E-2</v>
      </c>
      <c r="K27" s="383"/>
      <c r="L27" s="364"/>
      <c r="M27" s="385"/>
      <c r="N27" s="127"/>
      <c r="O27" s="280"/>
      <c r="P27" s="280"/>
    </row>
    <row r="28" spans="2:19" x14ac:dyDescent="0.25">
      <c r="B28" s="363" t="s">
        <v>168</v>
      </c>
      <c r="E28" s="368"/>
      <c r="J28" s="383">
        <f>ROUND($J$26/(SUM(C$13:C$19)),4)</f>
        <v>2.8500000000000001E-2</v>
      </c>
      <c r="L28" s="364"/>
      <c r="N28" s="384"/>
      <c r="O28" s="280"/>
      <c r="P28" s="280"/>
      <c r="Q28" s="368"/>
    </row>
    <row r="29" spans="2:19" s="33" customFormat="1" x14ac:dyDescent="0.25">
      <c r="B29" s="373" t="s">
        <v>174</v>
      </c>
      <c r="E29" s="364"/>
      <c r="J29" s="383">
        <f>(J26-N20)/SUM(E13:E19)</f>
        <v>5.2882027080555949E-2</v>
      </c>
      <c r="L29" s="364"/>
      <c r="N29" s="32"/>
      <c r="O29" s="296"/>
      <c r="P29" s="296"/>
      <c r="Q29" s="364"/>
    </row>
    <row r="30" spans="2:19" s="33" customFormat="1" x14ac:dyDescent="0.25">
      <c r="B30" s="373" t="s">
        <v>169</v>
      </c>
      <c r="E30" s="364"/>
      <c r="J30" s="386">
        <f>1/SUMPRODUCT($G$13:$G$19,$H$13:$H$19)</f>
        <v>0.91645554230509485</v>
      </c>
      <c r="L30" s="364"/>
      <c r="M30" s="32"/>
      <c r="N30" s="296"/>
      <c r="O30" s="296"/>
      <c r="P30" s="296"/>
      <c r="Q30" s="364"/>
    </row>
    <row r="31" spans="2:19" s="33" customFormat="1" x14ac:dyDescent="0.25">
      <c r="B31" s="373"/>
      <c r="E31" s="364"/>
      <c r="J31" s="364"/>
      <c r="L31" s="364"/>
      <c r="M31" s="32"/>
      <c r="N31" s="32"/>
      <c r="O31" s="296"/>
      <c r="P31" s="296"/>
      <c r="Q31" s="364"/>
    </row>
    <row r="32" spans="2:19" s="33" customFormat="1" x14ac:dyDescent="0.25">
      <c r="B32" s="373" t="s">
        <v>172</v>
      </c>
      <c r="E32" s="364"/>
      <c r="J32" s="364"/>
      <c r="L32" s="364"/>
      <c r="M32" s="32"/>
      <c r="N32" s="32">
        <f>Q24</f>
        <v>144.90777137059922</v>
      </c>
      <c r="O32" s="296"/>
      <c r="P32" s="296"/>
      <c r="Q32" s="364"/>
    </row>
    <row r="33" spans="2:16" s="33" customFormat="1" x14ac:dyDescent="0.25">
      <c r="E33" s="364"/>
      <c r="J33" s="364"/>
      <c r="L33" s="364"/>
      <c r="M33" s="32"/>
      <c r="N33" s="296"/>
      <c r="O33" s="296"/>
      <c r="P33" s="296"/>
    </row>
    <row r="34" spans="2:16" s="33" customFormat="1" x14ac:dyDescent="0.25">
      <c r="B34" s="50" t="s">
        <v>214</v>
      </c>
      <c r="E34" s="364"/>
      <c r="M34" s="32"/>
      <c r="N34" s="296"/>
      <c r="O34" s="296"/>
      <c r="P34" s="296"/>
    </row>
    <row r="35" spans="2:16" s="33" customFormat="1" x14ac:dyDescent="0.25">
      <c r="B35" s="50" t="s">
        <v>159</v>
      </c>
    </row>
    <row r="36" spans="2:16" s="33" customFormat="1" x14ac:dyDescent="0.25">
      <c r="B36" s="50" t="s">
        <v>199</v>
      </c>
    </row>
    <row r="37" spans="2:16" s="33" customFormat="1" x14ac:dyDescent="0.25">
      <c r="B37" s="50" t="s">
        <v>213</v>
      </c>
      <c r="J37" s="364"/>
    </row>
    <row r="38" spans="2:16" s="33" customFormat="1" x14ac:dyDescent="0.25"/>
    <row r="39" spans="2:16" s="33" customFormat="1" x14ac:dyDescent="0.25">
      <c r="J39" s="364"/>
      <c r="N39" s="364"/>
    </row>
    <row r="40" spans="2:16" s="33" customFormat="1" x14ac:dyDescent="0.25">
      <c r="C40" s="364"/>
      <c r="J40" s="385"/>
      <c r="K40" s="32"/>
      <c r="L40" s="32"/>
      <c r="M40" s="32"/>
      <c r="N40" s="32"/>
    </row>
    <row r="41" spans="2:16" s="33" customFormat="1" x14ac:dyDescent="0.25"/>
    <row r="42" spans="2:16" s="33" customFormat="1" x14ac:dyDescent="0.25"/>
    <row r="43" spans="2:16" s="33" customFormat="1" x14ac:dyDescent="0.25"/>
    <row r="44" spans="2:16" s="33" customFormat="1" x14ac:dyDescent="0.25">
      <c r="G44" s="387"/>
      <c r="H44" s="387"/>
      <c r="J44" s="383"/>
    </row>
    <row r="45" spans="2:16" s="33" customFormat="1" x14ac:dyDescent="0.25">
      <c r="G45" s="387"/>
      <c r="H45" s="387"/>
    </row>
    <row r="46" spans="2:16" s="33" customFormat="1" x14ac:dyDescent="0.25">
      <c r="B46" s="33" t="s">
        <v>119</v>
      </c>
      <c r="G46" s="387"/>
      <c r="H46" s="387"/>
    </row>
    <row r="47" spans="2:16" s="33" customFormat="1" x14ac:dyDescent="0.25">
      <c r="G47" s="387"/>
      <c r="H47" s="387"/>
    </row>
    <row r="48" spans="2:16" s="33" customFormat="1" x14ac:dyDescent="0.25">
      <c r="G48" s="387"/>
      <c r="H48" s="387"/>
    </row>
    <row r="49" spans="7:8" s="33" customFormat="1" x14ac:dyDescent="0.25">
      <c r="G49" s="387"/>
      <c r="H49" s="387"/>
    </row>
    <row r="50" spans="7:8" s="33" customFormat="1" x14ac:dyDescent="0.25">
      <c r="G50" s="387"/>
      <c r="H50" s="387"/>
    </row>
    <row r="51" spans="7:8" s="33" customFormat="1" x14ac:dyDescent="0.25">
      <c r="G51" s="387"/>
    </row>
    <row r="52" spans="7:8" s="33" customFormat="1" x14ac:dyDescent="0.25"/>
  </sheetData>
  <printOptions horizontalCentered="1"/>
  <pageMargins left="0.25" right="0.25" top="0.75" bottom="0.75" header="0.3" footer="0.3"/>
  <pageSetup scale="47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56"/>
  <sheetViews>
    <sheetView workbookViewId="0">
      <selection activeCell="G43" sqref="G43"/>
    </sheetView>
  </sheetViews>
  <sheetFormatPr defaultColWidth="9.109375" defaultRowHeight="13.2" x14ac:dyDescent="0.25"/>
  <cols>
    <col min="1" max="1" width="2.5546875" style="216" customWidth="1"/>
    <col min="2" max="2" width="32.33203125" style="1" customWidth="1"/>
    <col min="3" max="3" width="9.88671875" style="1" bestFit="1" customWidth="1"/>
    <col min="4" max="4" width="12.109375" style="33" bestFit="1" customWidth="1"/>
    <col min="5" max="5" width="10.5546875" style="33" customWidth="1"/>
    <col min="6" max="6" width="15.5546875" style="1" customWidth="1"/>
    <col min="7" max="7" width="3.33203125" style="275" customWidth="1"/>
    <col min="8" max="8" width="10.44140625" style="216" bestFit="1" customWidth="1"/>
    <col min="9" max="9" width="14.88671875" style="276" customWidth="1"/>
    <col min="10" max="10" width="3" style="277" customWidth="1"/>
    <col min="11" max="11" width="13.6640625" style="216" bestFit="1" customWidth="1"/>
    <col min="12" max="12" width="11.109375" style="278" bestFit="1" customWidth="1"/>
    <col min="13" max="13" width="2.44140625" style="278" customWidth="1"/>
    <col min="14" max="14" width="1.5546875" style="278" customWidth="1"/>
    <col min="15" max="15" width="14" style="216" customWidth="1"/>
    <col min="16" max="16" width="3" style="216" customWidth="1"/>
    <col min="17" max="17" width="10.109375" style="281" bestFit="1" customWidth="1"/>
    <col min="18" max="16384" width="9.109375" style="216"/>
  </cols>
  <sheetData>
    <row r="1" spans="2:26" x14ac:dyDescent="0.25">
      <c r="B1" s="2"/>
      <c r="C1" s="2"/>
      <c r="D1" s="266"/>
      <c r="E1" s="266"/>
      <c r="F1" s="2"/>
      <c r="G1" s="267"/>
      <c r="H1" s="268"/>
      <c r="I1" s="269"/>
      <c r="J1" s="270"/>
      <c r="K1" s="268"/>
      <c r="L1" s="271"/>
      <c r="M1" s="271"/>
      <c r="N1" s="271"/>
      <c r="O1" s="268"/>
      <c r="P1" s="268"/>
      <c r="Q1" s="272"/>
    </row>
    <row r="2" spans="2:26" x14ac:dyDescent="0.25">
      <c r="B2" s="2" t="s">
        <v>70</v>
      </c>
      <c r="C2" s="2"/>
      <c r="D2" s="34"/>
      <c r="E2" s="34"/>
      <c r="F2" s="2"/>
      <c r="G2" s="2"/>
      <c r="H2" s="2"/>
      <c r="I2" s="2"/>
      <c r="J2" s="2"/>
      <c r="K2" s="2"/>
      <c r="L2" s="2"/>
      <c r="M2" s="271"/>
      <c r="N2" s="271"/>
      <c r="O2" s="268"/>
      <c r="P2" s="268"/>
      <c r="Q2" s="272"/>
    </row>
    <row r="3" spans="2:26" x14ac:dyDescent="0.25">
      <c r="B3" s="2" t="str">
        <f>'JAP-24 - Page 1'!$B$2</f>
        <v>2017 Gas General Rate Case</v>
      </c>
      <c r="C3" s="2"/>
      <c r="D3" s="34"/>
      <c r="E3" s="34"/>
      <c r="F3" s="2"/>
      <c r="G3" s="2"/>
      <c r="H3" s="2"/>
      <c r="I3" s="2"/>
      <c r="J3" s="2"/>
      <c r="K3" s="2"/>
      <c r="L3" s="2"/>
      <c r="M3" s="271"/>
      <c r="N3" s="271"/>
      <c r="O3" s="268"/>
      <c r="P3" s="268"/>
      <c r="Q3" s="272"/>
    </row>
    <row r="4" spans="2:26" x14ac:dyDescent="0.25">
      <c r="B4" s="2" t="str">
        <f>'JAP-24 - Page 1'!$B$3</f>
        <v>Test Year Ended September 2016</v>
      </c>
      <c r="C4" s="2"/>
      <c r="D4" s="34"/>
      <c r="E4" s="34"/>
      <c r="F4" s="2"/>
      <c r="G4" s="2"/>
      <c r="H4" s="2"/>
      <c r="I4" s="2"/>
      <c r="J4" s="2"/>
      <c r="K4" s="2"/>
      <c r="L4" s="2"/>
      <c r="M4" s="271"/>
      <c r="N4" s="271"/>
      <c r="O4" s="268"/>
      <c r="P4" s="268"/>
      <c r="Q4" s="272"/>
    </row>
    <row r="5" spans="2:26" x14ac:dyDescent="0.25">
      <c r="B5" s="17" t="s">
        <v>188</v>
      </c>
      <c r="C5" s="2"/>
      <c r="D5" s="34"/>
      <c r="E5" s="34"/>
      <c r="F5" s="2"/>
      <c r="G5" s="2"/>
      <c r="H5" s="2"/>
      <c r="I5" s="2"/>
      <c r="J5" s="2"/>
      <c r="K5" s="2"/>
      <c r="L5" s="2"/>
      <c r="M5" s="271"/>
      <c r="N5" s="273"/>
      <c r="O5" s="274"/>
      <c r="P5" s="268"/>
      <c r="Q5" s="272"/>
    </row>
    <row r="6" spans="2:26" x14ac:dyDescent="0.25">
      <c r="N6" s="279"/>
      <c r="O6" s="280"/>
    </row>
    <row r="7" spans="2:26" ht="15" customHeight="1" x14ac:dyDescent="0.25">
      <c r="B7" s="282"/>
      <c r="C7" s="283"/>
      <c r="D7" s="284" t="s">
        <v>0</v>
      </c>
      <c r="E7" s="285" t="s">
        <v>22</v>
      </c>
      <c r="F7" s="286"/>
      <c r="G7" s="287"/>
      <c r="H7" s="97" t="s">
        <v>1</v>
      </c>
      <c r="I7" s="286"/>
      <c r="J7" s="288"/>
      <c r="K7" s="286" t="s">
        <v>2</v>
      </c>
      <c r="L7" s="289"/>
      <c r="M7" s="290"/>
      <c r="N7" s="290"/>
      <c r="O7" s="36" t="s">
        <v>117</v>
      </c>
      <c r="Q7" s="101" t="s">
        <v>170</v>
      </c>
    </row>
    <row r="8" spans="2:26" x14ac:dyDescent="0.25">
      <c r="B8" s="291" t="s">
        <v>3</v>
      </c>
      <c r="C8" s="292" t="s">
        <v>75</v>
      </c>
      <c r="D8" s="293" t="s">
        <v>4</v>
      </c>
      <c r="E8" s="293" t="s">
        <v>5</v>
      </c>
      <c r="F8" s="294" t="s">
        <v>27</v>
      </c>
      <c r="G8" s="292"/>
      <c r="H8" s="292" t="s">
        <v>5</v>
      </c>
      <c r="I8" s="294" t="s">
        <v>27</v>
      </c>
      <c r="J8" s="294"/>
      <c r="K8" s="294" t="s">
        <v>6</v>
      </c>
      <c r="L8" s="295" t="s">
        <v>7</v>
      </c>
      <c r="M8" s="109"/>
      <c r="N8" s="109"/>
      <c r="O8" s="110" t="s">
        <v>65</v>
      </c>
      <c r="Q8" s="111" t="s">
        <v>92</v>
      </c>
    </row>
    <row r="9" spans="2:26" x14ac:dyDescent="0.25">
      <c r="B9" s="280"/>
      <c r="C9" s="280"/>
      <c r="D9" s="296"/>
      <c r="E9" s="296"/>
      <c r="F9" s="280"/>
      <c r="H9" s="280"/>
      <c r="I9" s="277"/>
      <c r="K9" s="280"/>
      <c r="L9" s="279"/>
      <c r="M9" s="279"/>
      <c r="N9" s="279"/>
      <c r="O9" s="280"/>
    </row>
    <row r="10" spans="2:26" x14ac:dyDescent="0.25">
      <c r="B10" s="3" t="s">
        <v>71</v>
      </c>
      <c r="C10" s="12"/>
      <c r="D10" s="297"/>
      <c r="E10" s="297"/>
      <c r="F10" s="298"/>
      <c r="G10" s="299"/>
      <c r="H10" s="297"/>
      <c r="I10" s="300"/>
      <c r="J10" s="300"/>
      <c r="K10" s="300"/>
      <c r="L10" s="301"/>
      <c r="M10" s="279"/>
      <c r="N10" s="279"/>
      <c r="O10" s="280"/>
    </row>
    <row r="11" spans="2:26" x14ac:dyDescent="0.25">
      <c r="B11" s="142"/>
      <c r="C11" s="280"/>
      <c r="D11" s="296"/>
      <c r="E11" s="296"/>
      <c r="F11" s="280"/>
      <c r="G11" s="302"/>
      <c r="H11" s="296"/>
      <c r="I11" s="303"/>
      <c r="J11" s="303"/>
      <c r="K11" s="303"/>
      <c r="L11" s="304"/>
      <c r="M11" s="279"/>
      <c r="N11" s="279"/>
      <c r="O11" s="305" t="s">
        <v>95</v>
      </c>
      <c r="P11" s="280"/>
    </row>
    <row r="12" spans="2:26" x14ac:dyDescent="0.25">
      <c r="B12" s="306" t="s">
        <v>142</v>
      </c>
      <c r="C12" s="307" t="s">
        <v>67</v>
      </c>
      <c r="D12" s="308">
        <v>9046017.5601524524</v>
      </c>
      <c r="E12" s="235">
        <v>10.34</v>
      </c>
      <c r="F12" s="303">
        <f>SUM(+D12*E12)</f>
        <v>93535821.571976364</v>
      </c>
      <c r="H12" s="235">
        <v>11</v>
      </c>
      <c r="I12" s="303">
        <f>SUM(+D12*H12)</f>
        <v>99506193.161676973</v>
      </c>
      <c r="J12" s="303"/>
      <c r="K12" s="303">
        <f>I12-F12</f>
        <v>5970371.5897006094</v>
      </c>
      <c r="L12" s="309">
        <f>ROUND(K12/F12,5)</f>
        <v>6.3829999999999998E-2</v>
      </c>
      <c r="M12" s="279"/>
      <c r="N12" s="279"/>
      <c r="O12" s="310">
        <f>'JAP-24 - Page 1'!J13*((D13+D25)/(D13+D25+D39))</f>
        <v>14751404.688973609</v>
      </c>
      <c r="P12" s="280"/>
      <c r="Q12" s="127">
        <f>H12/E12-1</f>
        <v>6.3829787234042534E-2</v>
      </c>
    </row>
    <row r="13" spans="2:26" x14ac:dyDescent="0.25">
      <c r="B13" s="142" t="s">
        <v>82</v>
      </c>
      <c r="C13" s="280" t="s">
        <v>10</v>
      </c>
      <c r="D13" s="275">
        <v>577777244.08299994</v>
      </c>
      <c r="E13" s="311">
        <v>0.36492000000000002</v>
      </c>
      <c r="F13" s="303">
        <f>ROUND(D13*E13,2)</f>
        <v>210842471.91</v>
      </c>
      <c r="H13" s="311">
        <f>ROUND(E13*(1+$O$16),5)</f>
        <v>0.38012000000000001</v>
      </c>
      <c r="I13" s="303">
        <f>ROUND(D13*H13,2)</f>
        <v>219624686.02000001</v>
      </c>
      <c r="J13" s="303"/>
      <c r="K13" s="303">
        <f>I13-F13</f>
        <v>8782214.1100000143</v>
      </c>
      <c r="L13" s="309">
        <f>ROUND(K13/F13,5)</f>
        <v>4.165E-2</v>
      </c>
      <c r="M13" s="280"/>
      <c r="N13" s="280"/>
      <c r="O13" s="312" t="s">
        <v>118</v>
      </c>
      <c r="P13" s="280"/>
      <c r="Q13" s="127">
        <f>H13/E13-1</f>
        <v>4.1652965033431855E-2</v>
      </c>
    </row>
    <row r="14" spans="2:26" x14ac:dyDescent="0.25">
      <c r="B14" s="4"/>
      <c r="C14" s="313"/>
      <c r="D14" s="308"/>
      <c r="E14" s="296"/>
      <c r="F14" s="300">
        <f>SUM(F12:F13)</f>
        <v>304378293.48197639</v>
      </c>
      <c r="H14" s="296"/>
      <c r="I14" s="300">
        <f>SUM(I12:I13)</f>
        <v>319130879.18167698</v>
      </c>
      <c r="J14" s="303"/>
      <c r="K14" s="300">
        <f>SUM(K12:K13)</f>
        <v>14752585.699700624</v>
      </c>
      <c r="L14" s="314">
        <f>ROUND(K14/F14,5)</f>
        <v>4.8469999999999999E-2</v>
      </c>
      <c r="M14" s="280"/>
      <c r="N14" s="280"/>
      <c r="O14" s="315">
        <f>(K14+K26)-O12</f>
        <v>1193.3807270135731</v>
      </c>
      <c r="P14" s="280"/>
      <c r="Q14" s="316"/>
    </row>
    <row r="15" spans="2:26" x14ac:dyDescent="0.25">
      <c r="B15" s="4"/>
      <c r="C15" s="13"/>
      <c r="D15" s="296"/>
      <c r="E15" s="311"/>
      <c r="F15" s="8"/>
      <c r="H15" s="296"/>
      <c r="I15" s="303"/>
      <c r="J15" s="303"/>
      <c r="K15" s="303"/>
      <c r="L15" s="304"/>
      <c r="M15" s="127"/>
      <c r="N15" s="127"/>
      <c r="O15" s="317"/>
      <c r="Q15" s="318"/>
    </row>
    <row r="16" spans="2:26" x14ac:dyDescent="0.25">
      <c r="B16" s="142" t="s">
        <v>145</v>
      </c>
      <c r="C16" s="280" t="s">
        <v>10</v>
      </c>
      <c r="D16" s="308">
        <f>D13</f>
        <v>577777244.08299994</v>
      </c>
      <c r="E16" s="319">
        <v>0.41789999999999999</v>
      </c>
      <c r="F16" s="300">
        <f>E16*D16</f>
        <v>241453110.30228567</v>
      </c>
      <c r="G16" s="280"/>
      <c r="H16" s="311">
        <v>0.40915999999999997</v>
      </c>
      <c r="I16" s="300">
        <f>H16*D16</f>
        <v>236403337.18900025</v>
      </c>
      <c r="J16" s="303"/>
      <c r="K16" s="300">
        <f>I16-F16</f>
        <v>-5049773.1132854223</v>
      </c>
      <c r="L16" s="314">
        <f>ROUND(K16/F16,5)</f>
        <v>-2.0910000000000002E-2</v>
      </c>
      <c r="M16" s="127"/>
      <c r="N16" s="127"/>
      <c r="O16" s="173">
        <v>4.1640000000000003E-2</v>
      </c>
      <c r="P16" s="320"/>
      <c r="Q16" s="321"/>
      <c r="R16" s="280"/>
      <c r="Z16" s="280"/>
    </row>
    <row r="17" spans="1:26" ht="14.25" customHeight="1" x14ac:dyDescent="0.25">
      <c r="B17" s="142"/>
      <c r="C17" s="280"/>
      <c r="D17" s="296"/>
      <c r="E17" s="296"/>
      <c r="F17" s="303"/>
      <c r="H17" s="322"/>
      <c r="I17" s="303"/>
      <c r="J17" s="303"/>
      <c r="K17" s="303"/>
      <c r="L17" s="304"/>
      <c r="M17" s="280"/>
      <c r="N17" s="280"/>
      <c r="O17" s="320"/>
      <c r="P17" s="320"/>
      <c r="Q17" s="320"/>
      <c r="R17" s="280"/>
      <c r="Z17" s="280"/>
    </row>
    <row r="18" spans="1:26" x14ac:dyDescent="0.25">
      <c r="B18" s="134" t="s">
        <v>26</v>
      </c>
      <c r="C18" s="313"/>
      <c r="D18" s="275"/>
      <c r="E18" s="296"/>
      <c r="F18" s="300">
        <f>F14+F16</f>
        <v>545831403.78426206</v>
      </c>
      <c r="H18" s="296"/>
      <c r="I18" s="300">
        <f>I14+I16</f>
        <v>555534216.37067723</v>
      </c>
      <c r="J18" s="303"/>
      <c r="K18" s="300">
        <f>K14+K16</f>
        <v>9702812.5864152014</v>
      </c>
      <c r="L18" s="314">
        <f>ROUND(K18/F18,5)</f>
        <v>1.7780000000000001E-2</v>
      </c>
      <c r="M18" s="127"/>
      <c r="N18" s="127"/>
      <c r="O18" s="127"/>
      <c r="P18" s="323"/>
      <c r="Q18" s="101"/>
      <c r="R18" s="280"/>
      <c r="Z18" s="280"/>
    </row>
    <row r="19" spans="1:26" x14ac:dyDescent="0.25">
      <c r="B19" s="134"/>
      <c r="C19" s="313"/>
      <c r="D19" s="308"/>
      <c r="E19" s="296"/>
      <c r="F19" s="324"/>
      <c r="H19" s="296"/>
      <c r="I19" s="303"/>
      <c r="J19" s="303"/>
      <c r="K19" s="325"/>
      <c r="L19" s="309"/>
      <c r="M19" s="127"/>
      <c r="N19" s="279"/>
      <c r="O19" s="280"/>
      <c r="Q19" s="318"/>
      <c r="R19" s="280"/>
      <c r="Z19" s="280"/>
    </row>
    <row r="20" spans="1:26" s="33" customFormat="1" x14ac:dyDescent="0.25">
      <c r="B20" s="326"/>
      <c r="C20" s="327"/>
      <c r="D20" s="327"/>
      <c r="E20" s="327"/>
      <c r="F20" s="328"/>
      <c r="G20" s="329"/>
      <c r="H20" s="327"/>
      <c r="I20" s="328"/>
      <c r="J20" s="328"/>
      <c r="K20" s="328"/>
      <c r="L20" s="330"/>
      <c r="M20" s="296"/>
      <c r="N20" s="296"/>
      <c r="Q20" s="296"/>
      <c r="R20" s="296"/>
      <c r="Z20" s="296"/>
    </row>
    <row r="21" spans="1:26" s="33" customFormat="1" x14ac:dyDescent="0.25">
      <c r="B21" s="296"/>
      <c r="C21" s="296"/>
      <c r="D21" s="296"/>
      <c r="F21" s="331"/>
      <c r="G21" s="308"/>
      <c r="H21" s="296"/>
      <c r="I21" s="324"/>
      <c r="J21" s="324"/>
      <c r="K21" s="324"/>
      <c r="L21" s="332"/>
      <c r="M21" s="296"/>
      <c r="N21" s="296"/>
      <c r="O21" s="296"/>
      <c r="Q21" s="296"/>
      <c r="R21" s="296"/>
      <c r="Z21" s="296"/>
    </row>
    <row r="22" spans="1:26" x14ac:dyDescent="0.25">
      <c r="A22" s="33"/>
      <c r="B22" s="11" t="s">
        <v>73</v>
      </c>
      <c r="C22" s="14"/>
      <c r="D22" s="297"/>
      <c r="E22" s="297"/>
      <c r="F22" s="300"/>
      <c r="G22" s="299"/>
      <c r="H22" s="297"/>
      <c r="I22" s="300"/>
      <c r="J22" s="300"/>
      <c r="K22" s="300"/>
      <c r="L22" s="314"/>
      <c r="M22" s="280"/>
      <c r="N22" s="280"/>
      <c r="O22" s="280"/>
      <c r="Q22" s="318"/>
      <c r="R22" s="280"/>
      <c r="Z22" s="280"/>
    </row>
    <row r="23" spans="1:26" s="33" customFormat="1" x14ac:dyDescent="0.25">
      <c r="B23" s="196"/>
      <c r="C23" s="296"/>
      <c r="D23" s="296"/>
      <c r="E23" s="296"/>
      <c r="F23" s="324"/>
      <c r="G23" s="333"/>
      <c r="H23" s="296"/>
      <c r="I23" s="324"/>
      <c r="J23" s="324"/>
      <c r="K23" s="324"/>
      <c r="L23" s="334"/>
      <c r="M23" s="335"/>
      <c r="N23" s="335"/>
      <c r="O23" s="320"/>
      <c r="P23" s="296"/>
      <c r="Q23" s="336"/>
      <c r="R23" s="296"/>
      <c r="Z23" s="296"/>
    </row>
    <row r="24" spans="1:26" s="33" customFormat="1" ht="13.5" customHeight="1" x14ac:dyDescent="0.25">
      <c r="B24" s="306" t="s">
        <v>142</v>
      </c>
      <c r="C24" s="307" t="s">
        <v>67</v>
      </c>
      <c r="D24" s="308">
        <v>13.000000000000002</v>
      </c>
      <c r="E24" s="235">
        <v>10.34</v>
      </c>
      <c r="F24" s="324">
        <f>SUM(+D24*E24)</f>
        <v>134.42000000000002</v>
      </c>
      <c r="G24" s="308"/>
      <c r="H24" s="235">
        <f>H12</f>
        <v>11</v>
      </c>
      <c r="I24" s="324">
        <f>SUM(+D24*H24)</f>
        <v>143.00000000000003</v>
      </c>
      <c r="J24" s="324"/>
      <c r="K24" s="324">
        <f>I24-F24</f>
        <v>8.5800000000000125</v>
      </c>
      <c r="L24" s="334"/>
      <c r="M24" s="335"/>
      <c r="N24" s="335"/>
      <c r="O24" s="337"/>
      <c r="P24" s="296"/>
      <c r="Q24" s="127">
        <f>H24/E24-1</f>
        <v>6.3829787234042534E-2</v>
      </c>
      <c r="R24" s="296"/>
      <c r="Z24" s="296"/>
    </row>
    <row r="25" spans="1:26" s="33" customFormat="1" ht="13.5" customHeight="1" x14ac:dyDescent="0.25">
      <c r="B25" s="142" t="s">
        <v>82</v>
      </c>
      <c r="C25" s="280" t="s">
        <v>10</v>
      </c>
      <c r="D25" s="308">
        <v>249.405</v>
      </c>
      <c r="E25" s="311">
        <v>0.36492000000000002</v>
      </c>
      <c r="F25" s="324">
        <f>ROUND(D25*E25,2)</f>
        <v>91.01</v>
      </c>
      <c r="G25" s="308"/>
      <c r="H25" s="311">
        <f>H13</f>
        <v>0.38012000000000001</v>
      </c>
      <c r="I25" s="324">
        <f>ROUND(D25*H25,2)</f>
        <v>94.8</v>
      </c>
      <c r="J25" s="324"/>
      <c r="K25" s="324">
        <f>I25-F25</f>
        <v>3.789999999999992</v>
      </c>
      <c r="L25" s="338"/>
      <c r="M25" s="335"/>
      <c r="N25" s="335"/>
      <c r="O25" s="339"/>
      <c r="P25" s="296"/>
      <c r="Q25" s="127">
        <f>H25/E25-1</f>
        <v>4.1652965033431855E-2</v>
      </c>
      <c r="R25" s="296"/>
      <c r="Z25" s="296"/>
    </row>
    <row r="26" spans="1:26" s="33" customFormat="1" ht="13.5" customHeight="1" x14ac:dyDescent="0.25">
      <c r="B26" s="134" t="s">
        <v>184</v>
      </c>
      <c r="C26" s="307"/>
      <c r="D26" s="308"/>
      <c r="E26" s="296"/>
      <c r="F26" s="300">
        <f>SUM(F24:F25)</f>
        <v>225.43</v>
      </c>
      <c r="G26" s="308"/>
      <c r="H26" s="296"/>
      <c r="I26" s="300">
        <f>SUM(I24:I25)</f>
        <v>237.8</v>
      </c>
      <c r="J26" s="324"/>
      <c r="K26" s="300">
        <f>SUM(K24:K25)</f>
        <v>12.370000000000005</v>
      </c>
      <c r="L26" s="314">
        <f>ROUND(K26/F26,5)</f>
        <v>5.4870000000000002E-2</v>
      </c>
      <c r="M26" s="296"/>
      <c r="N26" s="296"/>
      <c r="O26" s="339"/>
      <c r="P26" s="296"/>
      <c r="Q26" s="316"/>
      <c r="R26" s="296"/>
      <c r="Z26" s="296"/>
    </row>
    <row r="27" spans="1:26" s="33" customFormat="1" ht="13.5" customHeight="1" x14ac:dyDescent="0.25">
      <c r="B27" s="5"/>
      <c r="C27" s="6"/>
      <c r="D27" s="296"/>
      <c r="E27" s="296"/>
      <c r="F27" s="9"/>
      <c r="G27" s="308"/>
      <c r="H27" s="296"/>
      <c r="I27" s="324"/>
      <c r="J27" s="324"/>
      <c r="K27" s="324"/>
      <c r="L27" s="334"/>
      <c r="M27" s="296"/>
      <c r="N27" s="296"/>
      <c r="O27" s="340"/>
      <c r="Q27" s="336"/>
      <c r="R27" s="296"/>
      <c r="Z27" s="296"/>
    </row>
    <row r="28" spans="1:26" s="33" customFormat="1" ht="13.5" customHeight="1" x14ac:dyDescent="0.25">
      <c r="B28" s="142" t="s">
        <v>186</v>
      </c>
      <c r="C28" s="280" t="s">
        <v>10</v>
      </c>
      <c r="D28" s="308">
        <f>D25</f>
        <v>249.405</v>
      </c>
      <c r="E28" s="311">
        <v>4.0064099999999998</v>
      </c>
      <c r="F28" s="300">
        <f>E28*D28</f>
        <v>999.21868604999997</v>
      </c>
      <c r="G28" s="296"/>
      <c r="H28" s="311">
        <f>E28</f>
        <v>4.0064099999999998</v>
      </c>
      <c r="I28" s="300">
        <f>F28</f>
        <v>999.21868604999997</v>
      </c>
      <c r="J28" s="324"/>
      <c r="K28" s="300">
        <f>I28-F28</f>
        <v>0</v>
      </c>
      <c r="L28" s="314">
        <f>ROUND(K28/F28,5)</f>
        <v>0</v>
      </c>
      <c r="M28" s="335"/>
      <c r="N28" s="335"/>
      <c r="O28" s="341"/>
      <c r="P28" s="320"/>
      <c r="Q28" s="320"/>
      <c r="R28" s="296"/>
      <c r="Z28" s="296"/>
    </row>
    <row r="29" spans="1:26" s="33" customFormat="1" ht="13.5" customHeight="1" x14ac:dyDescent="0.25">
      <c r="B29" s="196"/>
      <c r="C29" s="296"/>
      <c r="D29" s="296"/>
      <c r="E29" s="311"/>
      <c r="F29" s="324"/>
      <c r="G29" s="308"/>
      <c r="H29" s="322"/>
      <c r="I29" s="324"/>
      <c r="J29" s="324"/>
      <c r="K29" s="324"/>
      <c r="L29" s="338"/>
      <c r="M29" s="342"/>
      <c r="N29" s="342"/>
      <c r="O29" s="340"/>
      <c r="P29" s="320"/>
      <c r="Q29" s="320"/>
      <c r="R29" s="296"/>
      <c r="Z29" s="296"/>
    </row>
    <row r="30" spans="1:26" s="33" customFormat="1" ht="13.5" customHeight="1" x14ac:dyDescent="0.25">
      <c r="B30" s="306" t="s">
        <v>26</v>
      </c>
      <c r="C30" s="307"/>
      <c r="D30" s="296"/>
      <c r="E30" s="296"/>
      <c r="F30" s="300">
        <f>F26+F28</f>
        <v>1224.6486860499999</v>
      </c>
      <c r="G30" s="308"/>
      <c r="H30" s="296"/>
      <c r="I30" s="300">
        <f>I26+I28</f>
        <v>1237.01868605</v>
      </c>
      <c r="J30" s="324"/>
      <c r="K30" s="300">
        <f>K26+K28</f>
        <v>12.370000000000005</v>
      </c>
      <c r="L30" s="314">
        <f>ROUND(K30/F30,5)</f>
        <v>1.01E-2</v>
      </c>
      <c r="M30" s="296"/>
      <c r="N30" s="296"/>
      <c r="O30" s="343"/>
      <c r="P30" s="320"/>
      <c r="Q30" s="316"/>
      <c r="R30" s="296"/>
      <c r="Z30" s="296"/>
    </row>
    <row r="31" spans="1:26" s="33" customFormat="1" ht="13.5" customHeight="1" x14ac:dyDescent="0.25">
      <c r="B31" s="196"/>
      <c r="C31" s="296"/>
      <c r="D31" s="296"/>
      <c r="E31" s="296"/>
      <c r="F31" s="324"/>
      <c r="G31" s="308"/>
      <c r="H31" s="296"/>
      <c r="I31" s="324"/>
      <c r="J31" s="324"/>
      <c r="K31" s="324"/>
      <c r="L31" s="338"/>
      <c r="M31" s="342"/>
      <c r="N31" s="342"/>
      <c r="P31" s="320"/>
      <c r="Q31" s="296"/>
      <c r="R31" s="296"/>
      <c r="Z31" s="296"/>
    </row>
    <row r="32" spans="1:26" s="33" customFormat="1" ht="13.5" customHeight="1" x14ac:dyDescent="0.25">
      <c r="B32" s="326"/>
      <c r="C32" s="327"/>
      <c r="D32" s="327"/>
      <c r="E32" s="327"/>
      <c r="F32" s="328"/>
      <c r="G32" s="327"/>
      <c r="H32" s="327"/>
      <c r="I32" s="328"/>
      <c r="J32" s="328"/>
      <c r="K32" s="328"/>
      <c r="L32" s="330"/>
      <c r="M32" s="296"/>
      <c r="N32" s="296"/>
      <c r="P32" s="320"/>
      <c r="Q32" s="336"/>
      <c r="R32" s="296"/>
      <c r="Z32" s="296"/>
    </row>
    <row r="33" spans="2:26" s="33" customFormat="1" ht="13.5" customHeight="1" x14ac:dyDescent="0.25">
      <c r="B33" s="296"/>
      <c r="C33" s="296"/>
      <c r="D33" s="296"/>
      <c r="E33" s="296"/>
      <c r="F33" s="324"/>
      <c r="G33" s="308"/>
      <c r="H33" s="296"/>
      <c r="I33" s="324"/>
      <c r="J33" s="324"/>
      <c r="K33" s="324"/>
      <c r="L33" s="332"/>
      <c r="M33" s="296"/>
      <c r="N33" s="296"/>
      <c r="P33" s="320"/>
      <c r="Q33" s="336"/>
      <c r="R33" s="296"/>
      <c r="Z33" s="296"/>
    </row>
    <row r="34" spans="2:26" s="33" customFormat="1" ht="13.5" customHeight="1" x14ac:dyDescent="0.25">
      <c r="B34" s="296"/>
      <c r="C34" s="296"/>
      <c r="D34" s="296"/>
      <c r="E34" s="296"/>
      <c r="F34" s="324"/>
      <c r="G34" s="308"/>
      <c r="H34" s="296"/>
      <c r="I34" s="324"/>
      <c r="J34" s="324"/>
      <c r="K34" s="324"/>
      <c r="L34" s="332"/>
      <c r="M34" s="296"/>
      <c r="N34" s="296"/>
      <c r="P34" s="320"/>
      <c r="Q34" s="336"/>
      <c r="R34" s="296"/>
      <c r="Z34" s="296"/>
    </row>
    <row r="35" spans="2:26" ht="13.5" customHeight="1" x14ac:dyDescent="0.25">
      <c r="B35" s="11" t="s">
        <v>72</v>
      </c>
      <c r="C35" s="12"/>
      <c r="D35" s="297"/>
      <c r="E35" s="297"/>
      <c r="F35" s="300"/>
      <c r="G35" s="299"/>
      <c r="H35" s="298"/>
      <c r="I35" s="300"/>
      <c r="J35" s="300"/>
      <c r="K35" s="300"/>
      <c r="L35" s="314"/>
      <c r="M35" s="280"/>
      <c r="N35" s="280"/>
      <c r="P35" s="320"/>
      <c r="Q35" s="318"/>
      <c r="R35" s="280"/>
      <c r="Z35" s="280"/>
    </row>
    <row r="36" spans="2:26" ht="13.5" customHeight="1" x14ac:dyDescent="0.25">
      <c r="B36" s="4"/>
      <c r="C36" s="13"/>
      <c r="D36" s="296"/>
      <c r="E36" s="296"/>
      <c r="F36" s="303"/>
      <c r="G36" s="344"/>
      <c r="H36" s="280"/>
      <c r="I36" s="303"/>
      <c r="J36" s="303"/>
      <c r="K36" s="303"/>
      <c r="L36" s="304"/>
      <c r="M36" s="279"/>
      <c r="N36" s="279"/>
      <c r="O36" s="345" t="s">
        <v>97</v>
      </c>
      <c r="P36" s="320"/>
      <c r="Q36" s="318"/>
      <c r="R36" s="280"/>
      <c r="Z36" s="280"/>
    </row>
    <row r="37" spans="2:26" ht="13.5" customHeight="1" x14ac:dyDescent="0.25">
      <c r="B37" s="196" t="s">
        <v>177</v>
      </c>
      <c r="C37" s="346" t="s">
        <v>9</v>
      </c>
      <c r="D37" s="308">
        <v>509.99942105263153</v>
      </c>
      <c r="E37" s="235">
        <v>9.85</v>
      </c>
      <c r="F37" s="303">
        <f>ROUND(D37*E37,2)</f>
        <v>5023.49</v>
      </c>
      <c r="H37" s="235">
        <f>ROUND(E37*(1+$O$41),2)</f>
        <v>10.32</v>
      </c>
      <c r="I37" s="303">
        <f>ROUND(D37*H37,2)</f>
        <v>5263.19</v>
      </c>
      <c r="J37" s="303"/>
      <c r="K37" s="303">
        <f>I37-F37</f>
        <v>239.69999999999982</v>
      </c>
      <c r="L37" s="309">
        <f>ROUND(K37/F37,5)</f>
        <v>4.7719999999999999E-2</v>
      </c>
      <c r="M37" s="347"/>
      <c r="N37" s="347"/>
      <c r="O37" s="310">
        <f>'JAP-24 - Page 1'!J13-O12</f>
        <v>247.39791836962104</v>
      </c>
      <c r="P37" s="320"/>
      <c r="Q37" s="127">
        <f>H37/E37-1</f>
        <v>4.7715736040609302E-2</v>
      </c>
      <c r="R37" s="280"/>
      <c r="Z37" s="280"/>
    </row>
    <row r="38" spans="2:26" ht="13.5" customHeight="1" x14ac:dyDescent="0.25">
      <c r="B38" s="142"/>
      <c r="C38" s="280"/>
      <c r="D38" s="296"/>
      <c r="E38" s="296"/>
      <c r="F38" s="303"/>
      <c r="G38" s="280"/>
      <c r="H38" s="280"/>
      <c r="I38" s="303"/>
      <c r="J38" s="303"/>
      <c r="K38" s="303"/>
      <c r="L38" s="309"/>
      <c r="M38" s="347"/>
      <c r="N38" s="347"/>
      <c r="O38" s="312" t="s">
        <v>118</v>
      </c>
      <c r="P38" s="320"/>
      <c r="Q38" s="127"/>
      <c r="R38" s="280"/>
      <c r="Z38" s="280"/>
    </row>
    <row r="39" spans="2:26" ht="13.5" customHeight="1" x14ac:dyDescent="0.25">
      <c r="B39" s="134" t="s">
        <v>68</v>
      </c>
      <c r="C39" s="313"/>
      <c r="D39" s="308">
        <f>D37*19</f>
        <v>9689.9889999999996</v>
      </c>
      <c r="E39" s="308"/>
      <c r="F39" s="8"/>
      <c r="H39" s="280"/>
      <c r="I39" s="303"/>
      <c r="J39" s="303"/>
      <c r="K39" s="303"/>
      <c r="L39" s="304"/>
      <c r="M39" s="347"/>
      <c r="N39" s="347"/>
      <c r="O39" s="315">
        <f>K37-O37</f>
        <v>-7.6979183696212203</v>
      </c>
      <c r="P39" s="320"/>
      <c r="Q39" s="127"/>
      <c r="R39" s="280"/>
      <c r="Z39" s="280"/>
    </row>
    <row r="40" spans="2:26" ht="13.5" customHeight="1" x14ac:dyDescent="0.25">
      <c r="B40" s="142"/>
      <c r="C40" s="280"/>
      <c r="D40" s="296"/>
      <c r="E40" s="296"/>
      <c r="F40" s="324"/>
      <c r="G40" s="308"/>
      <c r="H40" s="296"/>
      <c r="I40" s="324"/>
      <c r="J40" s="303"/>
      <c r="K40" s="303"/>
      <c r="L40" s="304"/>
      <c r="M40" s="127"/>
      <c r="N40" s="127"/>
      <c r="P40" s="320"/>
      <c r="Q40" s="127"/>
      <c r="R40" s="280"/>
      <c r="Z40" s="280"/>
    </row>
    <row r="41" spans="2:26" ht="13.5" customHeight="1" x14ac:dyDescent="0.25">
      <c r="B41" s="142" t="s">
        <v>145</v>
      </c>
      <c r="C41" s="313"/>
      <c r="D41" s="308">
        <f>D39</f>
        <v>9689.9889999999996</v>
      </c>
      <c r="E41" s="311">
        <f>ROUND(7.94/19,5)</f>
        <v>0.41788999999999998</v>
      </c>
      <c r="F41" s="300">
        <f>D41*E41</f>
        <v>4049.3495032099995</v>
      </c>
      <c r="G41" s="348"/>
      <c r="H41" s="311">
        <f>ROUND(7.77/19,5)</f>
        <v>0.40894999999999998</v>
      </c>
      <c r="I41" s="300">
        <f>D41*H41</f>
        <v>3962.7210015499995</v>
      </c>
      <c r="J41" s="303"/>
      <c r="K41" s="300">
        <f>I41-F41</f>
        <v>-86.628501659999984</v>
      </c>
      <c r="L41" s="314">
        <f>ROUND(K41/F41,5)</f>
        <v>-2.1389999999999999E-2</v>
      </c>
      <c r="M41" s="280"/>
      <c r="N41" s="280"/>
      <c r="O41" s="173">
        <v>4.8000000000000001E-2</v>
      </c>
      <c r="P41" s="320"/>
      <c r="Q41" s="320"/>
      <c r="R41" s="280"/>
      <c r="Z41" s="280"/>
    </row>
    <row r="42" spans="2:26" ht="13.5" customHeight="1" x14ac:dyDescent="0.25">
      <c r="B42" s="142"/>
      <c r="C42" s="280"/>
      <c r="D42" s="296"/>
      <c r="E42" s="296"/>
      <c r="F42" s="303"/>
      <c r="H42" s="280"/>
      <c r="I42" s="303"/>
      <c r="J42" s="303"/>
      <c r="K42" s="303"/>
      <c r="L42" s="349"/>
      <c r="O42" s="341"/>
      <c r="P42" s="320"/>
      <c r="Q42" s="320"/>
      <c r="R42" s="280"/>
      <c r="Z42" s="280"/>
    </row>
    <row r="43" spans="2:26" ht="13.5" customHeight="1" x14ac:dyDescent="0.25">
      <c r="B43" s="142" t="s">
        <v>26</v>
      </c>
      <c r="C43" s="280"/>
      <c r="D43" s="296"/>
      <c r="E43" s="296"/>
      <c r="F43" s="300">
        <f>F37+F41</f>
        <v>9072.8395032099997</v>
      </c>
      <c r="H43" s="280"/>
      <c r="I43" s="300">
        <f>I37+I41</f>
        <v>9225.9110015499991</v>
      </c>
      <c r="J43" s="303"/>
      <c r="K43" s="300">
        <f>K37+K41</f>
        <v>153.07149833999983</v>
      </c>
      <c r="L43" s="314">
        <f>ROUND(K43/F43,5)</f>
        <v>1.687E-2</v>
      </c>
      <c r="M43" s="279"/>
      <c r="N43" s="279"/>
      <c r="O43" s="320"/>
      <c r="P43" s="320"/>
      <c r="Q43" s="320"/>
      <c r="R43" s="280"/>
      <c r="Z43" s="280"/>
    </row>
    <row r="44" spans="2:26" ht="13.5" customHeight="1" x14ac:dyDescent="0.25">
      <c r="B44" s="142"/>
      <c r="C44" s="280"/>
      <c r="D44" s="296"/>
      <c r="E44" s="296"/>
      <c r="F44" s="324"/>
      <c r="H44" s="280"/>
      <c r="I44" s="303"/>
      <c r="J44" s="303"/>
      <c r="K44" s="303"/>
      <c r="L44" s="349"/>
      <c r="M44" s="127"/>
      <c r="N44" s="127"/>
      <c r="O44" s="350"/>
      <c r="P44" s="56"/>
      <c r="Q44" s="101"/>
      <c r="R44" s="280"/>
      <c r="Z44" s="280"/>
    </row>
    <row r="45" spans="2:26" ht="13.5" customHeight="1" x14ac:dyDescent="0.25">
      <c r="B45" s="7"/>
      <c r="C45" s="15"/>
      <c r="D45" s="327"/>
      <c r="E45" s="327"/>
      <c r="F45" s="10"/>
      <c r="G45" s="351"/>
      <c r="H45" s="352"/>
      <c r="I45" s="353"/>
      <c r="J45" s="353"/>
      <c r="K45" s="352"/>
      <c r="L45" s="354"/>
      <c r="M45" s="339"/>
      <c r="N45" s="339"/>
      <c r="Q45" s="318"/>
      <c r="R45" s="280"/>
      <c r="Z45" s="280"/>
    </row>
    <row r="46" spans="2:26" ht="13.5" customHeight="1" x14ac:dyDescent="0.25">
      <c r="B46" s="216"/>
      <c r="K46" s="280"/>
      <c r="M46" s="127"/>
      <c r="N46" s="127"/>
      <c r="Q46" s="318"/>
      <c r="R46" s="280"/>
      <c r="Z46" s="280"/>
    </row>
    <row r="47" spans="2:26" x14ac:dyDescent="0.25">
      <c r="B47" s="1" t="s">
        <v>154</v>
      </c>
      <c r="K47" s="280"/>
      <c r="M47" s="339"/>
      <c r="N47" s="339"/>
      <c r="Q47" s="318"/>
      <c r="R47" s="280"/>
      <c r="Z47" s="280"/>
    </row>
    <row r="48" spans="2:26" x14ac:dyDescent="0.25">
      <c r="B48" s="216"/>
      <c r="D48" s="104" t="s">
        <v>10</v>
      </c>
      <c r="F48" s="292" t="s">
        <v>22</v>
      </c>
      <c r="I48" s="294" t="s">
        <v>1</v>
      </c>
      <c r="K48" s="294" t="s">
        <v>132</v>
      </c>
      <c r="Q48" s="318"/>
      <c r="R48" s="280"/>
      <c r="Z48" s="280"/>
    </row>
    <row r="49" spans="2:26" x14ac:dyDescent="0.25">
      <c r="B49" s="216" t="s">
        <v>128</v>
      </c>
      <c r="F49" s="355">
        <f>F16+F28+F41</f>
        <v>241458158.87047493</v>
      </c>
      <c r="I49" s="355">
        <f>I16+I28+I41</f>
        <v>236408299.12868783</v>
      </c>
      <c r="J49" s="355"/>
      <c r="K49" s="303">
        <f>I49-F49</f>
        <v>-5049859.7417871058</v>
      </c>
      <c r="Q49" s="318"/>
      <c r="R49" s="280"/>
      <c r="Z49" s="280"/>
    </row>
    <row r="50" spans="2:26" x14ac:dyDescent="0.25">
      <c r="B50" s="216" t="s">
        <v>129</v>
      </c>
      <c r="F50" s="355">
        <f>F14+F26+F37</f>
        <v>304383542.40197641</v>
      </c>
      <c r="G50" s="355"/>
      <c r="H50" s="355"/>
      <c r="I50" s="355">
        <f>I14+I26+I37</f>
        <v>319136380.17167699</v>
      </c>
      <c r="J50" s="355"/>
      <c r="K50" s="303">
        <f>I50-F50</f>
        <v>14752837.769700587</v>
      </c>
      <c r="L50" s="188">
        <f>K50/F50</f>
        <v>4.8467921929292834E-2</v>
      </c>
    </row>
    <row r="51" spans="2:26" x14ac:dyDescent="0.25">
      <c r="B51" s="216" t="s">
        <v>130</v>
      </c>
      <c r="D51" s="356">
        <f>D13+D25+D39</f>
        <v>577787183.47699988</v>
      </c>
      <c r="F51" s="300">
        <f>F49+F50</f>
        <v>545841701.2724514</v>
      </c>
      <c r="I51" s="300">
        <f>I49+I50</f>
        <v>555544679.30036485</v>
      </c>
      <c r="K51" s="300">
        <f>K49+K50</f>
        <v>9702978.027913481</v>
      </c>
      <c r="L51" s="188">
        <f>K51/F51</f>
        <v>1.7776175776409463E-2</v>
      </c>
    </row>
    <row r="52" spans="2:26" x14ac:dyDescent="0.25">
      <c r="B52" s="216"/>
      <c r="F52" s="355"/>
      <c r="I52" s="355"/>
      <c r="K52" s="303"/>
    </row>
    <row r="53" spans="2:26" x14ac:dyDescent="0.25">
      <c r="B53" s="216" t="s">
        <v>189</v>
      </c>
      <c r="F53" s="357"/>
      <c r="K53" s="280"/>
      <c r="O53" s="355"/>
      <c r="P53" s="355"/>
    </row>
    <row r="54" spans="2:26" x14ac:dyDescent="0.25">
      <c r="B54" s="216"/>
      <c r="F54" s="216"/>
    </row>
    <row r="55" spans="2:26" x14ac:dyDescent="0.25">
      <c r="B55" s="216"/>
      <c r="F55" s="216"/>
    </row>
    <row r="56" spans="2:26" x14ac:dyDescent="0.25">
      <c r="B56" s="216"/>
      <c r="C56" s="216"/>
      <c r="D56" s="216"/>
      <c r="F56" s="216"/>
      <c r="G56" s="216"/>
      <c r="I56" s="216"/>
      <c r="J56" s="216"/>
      <c r="L56" s="216"/>
      <c r="M56" s="216"/>
      <c r="N56" s="216"/>
      <c r="Q56" s="216"/>
    </row>
  </sheetData>
  <dataConsolidate/>
  <phoneticPr fontId="0" type="noConversion"/>
  <printOptions horizontalCentered="1"/>
  <pageMargins left="0.5" right="0.5" top="1" bottom="0.7" header="0.75" footer="0.5"/>
  <pageSetup scale="61" orientation="landscape" blackAndWhite="1" r:id="rId1"/>
  <headerFooter alignWithMargins="0"/>
  <rowBreaks count="1" manualBreakCount="1">
    <brk id="46" min="1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2:Q148"/>
  <sheetViews>
    <sheetView tabSelected="1" view="pageBreakPreview" topLeftCell="A37" zoomScale="60" zoomScaleNormal="100" workbookViewId="0">
      <selection activeCell="O57" sqref="O57"/>
    </sheetView>
  </sheetViews>
  <sheetFormatPr defaultColWidth="9.109375" defaultRowHeight="13.2" x14ac:dyDescent="0.25"/>
  <cols>
    <col min="1" max="1" width="2.44140625" style="79" customWidth="1"/>
    <col min="2" max="2" width="31.44140625" style="79" bestFit="1" customWidth="1"/>
    <col min="3" max="3" width="9.88671875" style="79" bestFit="1" customWidth="1"/>
    <col min="4" max="4" width="12.5546875" style="79" bestFit="1" customWidth="1"/>
    <col min="5" max="5" width="11.33203125" style="79" bestFit="1" customWidth="1"/>
    <col min="6" max="6" width="14" style="212" bestFit="1" customWidth="1"/>
    <col min="7" max="7" width="6" style="73" customWidth="1"/>
    <col min="8" max="8" width="11" style="24" bestFit="1" customWidth="1"/>
    <col min="9" max="9" width="14.88671875" style="212" bestFit="1" customWidth="1"/>
    <col min="10" max="10" width="2.33203125" style="212" customWidth="1"/>
    <col min="11" max="11" width="12.88671875" style="212" bestFit="1" customWidth="1"/>
    <col min="12" max="12" width="7.33203125" style="259" customWidth="1"/>
    <col min="13" max="13" width="2.109375" style="211" customWidth="1"/>
    <col min="14" max="14" width="2" style="262" customWidth="1"/>
    <col min="15" max="15" width="18.6640625" style="79" bestFit="1" customWidth="1"/>
    <col min="16" max="16" width="2.33203125" style="79" customWidth="1"/>
    <col min="17" max="17" width="8.88671875" style="223" bestFit="1" customWidth="1"/>
    <col min="18" max="16384" width="9.109375" style="79"/>
  </cols>
  <sheetData>
    <row r="2" spans="1:17" x14ac:dyDescent="0.25">
      <c r="B2" s="17" t="s">
        <v>70</v>
      </c>
      <c r="C2" s="80"/>
      <c r="D2" s="80"/>
      <c r="E2" s="80"/>
      <c r="F2" s="83"/>
      <c r="G2" s="81"/>
      <c r="H2" s="52"/>
      <c r="I2" s="83"/>
      <c r="J2" s="83"/>
      <c r="K2" s="83"/>
      <c r="L2" s="217"/>
      <c r="M2" s="86"/>
      <c r="N2" s="86"/>
      <c r="O2" s="80"/>
      <c r="P2" s="80"/>
      <c r="Q2" s="218"/>
    </row>
    <row r="3" spans="1:17" x14ac:dyDescent="0.25">
      <c r="B3" s="2" t="str">
        <f>'JAP-24 - Page 1'!$B$2</f>
        <v>2017 Gas General Rate Case</v>
      </c>
      <c r="C3" s="80"/>
      <c r="D3" s="80"/>
      <c r="E3" s="80"/>
      <c r="F3" s="80"/>
      <c r="G3" s="52"/>
      <c r="H3" s="52"/>
      <c r="I3" s="80"/>
      <c r="J3" s="80"/>
      <c r="K3" s="80"/>
      <c r="L3" s="217"/>
      <c r="M3" s="80"/>
      <c r="N3" s="86"/>
      <c r="O3" s="80"/>
      <c r="P3" s="80"/>
      <c r="Q3" s="218"/>
    </row>
    <row r="4" spans="1:17" x14ac:dyDescent="0.25">
      <c r="B4" s="2" t="str">
        <f>'JAP-24 - Page 1'!$B$3</f>
        <v>Test Year Ended September 2016</v>
      </c>
      <c r="C4" s="80"/>
      <c r="D4" s="80"/>
      <c r="E4" s="80"/>
      <c r="F4" s="80"/>
      <c r="G4" s="52"/>
      <c r="H4" s="52"/>
      <c r="I4" s="80"/>
      <c r="J4" s="80"/>
      <c r="K4" s="80"/>
      <c r="L4" s="217"/>
      <c r="M4" s="80"/>
      <c r="N4" s="86"/>
      <c r="O4" s="80"/>
      <c r="P4" s="80"/>
      <c r="Q4" s="218"/>
    </row>
    <row r="5" spans="1:17" x14ac:dyDescent="0.25">
      <c r="B5" s="17" t="s">
        <v>188</v>
      </c>
      <c r="C5" s="80"/>
      <c r="D5" s="80"/>
      <c r="E5" s="80"/>
      <c r="F5" s="80"/>
      <c r="G5" s="52"/>
      <c r="H5" s="52"/>
      <c r="I5" s="80"/>
      <c r="J5" s="80"/>
      <c r="K5" s="80"/>
      <c r="L5" s="217"/>
      <c r="M5" s="80"/>
      <c r="N5" s="87"/>
      <c r="O5" s="88"/>
      <c r="P5" s="80"/>
      <c r="Q5" s="218"/>
    </row>
    <row r="6" spans="1:17" ht="13.5" customHeight="1" x14ac:dyDescent="0.25">
      <c r="B6" s="219"/>
      <c r="C6" s="219"/>
      <c r="D6" s="219"/>
      <c r="E6" s="219"/>
      <c r="F6" s="220"/>
      <c r="G6" s="221"/>
      <c r="H6" s="55"/>
      <c r="I6" s="220"/>
      <c r="J6" s="220"/>
      <c r="K6" s="220"/>
      <c r="L6" s="222"/>
      <c r="N6" s="199"/>
      <c r="O6" s="19"/>
    </row>
    <row r="7" spans="1:17" ht="12" customHeight="1" x14ac:dyDescent="0.25">
      <c r="B7" s="94"/>
      <c r="C7" s="95"/>
      <c r="D7" s="224" t="s">
        <v>0</v>
      </c>
      <c r="E7" s="97" t="s">
        <v>22</v>
      </c>
      <c r="F7" s="98"/>
      <c r="G7" s="26"/>
      <c r="H7" s="225" t="s">
        <v>1</v>
      </c>
      <c r="I7" s="98"/>
      <c r="J7" s="100"/>
      <c r="K7" s="390" t="s">
        <v>2</v>
      </c>
      <c r="L7" s="391"/>
      <c r="M7" s="226"/>
      <c r="N7" s="87"/>
      <c r="O7" s="36" t="s">
        <v>117</v>
      </c>
      <c r="Q7" s="101" t="s">
        <v>170</v>
      </c>
    </row>
    <row r="8" spans="1:17" x14ac:dyDescent="0.25">
      <c r="B8" s="102" t="s">
        <v>3</v>
      </c>
      <c r="C8" s="110" t="s">
        <v>75</v>
      </c>
      <c r="D8" s="25" t="s">
        <v>4</v>
      </c>
      <c r="E8" s="110" t="s">
        <v>5</v>
      </c>
      <c r="F8" s="106" t="s">
        <v>27</v>
      </c>
      <c r="G8" s="25"/>
      <c r="H8" s="25" t="s">
        <v>5</v>
      </c>
      <c r="I8" s="106" t="s">
        <v>27</v>
      </c>
      <c r="J8" s="106"/>
      <c r="K8" s="106" t="s">
        <v>6</v>
      </c>
      <c r="L8" s="227" t="s">
        <v>7</v>
      </c>
      <c r="M8" s="93"/>
      <c r="N8" s="228"/>
      <c r="O8" s="110" t="s">
        <v>65</v>
      </c>
      <c r="Q8" s="111" t="s">
        <v>92</v>
      </c>
    </row>
    <row r="9" spans="1:17" x14ac:dyDescent="0.25">
      <c r="A9" s="19"/>
      <c r="B9" s="36"/>
      <c r="C9" s="36"/>
      <c r="D9" s="36"/>
      <c r="E9" s="36"/>
      <c r="F9" s="229"/>
      <c r="G9" s="26"/>
      <c r="H9" s="26"/>
      <c r="I9" s="229"/>
      <c r="J9" s="229"/>
      <c r="K9" s="229"/>
      <c r="L9" s="230"/>
      <c r="M9" s="93"/>
      <c r="N9" s="228"/>
      <c r="O9" s="19"/>
      <c r="P9" s="19"/>
      <c r="Q9" s="231"/>
    </row>
    <row r="10" spans="1:17" x14ac:dyDescent="0.25">
      <c r="B10" s="18" t="s">
        <v>151</v>
      </c>
      <c r="C10" s="22"/>
      <c r="D10" s="232"/>
      <c r="E10" s="232"/>
      <c r="F10" s="116"/>
      <c r="G10" s="44"/>
      <c r="H10" s="233"/>
      <c r="I10" s="116"/>
      <c r="J10" s="116"/>
      <c r="K10" s="116"/>
      <c r="L10" s="168"/>
      <c r="M10" s="234"/>
      <c r="N10" s="199"/>
      <c r="O10" s="19"/>
      <c r="P10" s="19"/>
      <c r="Q10" s="231"/>
    </row>
    <row r="11" spans="1:17" x14ac:dyDescent="0.25">
      <c r="B11" s="20"/>
      <c r="C11" s="19"/>
      <c r="D11" s="203"/>
      <c r="E11" s="19"/>
      <c r="F11" s="122"/>
      <c r="G11" s="16"/>
      <c r="H11" s="35"/>
      <c r="I11" s="122"/>
      <c r="J11" s="122"/>
      <c r="K11" s="122"/>
      <c r="L11" s="133"/>
      <c r="M11" s="234"/>
      <c r="N11" s="199"/>
      <c r="O11" s="121" t="s">
        <v>192</v>
      </c>
      <c r="P11" s="19"/>
      <c r="Q11" s="231"/>
    </row>
    <row r="12" spans="1:17" x14ac:dyDescent="0.25">
      <c r="B12" s="47" t="s">
        <v>142</v>
      </c>
      <c r="C12" s="37" t="s">
        <v>67</v>
      </c>
      <c r="D12" s="16">
        <v>679614.01800213428</v>
      </c>
      <c r="E12" s="43">
        <v>33.42</v>
      </c>
      <c r="F12" s="122">
        <f>ROUND(D12*E12,2)</f>
        <v>22712700.48</v>
      </c>
      <c r="G12" s="16"/>
      <c r="H12" s="235">
        <f>ROUND(E12*(1+$O$16),2)</f>
        <v>35.130000000000003</v>
      </c>
      <c r="I12" s="146">
        <f>ROUND(D12*H12,2)</f>
        <v>23874840.449999999</v>
      </c>
      <c r="J12" s="122"/>
      <c r="K12" s="122">
        <f>I12-F12</f>
        <v>1162139.9699999988</v>
      </c>
      <c r="L12" s="133"/>
      <c r="M12" s="234"/>
      <c r="N12" s="199"/>
      <c r="O12" s="125">
        <f>+'JAP-24 - Page 1'!J14</f>
        <v>6429576.9984566867</v>
      </c>
      <c r="P12" s="19"/>
      <c r="Q12" s="127">
        <f>H12/E12-1</f>
        <v>5.116696588868952E-2</v>
      </c>
    </row>
    <row r="13" spans="1:17" x14ac:dyDescent="0.25">
      <c r="B13" s="20" t="s">
        <v>82</v>
      </c>
      <c r="C13" s="19" t="s">
        <v>10</v>
      </c>
      <c r="D13" s="16">
        <v>214570890.29299998</v>
      </c>
      <c r="E13" s="42">
        <v>0.30626999999999999</v>
      </c>
      <c r="F13" s="122">
        <f>ROUND(D13*E13,2)</f>
        <v>65716626.57</v>
      </c>
      <c r="G13" s="16"/>
      <c r="H13" s="42">
        <f>ROUND(E13*(1+$O$16),5)</f>
        <v>0.32199</v>
      </c>
      <c r="I13" s="146">
        <f>ROUND(D13*H13,2)</f>
        <v>69089680.969999999</v>
      </c>
      <c r="J13" s="122"/>
      <c r="K13" s="122">
        <f>I13-F13</f>
        <v>3373054.3999999985</v>
      </c>
      <c r="L13" s="133"/>
      <c r="M13" s="234"/>
      <c r="N13" s="199"/>
      <c r="O13" s="126" t="s">
        <v>118</v>
      </c>
      <c r="P13" s="19"/>
      <c r="Q13" s="127">
        <f>H13/E13-1</f>
        <v>5.1327260260554564E-2</v>
      </c>
    </row>
    <row r="14" spans="1:17" x14ac:dyDescent="0.25">
      <c r="B14" s="20" t="s">
        <v>66</v>
      </c>
      <c r="C14" s="19"/>
      <c r="D14" s="16">
        <f>D13</f>
        <v>214570890.29299998</v>
      </c>
      <c r="E14" s="42">
        <v>0</v>
      </c>
      <c r="F14" s="122">
        <f>ROUND(D14*E14,2)</f>
        <v>0</v>
      </c>
      <c r="G14" s="16"/>
      <c r="H14" s="42">
        <v>8.8199999999999997E-3</v>
      </c>
      <c r="I14" s="122">
        <f>ROUND(D14*H14,2)</f>
        <v>1892515.25</v>
      </c>
      <c r="J14" s="113"/>
      <c r="K14" s="122">
        <f>I14-F14</f>
        <v>1892515.25</v>
      </c>
      <c r="L14" s="181"/>
      <c r="M14" s="93"/>
      <c r="N14" s="93"/>
      <c r="O14" s="236">
        <f>K15+K27-O12</f>
        <v>-950.57845668960363</v>
      </c>
      <c r="P14" s="19"/>
      <c r="Q14" s="231"/>
    </row>
    <row r="15" spans="1:17" x14ac:dyDescent="0.25">
      <c r="B15" s="134" t="s">
        <v>184</v>
      </c>
      <c r="C15" s="23"/>
      <c r="D15" s="16"/>
      <c r="E15" s="35"/>
      <c r="F15" s="116">
        <f>SUM(F12:F14)</f>
        <v>88429327.049999997</v>
      </c>
      <c r="G15" s="16"/>
      <c r="H15" s="16"/>
      <c r="I15" s="193">
        <f>SUM(I12:I14)</f>
        <v>94857036.670000002</v>
      </c>
      <c r="J15" s="122"/>
      <c r="K15" s="116">
        <f>SUM(K12:K14)</f>
        <v>6427709.6199999973</v>
      </c>
      <c r="L15" s="168">
        <f>ROUND(K15/F15,5)</f>
        <v>7.2690000000000005E-2</v>
      </c>
      <c r="M15" s="234"/>
      <c r="N15" s="199"/>
      <c r="O15" s="129"/>
      <c r="P15" s="237"/>
      <c r="Q15" s="238"/>
    </row>
    <row r="16" spans="1:17" x14ac:dyDescent="0.25">
      <c r="B16" s="20"/>
      <c r="C16" s="19"/>
      <c r="D16" s="35"/>
      <c r="E16" s="35"/>
      <c r="F16" s="122"/>
      <c r="G16" s="16"/>
      <c r="H16" s="16"/>
      <c r="I16" s="146"/>
      <c r="J16" s="122"/>
      <c r="K16" s="122"/>
      <c r="L16" s="133"/>
      <c r="M16" s="234"/>
      <c r="N16" s="199"/>
      <c r="O16" s="132">
        <v>5.1316000000000001E-2</v>
      </c>
      <c r="P16" s="19"/>
      <c r="Q16" s="231"/>
    </row>
    <row r="17" spans="1:17" x14ac:dyDescent="0.25">
      <c r="B17" s="142" t="s">
        <v>145</v>
      </c>
      <c r="C17" s="19" t="s">
        <v>10</v>
      </c>
      <c r="D17" s="16">
        <f>D13</f>
        <v>214570890.29299998</v>
      </c>
      <c r="E17" s="42">
        <v>0.41123999999999999</v>
      </c>
      <c r="F17" s="122">
        <f>E17*D17</f>
        <v>88240132.924093306</v>
      </c>
      <c r="G17" s="35"/>
      <c r="H17" s="42">
        <v>0.40649000000000002</v>
      </c>
      <c r="I17" s="146">
        <f>H17*D17</f>
        <v>87220921.195201561</v>
      </c>
      <c r="J17" s="122"/>
      <c r="K17" s="122">
        <f>I17-F17</f>
        <v>-1019211.7288917452</v>
      </c>
      <c r="L17" s="133">
        <f>ROUND(K17/F17,5)</f>
        <v>-1.155E-2</v>
      </c>
      <c r="M17" s="234"/>
      <c r="N17" s="199"/>
      <c r="O17" s="36"/>
      <c r="P17" s="36"/>
      <c r="Q17" s="36"/>
    </row>
    <row r="18" spans="1:17" x14ac:dyDescent="0.25">
      <c r="B18" s="20"/>
      <c r="C18" s="19"/>
      <c r="D18" s="35"/>
      <c r="E18" s="90"/>
      <c r="F18" s="122"/>
      <c r="G18" s="239"/>
      <c r="H18" s="240"/>
      <c r="I18" s="146"/>
      <c r="J18" s="122"/>
      <c r="K18" s="122"/>
      <c r="L18" s="133"/>
      <c r="M18" s="234"/>
      <c r="N18" s="199"/>
      <c r="O18" s="241"/>
      <c r="P18" s="36"/>
      <c r="Q18" s="36"/>
    </row>
    <row r="19" spans="1:17" x14ac:dyDescent="0.25">
      <c r="B19" s="21" t="s">
        <v>26</v>
      </c>
      <c r="C19" s="19"/>
      <c r="D19" s="35"/>
      <c r="E19" s="19"/>
      <c r="F19" s="116">
        <f>F17+F15</f>
        <v>176669459.97409332</v>
      </c>
      <c r="G19" s="239"/>
      <c r="H19" s="242"/>
      <c r="I19" s="193">
        <f>I17+I15</f>
        <v>182077957.86520156</v>
      </c>
      <c r="J19" s="122"/>
      <c r="K19" s="116">
        <f>K15+K17</f>
        <v>5408497.8911082521</v>
      </c>
      <c r="L19" s="168">
        <f>ROUND(K19/F19,5)</f>
        <v>3.0609999999999998E-2</v>
      </c>
      <c r="M19" s="234"/>
      <c r="N19" s="199"/>
      <c r="O19" s="36"/>
      <c r="P19" s="36"/>
      <c r="Q19" s="36"/>
    </row>
    <row r="20" spans="1:17" x14ac:dyDescent="0.25">
      <c r="B20" s="147"/>
      <c r="C20" s="243"/>
      <c r="D20" s="244"/>
      <c r="E20" s="107"/>
      <c r="F20" s="245"/>
      <c r="G20" s="244"/>
      <c r="H20" s="246"/>
      <c r="I20" s="161"/>
      <c r="J20" s="150"/>
      <c r="K20" s="150"/>
      <c r="L20" s="153"/>
      <c r="M20" s="234"/>
      <c r="N20" s="199"/>
      <c r="O20" s="19"/>
    </row>
    <row r="21" spans="1:17" x14ac:dyDescent="0.25">
      <c r="A21" s="19"/>
      <c r="B21" s="19"/>
      <c r="C21" s="19"/>
      <c r="D21" s="35"/>
      <c r="E21" s="19"/>
      <c r="F21" s="123"/>
      <c r="G21" s="239"/>
      <c r="H21" s="242"/>
      <c r="I21" s="123"/>
      <c r="J21" s="123"/>
      <c r="K21" s="122"/>
      <c r="L21" s="158"/>
      <c r="M21" s="234"/>
      <c r="N21" s="199"/>
      <c r="O21" s="19"/>
    </row>
    <row r="22" spans="1:17" x14ac:dyDescent="0.25">
      <c r="A22" s="19"/>
      <c r="B22" s="40" t="s">
        <v>152</v>
      </c>
      <c r="C22" s="22"/>
      <c r="D22" s="232"/>
      <c r="E22" s="232"/>
      <c r="F22" s="116"/>
      <c r="G22" s="44"/>
      <c r="H22" s="233"/>
      <c r="I22" s="116"/>
      <c r="J22" s="116"/>
      <c r="K22" s="116"/>
      <c r="L22" s="168"/>
      <c r="M22" s="234"/>
      <c r="N22" s="199"/>
      <c r="O22" s="19"/>
    </row>
    <row r="23" spans="1:17" x14ac:dyDescent="0.25">
      <c r="A23" s="19"/>
      <c r="B23" s="20"/>
      <c r="C23" s="19"/>
      <c r="D23" s="203"/>
      <c r="E23" s="19"/>
      <c r="F23" s="122"/>
      <c r="G23" s="16"/>
      <c r="H23" s="35"/>
      <c r="I23" s="122"/>
      <c r="J23" s="122"/>
      <c r="K23" s="122"/>
      <c r="L23" s="133"/>
      <c r="M23" s="234"/>
      <c r="N23" s="199"/>
      <c r="O23" s="19"/>
      <c r="Q23" s="127">
        <f>H24/E24-1</f>
        <v>5.1307162871677692E-2</v>
      </c>
    </row>
    <row r="24" spans="1:17" x14ac:dyDescent="0.25">
      <c r="A24" s="19"/>
      <c r="B24" s="47" t="s">
        <v>142</v>
      </c>
      <c r="C24" s="37" t="s">
        <v>67</v>
      </c>
      <c r="D24" s="16">
        <v>23</v>
      </c>
      <c r="E24" s="43">
        <v>367.59</v>
      </c>
      <c r="F24" s="122">
        <f>ROUND(D24*E24,2)</f>
        <v>8454.57</v>
      </c>
      <c r="G24" s="16"/>
      <c r="H24" s="235">
        <f>ROUND(E24*(1+$O$16),2)</f>
        <v>386.45</v>
      </c>
      <c r="I24" s="146">
        <f>ROUND(D24*H24,2)</f>
        <v>8888.35</v>
      </c>
      <c r="J24" s="122"/>
      <c r="K24" s="122">
        <f>I24-F24</f>
        <v>433.78000000000065</v>
      </c>
      <c r="L24" s="133"/>
      <c r="M24" s="234"/>
      <c r="N24" s="199"/>
      <c r="O24" s="19"/>
      <c r="Q24" s="127">
        <f>H25/E25-1</f>
        <v>5.1327260260554564E-2</v>
      </c>
    </row>
    <row r="25" spans="1:17" x14ac:dyDescent="0.25">
      <c r="A25" s="19"/>
      <c r="B25" s="20" t="s">
        <v>82</v>
      </c>
      <c r="C25" s="19" t="s">
        <v>10</v>
      </c>
      <c r="D25" s="16">
        <v>22880.93</v>
      </c>
      <c r="E25" s="42">
        <v>0.30626999999999999</v>
      </c>
      <c r="F25" s="122">
        <f>ROUND(D25*E25,2)</f>
        <v>7007.74</v>
      </c>
      <c r="G25" s="16"/>
      <c r="H25" s="42">
        <f>H13</f>
        <v>0.32199</v>
      </c>
      <c r="I25" s="146">
        <f>ROUND(D25*H25,2)</f>
        <v>7367.43</v>
      </c>
      <c r="J25" s="122"/>
      <c r="K25" s="122">
        <f>I25-F25</f>
        <v>359.69000000000051</v>
      </c>
      <c r="L25" s="133"/>
      <c r="M25" s="234"/>
      <c r="N25" s="199"/>
      <c r="O25" s="19"/>
      <c r="Q25" s="127"/>
    </row>
    <row r="26" spans="1:17" x14ac:dyDescent="0.25">
      <c r="A26" s="19"/>
      <c r="B26" s="47" t="s">
        <v>66</v>
      </c>
      <c r="C26" s="19"/>
      <c r="D26" s="16">
        <f>D25</f>
        <v>22880.93</v>
      </c>
      <c r="E26" s="42">
        <v>-5.3899999999999998E-3</v>
      </c>
      <c r="F26" s="122">
        <f>ROUND(D26*E26,2)</f>
        <v>-123.33</v>
      </c>
      <c r="G26" s="16"/>
      <c r="H26" s="42">
        <v>0</v>
      </c>
      <c r="I26" s="146">
        <f>ROUND(D26*H26,2)</f>
        <v>0</v>
      </c>
      <c r="J26" s="122"/>
      <c r="K26" s="122">
        <f>I26-F26</f>
        <v>123.33</v>
      </c>
      <c r="L26" s="133"/>
      <c r="M26" s="234"/>
      <c r="N26" s="199"/>
      <c r="O26" s="19"/>
    </row>
    <row r="27" spans="1:17" x14ac:dyDescent="0.25">
      <c r="A27" s="19"/>
      <c r="B27" s="134" t="s">
        <v>184</v>
      </c>
      <c r="C27" s="23"/>
      <c r="D27" s="16"/>
      <c r="E27" s="35"/>
      <c r="F27" s="116">
        <f>SUM(F24:F26)</f>
        <v>15338.98</v>
      </c>
      <c r="G27" s="16"/>
      <c r="H27" s="16"/>
      <c r="I27" s="193">
        <f>SUM(I24:I26)</f>
        <v>16255.78</v>
      </c>
      <c r="J27" s="122"/>
      <c r="K27" s="193">
        <f>SUM(K24:K26)</f>
        <v>916.80000000000121</v>
      </c>
      <c r="L27" s="168"/>
      <c r="M27" s="234"/>
      <c r="N27" s="199"/>
      <c r="O27" s="19"/>
    </row>
    <row r="28" spans="1:17" x14ac:dyDescent="0.25">
      <c r="A28" s="19"/>
      <c r="B28" s="20"/>
      <c r="C28" s="19"/>
      <c r="D28" s="35"/>
      <c r="E28" s="35"/>
      <c r="F28" s="122"/>
      <c r="G28" s="16"/>
      <c r="H28" s="16"/>
      <c r="I28" s="146"/>
      <c r="J28" s="122"/>
      <c r="K28" s="122"/>
      <c r="L28" s="133"/>
      <c r="M28" s="234"/>
      <c r="N28" s="199"/>
      <c r="O28" s="19"/>
    </row>
    <row r="29" spans="1:17" x14ac:dyDescent="0.25">
      <c r="A29" s="19"/>
      <c r="B29" s="41" t="s">
        <v>120</v>
      </c>
      <c r="C29" s="19" t="s">
        <v>10</v>
      </c>
      <c r="D29" s="16">
        <f>D25</f>
        <v>22880.93</v>
      </c>
      <c r="E29" s="42">
        <v>6.9999999999999999E-4</v>
      </c>
      <c r="F29" s="122">
        <f>E29*D29</f>
        <v>16.016651</v>
      </c>
      <c r="G29" s="35"/>
      <c r="H29" s="42">
        <v>6.9999999999999999E-4</v>
      </c>
      <c r="I29" s="146">
        <f>H29*D29</f>
        <v>16.016651</v>
      </c>
      <c r="J29" s="122"/>
      <c r="K29" s="122">
        <f>I29-F29</f>
        <v>0</v>
      </c>
      <c r="L29" s="133"/>
      <c r="M29" s="234"/>
      <c r="N29" s="199"/>
      <c r="O29" s="19"/>
    </row>
    <row r="30" spans="1:17" x14ac:dyDescent="0.25">
      <c r="A30" s="19"/>
      <c r="B30" s="21" t="s">
        <v>26</v>
      </c>
      <c r="C30" s="19"/>
      <c r="D30" s="35"/>
      <c r="E30" s="19"/>
      <c r="F30" s="116">
        <f>F29+F27</f>
        <v>15354.996650999999</v>
      </c>
      <c r="G30" s="239"/>
      <c r="H30" s="242"/>
      <c r="I30" s="193">
        <f>I29+I27</f>
        <v>16271.796651000001</v>
      </c>
      <c r="J30" s="122"/>
      <c r="K30" s="116">
        <f>K27+K29</f>
        <v>916.80000000000121</v>
      </c>
      <c r="L30" s="168"/>
      <c r="M30" s="234"/>
      <c r="N30" s="199"/>
      <c r="O30" s="19"/>
    </row>
    <row r="31" spans="1:17" x14ac:dyDescent="0.25">
      <c r="A31" s="19"/>
      <c r="B31" s="147"/>
      <c r="C31" s="243"/>
      <c r="D31" s="244"/>
      <c r="E31" s="107"/>
      <c r="F31" s="245"/>
      <c r="G31" s="244"/>
      <c r="H31" s="246"/>
      <c r="I31" s="161"/>
      <c r="J31" s="150"/>
      <c r="K31" s="150"/>
      <c r="L31" s="153"/>
      <c r="M31" s="234"/>
      <c r="N31" s="199"/>
      <c r="O31" s="19"/>
    </row>
    <row r="32" spans="1:17" x14ac:dyDescent="0.25">
      <c r="A32" s="19"/>
      <c r="B32" s="19"/>
      <c r="C32" s="19"/>
      <c r="D32" s="35"/>
      <c r="E32" s="19"/>
      <c r="F32" s="123"/>
      <c r="G32" s="239"/>
      <c r="H32" s="242"/>
      <c r="I32" s="123"/>
      <c r="J32" s="123"/>
      <c r="K32" s="122"/>
      <c r="L32" s="158"/>
      <c r="M32" s="234"/>
      <c r="N32" s="199"/>
      <c r="O32" s="19"/>
    </row>
    <row r="33" spans="1:17" x14ac:dyDescent="0.25">
      <c r="A33" s="19"/>
      <c r="B33" s="18" t="s">
        <v>153</v>
      </c>
      <c r="C33" s="22"/>
      <c r="D33" s="232"/>
      <c r="E33" s="232"/>
      <c r="F33" s="116"/>
      <c r="G33" s="44"/>
      <c r="H33" s="233"/>
      <c r="I33" s="116"/>
      <c r="J33" s="116"/>
      <c r="K33" s="116"/>
      <c r="L33" s="168"/>
      <c r="M33" s="234"/>
      <c r="N33" s="199"/>
      <c r="O33" s="19"/>
    </row>
    <row r="34" spans="1:17" x14ac:dyDescent="0.25">
      <c r="A34" s="19"/>
      <c r="B34" s="20"/>
      <c r="C34" s="19"/>
      <c r="D34" s="203"/>
      <c r="E34" s="19"/>
      <c r="F34" s="122"/>
      <c r="G34" s="16"/>
      <c r="H34" s="35"/>
      <c r="I34" s="122"/>
      <c r="J34" s="122"/>
      <c r="K34" s="122"/>
      <c r="L34" s="133"/>
      <c r="M34" s="234"/>
      <c r="N34" s="199"/>
      <c r="O34" s="19"/>
    </row>
    <row r="35" spans="1:17" x14ac:dyDescent="0.25">
      <c r="A35" s="19"/>
      <c r="B35" s="47" t="s">
        <v>142</v>
      </c>
      <c r="C35" s="37" t="s">
        <v>67</v>
      </c>
      <c r="D35" s="16">
        <f>D12+D24</f>
        <v>679637.01800213428</v>
      </c>
      <c r="E35" s="43"/>
      <c r="F35" s="122">
        <f>F12+F24</f>
        <v>22721155.050000001</v>
      </c>
      <c r="G35" s="16"/>
      <c r="H35" s="43"/>
      <c r="I35" s="122">
        <f>I12+I24</f>
        <v>23883728.800000001</v>
      </c>
      <c r="J35" s="122"/>
      <c r="K35" s="122">
        <f>I35-F35</f>
        <v>1162573.75</v>
      </c>
      <c r="L35" s="133"/>
      <c r="M35" s="234"/>
      <c r="N35" s="199"/>
      <c r="O35" s="19"/>
    </row>
    <row r="36" spans="1:17" x14ac:dyDescent="0.25">
      <c r="A36" s="19"/>
      <c r="B36" s="20" t="s">
        <v>82</v>
      </c>
      <c r="C36" s="19" t="s">
        <v>10</v>
      </c>
      <c r="D36" s="16">
        <f>D13+D25</f>
        <v>214593771.22299999</v>
      </c>
      <c r="E36" s="42"/>
      <c r="F36" s="122">
        <f>F13+F25+F26</f>
        <v>65723510.980000004</v>
      </c>
      <c r="G36" s="16"/>
      <c r="H36" s="42"/>
      <c r="I36" s="122">
        <f>I13+I25+I14</f>
        <v>70989563.650000006</v>
      </c>
      <c r="J36" s="122"/>
      <c r="K36" s="122">
        <f>I36-F36</f>
        <v>5266052.6700000018</v>
      </c>
      <c r="L36" s="133"/>
      <c r="M36" s="234"/>
      <c r="N36" s="199"/>
      <c r="O36" s="19"/>
    </row>
    <row r="37" spans="1:17" x14ac:dyDescent="0.25">
      <c r="A37" s="19"/>
      <c r="B37" s="134" t="s">
        <v>184</v>
      </c>
      <c r="C37" s="23"/>
      <c r="D37" s="16"/>
      <c r="E37" s="35"/>
      <c r="F37" s="116">
        <f>SUM(F35:F36)</f>
        <v>88444666.030000001</v>
      </c>
      <c r="G37" s="16"/>
      <c r="H37" s="16"/>
      <c r="I37" s="116">
        <f>SUM(I35:I36)</f>
        <v>94873292.450000003</v>
      </c>
      <c r="J37" s="122"/>
      <c r="K37" s="116">
        <f>SUM(K35:K36)</f>
        <v>6428626.4200000018</v>
      </c>
      <c r="L37" s="168">
        <f>ROUND(K37/F37,5)</f>
        <v>7.2690000000000005E-2</v>
      </c>
      <c r="M37" s="234"/>
      <c r="N37" s="199"/>
      <c r="O37" s="19"/>
    </row>
    <row r="38" spans="1:17" x14ac:dyDescent="0.25">
      <c r="A38" s="19"/>
      <c r="B38" s="20"/>
      <c r="C38" s="19"/>
      <c r="D38" s="35"/>
      <c r="E38" s="35"/>
      <c r="F38" s="122"/>
      <c r="G38" s="16"/>
      <c r="H38" s="16"/>
      <c r="I38" s="122"/>
      <c r="J38" s="122"/>
      <c r="K38" s="122"/>
      <c r="L38" s="133"/>
      <c r="M38" s="234"/>
      <c r="N38" s="199"/>
      <c r="O38" s="19"/>
    </row>
    <row r="39" spans="1:17" x14ac:dyDescent="0.25">
      <c r="A39" s="19"/>
      <c r="B39" s="20"/>
      <c r="C39" s="19"/>
      <c r="D39" s="35"/>
      <c r="E39" s="35"/>
      <c r="F39" s="122"/>
      <c r="G39" s="16"/>
      <c r="H39" s="16"/>
      <c r="I39" s="122"/>
      <c r="J39" s="122"/>
      <c r="K39" s="122"/>
      <c r="L39" s="133"/>
      <c r="M39" s="234"/>
      <c r="N39" s="199"/>
      <c r="O39" s="19"/>
    </row>
    <row r="40" spans="1:17" x14ac:dyDescent="0.25">
      <c r="A40" s="19"/>
      <c r="B40" s="142" t="s">
        <v>145</v>
      </c>
      <c r="C40" s="19" t="s">
        <v>10</v>
      </c>
      <c r="D40" s="16">
        <f>D36</f>
        <v>214593771.22299999</v>
      </c>
      <c r="E40" s="42"/>
      <c r="F40" s="122">
        <f>F17+F29</f>
        <v>88240148.940744311</v>
      </c>
      <c r="G40" s="35"/>
      <c r="H40" s="42"/>
      <c r="I40" s="122">
        <f>I17+I29</f>
        <v>87220937.211852565</v>
      </c>
      <c r="J40" s="122"/>
      <c r="K40" s="150">
        <f>I40-F40</f>
        <v>-1019211.7288917452</v>
      </c>
      <c r="L40" s="153">
        <f>ROUND(K40/F40,5)</f>
        <v>-1.155E-2</v>
      </c>
      <c r="M40" s="234"/>
      <c r="N40" s="199"/>
      <c r="O40" s="19"/>
    </row>
    <row r="41" spans="1:17" x14ac:dyDescent="0.25">
      <c r="A41" s="19"/>
      <c r="B41" s="21" t="s">
        <v>26</v>
      </c>
      <c r="C41" s="19"/>
      <c r="D41" s="35"/>
      <c r="E41" s="19"/>
      <c r="F41" s="116">
        <f>F40+F37</f>
        <v>176684814.97074431</v>
      </c>
      <c r="G41" s="239"/>
      <c r="H41" s="242"/>
      <c r="I41" s="116">
        <f>I40+I37</f>
        <v>182094229.66185257</v>
      </c>
      <c r="J41" s="122"/>
      <c r="K41" s="116">
        <f>K37+K40</f>
        <v>5409414.6911082566</v>
      </c>
      <c r="L41" s="168">
        <f>ROUND(K41/F41,5)</f>
        <v>3.0620000000000001E-2</v>
      </c>
      <c r="M41" s="234"/>
      <c r="N41" s="199"/>
      <c r="O41" s="19"/>
    </row>
    <row r="42" spans="1:17" x14ac:dyDescent="0.25">
      <c r="A42" s="19"/>
      <c r="B42" s="147"/>
      <c r="C42" s="243"/>
      <c r="D42" s="244"/>
      <c r="E42" s="107"/>
      <c r="F42" s="245"/>
      <c r="G42" s="244"/>
      <c r="H42" s="246"/>
      <c r="I42" s="161"/>
      <c r="J42" s="150"/>
      <c r="K42" s="150"/>
      <c r="L42" s="153"/>
      <c r="M42" s="234"/>
      <c r="N42" s="199"/>
      <c r="O42" s="19"/>
    </row>
    <row r="43" spans="1:17" x14ac:dyDescent="0.25">
      <c r="A43" s="19"/>
      <c r="B43" s="19"/>
      <c r="C43" s="19"/>
      <c r="D43" s="35"/>
      <c r="E43" s="19"/>
      <c r="F43" s="123"/>
      <c r="G43" s="239"/>
      <c r="H43" s="242"/>
      <c r="I43" s="123"/>
      <c r="J43" s="123"/>
      <c r="K43" s="122"/>
      <c r="L43" s="158"/>
      <c r="M43" s="234"/>
      <c r="N43" s="199"/>
      <c r="O43" s="19"/>
    </row>
    <row r="44" spans="1:17" x14ac:dyDescent="0.25">
      <c r="A44" s="19"/>
      <c r="B44" s="19"/>
      <c r="C44" s="19"/>
      <c r="D44" s="35"/>
      <c r="E44" s="19"/>
      <c r="F44" s="123"/>
      <c r="G44" s="239"/>
      <c r="H44" s="242"/>
      <c r="I44" s="123"/>
      <c r="J44" s="123"/>
      <c r="K44" s="122"/>
      <c r="L44" s="158"/>
      <c r="M44" s="234"/>
      <c r="N44" s="199"/>
    </row>
    <row r="45" spans="1:17" x14ac:dyDescent="0.25">
      <c r="B45" s="40" t="s">
        <v>138</v>
      </c>
      <c r="C45" s="22"/>
      <c r="D45" s="233"/>
      <c r="E45" s="232"/>
      <c r="F45" s="116"/>
      <c r="G45" s="233"/>
      <c r="H45" s="233"/>
      <c r="I45" s="116"/>
      <c r="J45" s="116"/>
      <c r="K45" s="116"/>
      <c r="L45" s="168"/>
      <c r="M45" s="234"/>
      <c r="N45" s="199"/>
      <c r="O45" s="392" t="s">
        <v>193</v>
      </c>
    </row>
    <row r="46" spans="1:17" x14ac:dyDescent="0.25">
      <c r="B46" s="41"/>
      <c r="C46" s="19"/>
      <c r="D46" s="35"/>
      <c r="E46" s="35"/>
      <c r="F46" s="122"/>
      <c r="G46" s="112"/>
      <c r="H46" s="35"/>
      <c r="I46" s="122"/>
      <c r="J46" s="122"/>
      <c r="K46" s="122"/>
      <c r="L46" s="133"/>
      <c r="M46" s="234"/>
      <c r="N46" s="247"/>
      <c r="O46" s="171">
        <f>'JAP-24 - Page 1'!J15</f>
        <v>654525.32762593997</v>
      </c>
      <c r="Q46" s="127">
        <f>H47/E47-1</f>
        <v>2.3638592190509566E-2</v>
      </c>
    </row>
    <row r="47" spans="1:17" x14ac:dyDescent="0.25">
      <c r="B47" s="47" t="s">
        <v>142</v>
      </c>
      <c r="C47" s="37" t="s">
        <v>67</v>
      </c>
      <c r="D47" s="16">
        <v>15596.105928853754</v>
      </c>
      <c r="E47" s="43">
        <v>114.22</v>
      </c>
      <c r="F47" s="122">
        <f>ROUND(D47*E47,2)</f>
        <v>1781387.22</v>
      </c>
      <c r="G47" s="16"/>
      <c r="H47" s="235">
        <f>ROUND(E47*(1+$O$52),2)</f>
        <v>116.92</v>
      </c>
      <c r="I47" s="122">
        <f>ROUND(D47*H47,2)</f>
        <v>1823496.71</v>
      </c>
      <c r="J47" s="122"/>
      <c r="K47" s="122">
        <f>I47-F47</f>
        <v>42109.489999999991</v>
      </c>
      <c r="L47" s="133"/>
      <c r="M47" s="234"/>
      <c r="N47" s="247"/>
      <c r="O47" s="125" t="s">
        <v>118</v>
      </c>
      <c r="Q47" s="127">
        <f>H48/E48-1</f>
        <v>2.372145384367963E-2</v>
      </c>
    </row>
    <row r="48" spans="1:17" x14ac:dyDescent="0.25">
      <c r="B48" s="41" t="s">
        <v>11</v>
      </c>
      <c r="C48" s="37" t="s">
        <v>67</v>
      </c>
      <c r="D48" s="16">
        <f>D47</f>
        <v>15596.105928853754</v>
      </c>
      <c r="E48" s="43">
        <v>124.36</v>
      </c>
      <c r="F48" s="123">
        <f>D48*E48</f>
        <v>1939531.7333122529</v>
      </c>
      <c r="G48" s="16"/>
      <c r="H48" s="43">
        <f>ROUND(+H53*900,2)</f>
        <v>127.31</v>
      </c>
      <c r="I48" s="123">
        <f>ROUND(D48*H48,2)</f>
        <v>1985540.25</v>
      </c>
      <c r="J48" s="123"/>
      <c r="K48" s="122">
        <f>I48-F48</f>
        <v>46008.516687747091</v>
      </c>
      <c r="L48" s="181"/>
      <c r="M48" s="234"/>
      <c r="N48" s="248"/>
      <c r="O48" s="171">
        <f>K57+K79-O46</f>
        <v>-65.111486814101227</v>
      </c>
      <c r="Q48" s="127">
        <f>H49/E49-1</f>
        <v>1.7391304347826209E-2</v>
      </c>
    </row>
    <row r="49" spans="1:17" x14ac:dyDescent="0.25">
      <c r="B49" s="41" t="s">
        <v>24</v>
      </c>
      <c r="C49" s="19" t="s">
        <v>74</v>
      </c>
      <c r="D49" s="16">
        <v>3164797.3606060613</v>
      </c>
      <c r="E49" s="43">
        <v>1.1499999999999999</v>
      </c>
      <c r="F49" s="123">
        <f>ROUND(D49*E49,2)</f>
        <v>3639516.96</v>
      </c>
      <c r="G49" s="16"/>
      <c r="H49" s="43">
        <v>1.17</v>
      </c>
      <c r="I49" s="123">
        <f>ROUND(D49*H49,2)</f>
        <v>3702812.91</v>
      </c>
      <c r="J49" s="123"/>
      <c r="K49" s="122">
        <f>I49-F49</f>
        <v>63295.950000000186</v>
      </c>
      <c r="L49" s="181"/>
      <c r="M49" s="234"/>
      <c r="N49" s="228"/>
      <c r="O49" s="249"/>
    </row>
    <row r="50" spans="1:17" x14ac:dyDescent="0.25">
      <c r="B50" s="41"/>
      <c r="C50" s="19"/>
      <c r="D50" s="16"/>
      <c r="E50" s="43"/>
      <c r="F50" s="113"/>
      <c r="G50" s="16"/>
      <c r="H50" s="43"/>
      <c r="I50" s="123"/>
      <c r="J50" s="123"/>
      <c r="K50" s="183"/>
      <c r="L50" s="181"/>
      <c r="M50" s="234"/>
      <c r="N50" s="228"/>
      <c r="O50" s="129"/>
      <c r="P50" s="24"/>
      <c r="Q50" s="250"/>
    </row>
    <row r="51" spans="1:17" x14ac:dyDescent="0.25">
      <c r="B51" s="41" t="s">
        <v>84</v>
      </c>
      <c r="C51" s="19"/>
      <c r="D51" s="16"/>
      <c r="E51" s="43"/>
      <c r="F51" s="123"/>
      <c r="G51" s="16"/>
      <c r="H51" s="43"/>
      <c r="I51" s="123"/>
      <c r="J51" s="123"/>
      <c r="K51" s="183"/>
      <c r="L51" s="181"/>
      <c r="M51" s="234"/>
      <c r="N51" s="228"/>
      <c r="O51" s="24"/>
      <c r="P51" s="24"/>
      <c r="Q51" s="251"/>
    </row>
    <row r="52" spans="1:17" x14ac:dyDescent="0.25">
      <c r="B52" s="41" t="s">
        <v>162</v>
      </c>
      <c r="C52" s="19" t="s">
        <v>10</v>
      </c>
      <c r="D52" s="16">
        <f>12217112+664994</f>
        <v>12882106</v>
      </c>
      <c r="E52" s="42">
        <v>0.13818</v>
      </c>
      <c r="F52" s="122"/>
      <c r="G52" s="16"/>
      <c r="H52" s="42">
        <f>H53</f>
        <v>0.14144999999999999</v>
      </c>
      <c r="I52" s="122" t="s">
        <v>133</v>
      </c>
      <c r="J52" s="122"/>
      <c r="K52" s="122"/>
      <c r="L52" s="133"/>
      <c r="M52" s="234"/>
      <c r="N52" s="199"/>
      <c r="O52" s="173">
        <v>2.368E-2</v>
      </c>
      <c r="P52" s="26"/>
      <c r="Q52" s="127">
        <f>H53/E53-1</f>
        <v>2.3664785062961213E-2</v>
      </c>
    </row>
    <row r="53" spans="1:17" x14ac:dyDescent="0.25">
      <c r="B53" s="41" t="s">
        <v>156</v>
      </c>
      <c r="C53" s="19" t="s">
        <v>10</v>
      </c>
      <c r="D53" s="16">
        <f>23238026+2158630</f>
        <v>25396656</v>
      </c>
      <c r="E53" s="42">
        <v>0.13818</v>
      </c>
      <c r="F53" s="122">
        <f>ROUND(D53*E53,2)</f>
        <v>3509309.93</v>
      </c>
      <c r="G53" s="16"/>
      <c r="H53" s="42">
        <f>ROUND(E53*(1+$O$52),5)</f>
        <v>0.14144999999999999</v>
      </c>
      <c r="I53" s="122">
        <f>ROUND(D53*H53,2)</f>
        <v>3592356.99</v>
      </c>
      <c r="J53" s="122"/>
      <c r="K53" s="122">
        <f>I53-F53</f>
        <v>83047.060000000056</v>
      </c>
      <c r="L53" s="133"/>
      <c r="M53" s="234"/>
      <c r="N53" s="199"/>
      <c r="O53" s="252"/>
      <c r="P53" s="26"/>
      <c r="Q53" s="127">
        <f>H54/E54-1</f>
        <v>2.3644700170817323E-2</v>
      </c>
    </row>
    <row r="54" spans="1:17" x14ac:dyDescent="0.25">
      <c r="B54" s="41" t="s">
        <v>12</v>
      </c>
      <c r="C54" s="19" t="s">
        <v>10</v>
      </c>
      <c r="D54" s="16">
        <f>9651857+1712123</f>
        <v>11363980</v>
      </c>
      <c r="E54" s="42">
        <v>0.11123</v>
      </c>
      <c r="F54" s="122">
        <f>ROUND(D54*E54,2)</f>
        <v>1264015.5</v>
      </c>
      <c r="G54" s="16"/>
      <c r="H54" s="42">
        <f>ROUND(E54*(1+$O$52),5)</f>
        <v>0.11386</v>
      </c>
      <c r="I54" s="122">
        <f>ROUND(D54*H54,2)</f>
        <v>1293902.76</v>
      </c>
      <c r="J54" s="122"/>
      <c r="K54" s="122">
        <f>I54-F54</f>
        <v>29887.260000000009</v>
      </c>
      <c r="L54" s="133"/>
      <c r="M54" s="234"/>
      <c r="N54" s="199"/>
      <c r="O54" s="146"/>
      <c r="P54" s="26"/>
      <c r="Q54" s="251"/>
    </row>
    <row r="55" spans="1:17" s="24" customFormat="1" x14ac:dyDescent="0.25">
      <c r="A55" s="35"/>
      <c r="B55" s="47" t="s">
        <v>121</v>
      </c>
      <c r="C55" s="23"/>
      <c r="D55" s="44">
        <f>SUM(D52:D54)</f>
        <v>49642742</v>
      </c>
      <c r="E55" s="203"/>
      <c r="F55" s="123"/>
      <c r="G55" s="16"/>
      <c r="H55" s="16"/>
      <c r="I55" s="35"/>
      <c r="J55" s="35"/>
      <c r="K55" s="35"/>
      <c r="L55" s="162"/>
      <c r="M55" s="145"/>
      <c r="N55" s="253"/>
      <c r="O55" s="35"/>
      <c r="Q55" s="127"/>
    </row>
    <row r="56" spans="1:17" s="24" customFormat="1" x14ac:dyDescent="0.25">
      <c r="A56" s="35"/>
      <c r="B56" s="47" t="s">
        <v>66</v>
      </c>
      <c r="C56" s="19" t="s">
        <v>10</v>
      </c>
      <c r="D56" s="16">
        <f>D55</f>
        <v>49642742</v>
      </c>
      <c r="E56" s="254">
        <v>0</v>
      </c>
      <c r="F56" s="123">
        <f>D56*E56</f>
        <v>0</v>
      </c>
      <c r="G56" s="16"/>
      <c r="H56" s="255">
        <v>6.7099999999999998E-3</v>
      </c>
      <c r="I56" s="123">
        <f>D56*H56</f>
        <v>333102.79881999997</v>
      </c>
      <c r="J56" s="123"/>
      <c r="K56" s="122">
        <f>I56-F56</f>
        <v>333102.79881999997</v>
      </c>
      <c r="L56" s="133"/>
      <c r="M56" s="145"/>
      <c r="N56" s="253"/>
      <c r="O56" s="35"/>
      <c r="Q56" s="250"/>
    </row>
    <row r="57" spans="1:17" x14ac:dyDescent="0.25">
      <c r="B57" s="134" t="s">
        <v>184</v>
      </c>
      <c r="C57" s="23"/>
      <c r="D57" s="44"/>
      <c r="E57" s="203"/>
      <c r="F57" s="135">
        <f>SUM(F47:F56)</f>
        <v>12133761.343312252</v>
      </c>
      <c r="G57" s="16"/>
      <c r="H57" s="16"/>
      <c r="I57" s="135">
        <f>SUM(I47:I49,I53:I56)</f>
        <v>12731212.418819999</v>
      </c>
      <c r="J57" s="123"/>
      <c r="K57" s="135">
        <f>SUM(K47:K56)</f>
        <v>597451.07550774724</v>
      </c>
      <c r="L57" s="168">
        <f>ROUND(K57/F57,5)</f>
        <v>4.9239999999999999E-2</v>
      </c>
      <c r="M57" s="234"/>
      <c r="N57" s="199"/>
      <c r="O57" s="137"/>
      <c r="P57" s="54"/>
      <c r="Q57" s="138"/>
    </row>
    <row r="58" spans="1:17" x14ac:dyDescent="0.25">
      <c r="B58" s="47"/>
      <c r="C58" s="23"/>
      <c r="D58" s="16"/>
      <c r="E58" s="19"/>
      <c r="F58" s="122"/>
      <c r="G58" s="16"/>
      <c r="H58" s="16"/>
      <c r="I58" s="123"/>
      <c r="J58" s="123"/>
      <c r="K58" s="122"/>
      <c r="L58" s="133"/>
      <c r="M58" s="234"/>
      <c r="N58" s="199"/>
      <c r="O58" s="256"/>
      <c r="P58" s="54"/>
      <c r="Q58" s="138"/>
    </row>
    <row r="59" spans="1:17" x14ac:dyDescent="0.25">
      <c r="B59" s="142" t="s">
        <v>145</v>
      </c>
      <c r="C59" s="23"/>
      <c r="D59" s="35"/>
      <c r="E59" s="19"/>
      <c r="F59" s="122"/>
      <c r="G59" s="16"/>
      <c r="H59" s="16"/>
      <c r="I59" s="123"/>
      <c r="J59" s="123"/>
      <c r="K59" s="122"/>
      <c r="L59" s="133"/>
      <c r="M59" s="234"/>
      <c r="N59" s="199"/>
      <c r="O59" s="24"/>
      <c r="P59" s="24"/>
      <c r="Q59" s="251"/>
    </row>
    <row r="60" spans="1:17" x14ac:dyDescent="0.25">
      <c r="B60" s="41" t="s">
        <v>85</v>
      </c>
      <c r="C60" s="19" t="s">
        <v>10</v>
      </c>
      <c r="D60" s="16">
        <f>D55</f>
        <v>49642742</v>
      </c>
      <c r="E60" s="42">
        <v>0.32683000000000001</v>
      </c>
      <c r="F60" s="122">
        <f>E60*D60</f>
        <v>16224737.367860001</v>
      </c>
      <c r="G60" s="35"/>
      <c r="H60" s="42">
        <v>0.39878999999999998</v>
      </c>
      <c r="I60" s="122">
        <f>H60*D60</f>
        <v>19797029.082179997</v>
      </c>
      <c r="J60" s="122"/>
      <c r="K60" s="122">
        <f>I60-F60</f>
        <v>3572291.7143199965</v>
      </c>
      <c r="L60" s="133"/>
      <c r="M60" s="234"/>
      <c r="N60" s="19"/>
      <c r="O60" s="24"/>
      <c r="P60" s="257"/>
      <c r="Q60" s="251"/>
    </row>
    <row r="61" spans="1:17" x14ac:dyDescent="0.25">
      <c r="B61" s="41" t="s">
        <v>24</v>
      </c>
      <c r="C61" s="19" t="s">
        <v>74</v>
      </c>
      <c r="D61" s="16">
        <f>D49</f>
        <v>3164797.3606060613</v>
      </c>
      <c r="E61" s="43">
        <v>1.05</v>
      </c>
      <c r="F61" s="122">
        <f>E61*D61</f>
        <v>3323037.2286363645</v>
      </c>
      <c r="G61" s="35"/>
      <c r="H61" s="43">
        <v>1.05</v>
      </c>
      <c r="I61" s="122">
        <f>H61*D61</f>
        <v>3323037.2286363645</v>
      </c>
      <c r="J61" s="122"/>
      <c r="K61" s="122">
        <f>I61-F61</f>
        <v>0</v>
      </c>
      <c r="L61" s="133"/>
      <c r="M61" s="234"/>
      <c r="N61" s="199"/>
      <c r="O61" s="256"/>
      <c r="P61" s="54"/>
      <c r="Q61" s="251"/>
    </row>
    <row r="62" spans="1:17" x14ac:dyDescent="0.25">
      <c r="B62" s="21" t="s">
        <v>185</v>
      </c>
      <c r="C62" s="23"/>
      <c r="D62" s="35"/>
      <c r="E62" s="91"/>
      <c r="F62" s="135">
        <f>SUM(F60:F61)</f>
        <v>19547774.596496366</v>
      </c>
      <c r="G62" s="35"/>
      <c r="H62" s="43"/>
      <c r="I62" s="135">
        <f>SUM(I60:I61)</f>
        <v>23120066.310816363</v>
      </c>
      <c r="J62" s="122"/>
      <c r="K62" s="135">
        <f>SUM(K60:K61)</f>
        <v>3572291.7143199965</v>
      </c>
      <c r="L62" s="168">
        <f>ROUND(K62/F62,5)</f>
        <v>0.18275</v>
      </c>
      <c r="M62" s="234"/>
      <c r="N62" s="199"/>
      <c r="O62" s="35"/>
      <c r="P62" s="24"/>
      <c r="Q62" s="250"/>
    </row>
    <row r="63" spans="1:17" x14ac:dyDescent="0.25">
      <c r="B63" s="41"/>
      <c r="C63" s="19"/>
      <c r="D63" s="35"/>
      <c r="E63" s="19"/>
      <c r="F63" s="122"/>
      <c r="G63" s="35"/>
      <c r="H63" s="35"/>
      <c r="I63" s="123"/>
      <c r="J63" s="123"/>
      <c r="K63" s="122"/>
      <c r="L63" s="133"/>
      <c r="M63" s="234"/>
      <c r="N63" s="199"/>
      <c r="O63" s="146"/>
      <c r="P63" s="24"/>
      <c r="Q63" s="251"/>
    </row>
    <row r="64" spans="1:17" x14ac:dyDescent="0.25">
      <c r="B64" s="47" t="s">
        <v>26</v>
      </c>
      <c r="C64" s="23"/>
      <c r="D64" s="35"/>
      <c r="E64" s="16"/>
      <c r="F64" s="135">
        <f>+F62+F57</f>
        <v>31681535.939808618</v>
      </c>
      <c r="G64" s="16"/>
      <c r="H64" s="16"/>
      <c r="I64" s="135">
        <f>+I62+I57</f>
        <v>35851278.729636364</v>
      </c>
      <c r="J64" s="123"/>
      <c r="K64" s="135">
        <f>K62+K57</f>
        <v>4169742.7898277435</v>
      </c>
      <c r="L64" s="168">
        <f>ROUND(K64/F64,5)</f>
        <v>0.13161</v>
      </c>
      <c r="M64" s="234"/>
      <c r="N64" s="199"/>
      <c r="O64" s="35"/>
      <c r="P64" s="24"/>
      <c r="Q64" s="250"/>
    </row>
    <row r="65" spans="1:17" s="24" customFormat="1" x14ac:dyDescent="0.25">
      <c r="B65" s="258"/>
      <c r="C65" s="244"/>
      <c r="D65" s="244"/>
      <c r="E65" s="244"/>
      <c r="F65" s="161"/>
      <c r="G65" s="244"/>
      <c r="H65" s="244"/>
      <c r="I65" s="245"/>
      <c r="J65" s="245"/>
      <c r="K65" s="161"/>
      <c r="L65" s="167"/>
      <c r="M65" s="145"/>
      <c r="N65" s="253"/>
      <c r="O65" s="35"/>
      <c r="Q65" s="250"/>
    </row>
    <row r="66" spans="1:17" s="24" customFormat="1" x14ac:dyDescent="0.25">
      <c r="A66" s="35"/>
      <c r="B66" s="35"/>
      <c r="C66" s="35"/>
      <c r="D66" s="35"/>
      <c r="E66" s="35"/>
      <c r="F66" s="146"/>
      <c r="G66" s="35"/>
      <c r="H66" s="35"/>
      <c r="I66" s="187"/>
      <c r="J66" s="187"/>
      <c r="K66" s="146"/>
      <c r="L66" s="155"/>
      <c r="M66" s="145"/>
      <c r="N66" s="253"/>
      <c r="O66" s="35"/>
      <c r="Q66" s="250"/>
    </row>
    <row r="67" spans="1:17" s="24" customFormat="1" x14ac:dyDescent="0.25">
      <c r="A67" s="35"/>
      <c r="B67" s="40" t="s">
        <v>164</v>
      </c>
      <c r="C67" s="22"/>
      <c r="D67" s="233"/>
      <c r="E67" s="232"/>
      <c r="F67" s="116"/>
      <c r="G67" s="233"/>
      <c r="H67" s="233"/>
      <c r="I67" s="116"/>
      <c r="J67" s="116"/>
      <c r="K67" s="116"/>
      <c r="L67" s="168"/>
      <c r="M67" s="145"/>
      <c r="N67" s="253"/>
      <c r="O67" s="35"/>
      <c r="Q67" s="250"/>
    </row>
    <row r="68" spans="1:17" s="24" customFormat="1" x14ac:dyDescent="0.25">
      <c r="A68" s="35"/>
      <c r="B68" s="41"/>
      <c r="C68" s="19"/>
      <c r="D68" s="35"/>
      <c r="E68" s="35"/>
      <c r="F68" s="122"/>
      <c r="G68" s="112"/>
      <c r="H68" s="35"/>
      <c r="I68" s="122"/>
      <c r="J68" s="122"/>
      <c r="K68" s="122"/>
      <c r="L68" s="133"/>
      <c r="M68" s="145"/>
      <c r="N68" s="253"/>
      <c r="O68" s="35"/>
      <c r="Q68" s="127">
        <f>H69/E69-1</f>
        <v>2.3674951764839358E-2</v>
      </c>
    </row>
    <row r="69" spans="1:17" s="24" customFormat="1" x14ac:dyDescent="0.25">
      <c r="A69" s="35"/>
      <c r="B69" s="47" t="s">
        <v>142</v>
      </c>
      <c r="C69" s="37" t="s">
        <v>67</v>
      </c>
      <c r="D69" s="16">
        <v>803.13227055340474</v>
      </c>
      <c r="E69" s="43">
        <v>440.55</v>
      </c>
      <c r="F69" s="122">
        <f>ROUND(D69*E69,2)</f>
        <v>353819.92</v>
      </c>
      <c r="G69" s="16"/>
      <c r="H69" s="235">
        <f>ROUND(E69*(1+$O$52),2)</f>
        <v>450.98</v>
      </c>
      <c r="I69" s="122">
        <f>ROUND(D69*H69,2)</f>
        <v>362196.59</v>
      </c>
      <c r="J69" s="122"/>
      <c r="K69" s="122">
        <f>I69-F69</f>
        <v>8376.6700000000419</v>
      </c>
      <c r="L69" s="133"/>
      <c r="M69" s="145"/>
      <c r="N69" s="253"/>
      <c r="O69" s="37"/>
      <c r="Q69" s="127">
        <f>H70/E70-1</f>
        <v>2.372145384367963E-2</v>
      </c>
    </row>
    <row r="70" spans="1:17" s="24" customFormat="1" x14ac:dyDescent="0.25">
      <c r="A70" s="35"/>
      <c r="B70" s="41" t="s">
        <v>11</v>
      </c>
      <c r="C70" s="37" t="s">
        <v>67</v>
      </c>
      <c r="D70" s="16">
        <f>D69</f>
        <v>803.13227055340474</v>
      </c>
      <c r="E70" s="43">
        <v>124.36</v>
      </c>
      <c r="F70" s="123">
        <f>D70*E70</f>
        <v>99877.529166021413</v>
      </c>
      <c r="G70" s="16"/>
      <c r="H70" s="43">
        <f>H48</f>
        <v>127.31</v>
      </c>
      <c r="I70" s="123">
        <f>ROUND(D70*H70,2)</f>
        <v>102246.77</v>
      </c>
      <c r="J70" s="123"/>
      <c r="K70" s="122">
        <f>I70-F70</f>
        <v>2369.2408339785907</v>
      </c>
      <c r="L70" s="181"/>
      <c r="M70" s="145"/>
      <c r="N70" s="253"/>
      <c r="O70" s="35"/>
      <c r="Q70" s="127">
        <f>H71/E71-1</f>
        <v>1.7391304347826209E-2</v>
      </c>
    </row>
    <row r="71" spans="1:17" s="24" customFormat="1" x14ac:dyDescent="0.25">
      <c r="A71" s="35"/>
      <c r="B71" s="41" t="s">
        <v>24</v>
      </c>
      <c r="C71" s="19" t="s">
        <v>74</v>
      </c>
      <c r="D71" s="16">
        <v>357498.60399999999</v>
      </c>
      <c r="E71" s="43">
        <v>1.1499999999999999</v>
      </c>
      <c r="F71" s="123">
        <f>ROUND(D71*E71,2)</f>
        <v>411123.39</v>
      </c>
      <c r="G71" s="16"/>
      <c r="H71" s="43">
        <f>H49</f>
        <v>1.17</v>
      </c>
      <c r="I71" s="123">
        <f>ROUND(D71*H71,2)</f>
        <v>418273.37</v>
      </c>
      <c r="J71" s="35"/>
      <c r="K71" s="122">
        <f>I71-F71</f>
        <v>7149.9799999999814</v>
      </c>
      <c r="L71" s="181"/>
      <c r="M71" s="145"/>
      <c r="N71" s="253"/>
      <c r="O71" s="35"/>
      <c r="Q71" s="250"/>
    </row>
    <row r="72" spans="1:17" s="24" customFormat="1" x14ac:dyDescent="0.25">
      <c r="A72" s="35"/>
      <c r="B72" s="41"/>
      <c r="C72" s="19"/>
      <c r="D72" s="16"/>
      <c r="E72" s="43"/>
      <c r="F72" s="123"/>
      <c r="G72" s="16"/>
      <c r="H72" s="43"/>
      <c r="I72" s="123"/>
      <c r="J72" s="123"/>
      <c r="K72" s="183"/>
      <c r="L72" s="181"/>
      <c r="M72" s="145"/>
      <c r="N72" s="253"/>
      <c r="O72" s="35"/>
      <c r="Q72" s="250"/>
    </row>
    <row r="73" spans="1:17" s="24" customFormat="1" x14ac:dyDescent="0.25">
      <c r="A73" s="35"/>
      <c r="B73" s="41" t="s">
        <v>84</v>
      </c>
      <c r="C73" s="19"/>
      <c r="D73" s="16"/>
      <c r="E73" s="43"/>
      <c r="F73" s="122"/>
      <c r="G73" s="16"/>
      <c r="H73" s="43"/>
      <c r="I73" s="123"/>
      <c r="J73" s="123"/>
      <c r="K73" s="183"/>
      <c r="L73" s="181"/>
      <c r="M73" s="145"/>
      <c r="N73" s="253"/>
      <c r="O73" s="35"/>
      <c r="Q73" s="127">
        <f>H74/E74-1</f>
        <v>2.3664785062961213E-2</v>
      </c>
    </row>
    <row r="74" spans="1:17" s="24" customFormat="1" x14ac:dyDescent="0.25">
      <c r="A74" s="35"/>
      <c r="B74" s="41" t="s">
        <v>162</v>
      </c>
      <c r="C74" s="19" t="s">
        <v>10</v>
      </c>
      <c r="D74" s="16">
        <f>560514+125569</f>
        <v>686083</v>
      </c>
      <c r="E74" s="42">
        <v>0.13818</v>
      </c>
      <c r="F74" s="122" t="s">
        <v>133</v>
      </c>
      <c r="G74" s="16"/>
      <c r="H74" s="42">
        <f>H52</f>
        <v>0.14144999999999999</v>
      </c>
      <c r="I74" s="122" t="s">
        <v>133</v>
      </c>
      <c r="J74" s="122"/>
      <c r="K74" s="122"/>
      <c r="L74" s="133"/>
      <c r="M74" s="145"/>
      <c r="N74" s="253"/>
      <c r="O74" s="35"/>
      <c r="Q74" s="127">
        <f>H75/E75-1</f>
        <v>2.3664785062961213E-2</v>
      </c>
    </row>
    <row r="75" spans="1:17" s="24" customFormat="1" x14ac:dyDescent="0.25">
      <c r="A75" s="35"/>
      <c r="B75" s="41" t="s">
        <v>156</v>
      </c>
      <c r="C75" s="19" t="s">
        <v>10</v>
      </c>
      <c r="D75" s="16">
        <f>1804914.59+525677.9</f>
        <v>2330592.4900000002</v>
      </c>
      <c r="E75" s="42">
        <v>0.13818</v>
      </c>
      <c r="F75" s="122">
        <f>D75*E75</f>
        <v>322041.27026820002</v>
      </c>
      <c r="G75" s="16"/>
      <c r="H75" s="42">
        <f>H53</f>
        <v>0.14144999999999999</v>
      </c>
      <c r="I75" s="122">
        <f>H75*D75</f>
        <v>329662.30771050003</v>
      </c>
      <c r="J75" s="122"/>
      <c r="K75" s="122">
        <f>I75-F75</f>
        <v>7621.037442300003</v>
      </c>
      <c r="L75" s="133"/>
      <c r="M75" s="145"/>
      <c r="N75" s="253"/>
      <c r="O75" s="35"/>
      <c r="Q75" s="127">
        <f>H76/E76-1</f>
        <v>2.3644700170817323E-2</v>
      </c>
    </row>
    <row r="76" spans="1:17" s="24" customFormat="1" x14ac:dyDescent="0.25">
      <c r="A76" s="35"/>
      <c r="B76" s="41" t="s">
        <v>12</v>
      </c>
      <c r="C76" s="19" t="s">
        <v>10</v>
      </c>
      <c r="D76" s="16">
        <f>1188192+711101.2</f>
        <v>1899293.2</v>
      </c>
      <c r="E76" s="42">
        <v>0.11123</v>
      </c>
      <c r="F76" s="122">
        <f>D76*E76</f>
        <v>211258.38263599999</v>
      </c>
      <c r="G76" s="16"/>
      <c r="H76" s="42">
        <f>H54</f>
        <v>0.11386</v>
      </c>
      <c r="I76" s="122">
        <f>H76*D76</f>
        <v>216253.52375200001</v>
      </c>
      <c r="J76" s="122"/>
      <c r="K76" s="122">
        <f>I76-F76</f>
        <v>4995.1411160000134</v>
      </c>
      <c r="L76" s="133"/>
      <c r="M76" s="145"/>
      <c r="N76" s="253"/>
      <c r="O76" s="35"/>
      <c r="Q76" s="250"/>
    </row>
    <row r="77" spans="1:17" s="24" customFormat="1" x14ac:dyDescent="0.25">
      <c r="A77" s="35"/>
      <c r="B77" s="47" t="s">
        <v>121</v>
      </c>
      <c r="C77" s="23"/>
      <c r="D77" s="44">
        <f>SUM(D74:D76)</f>
        <v>4915968.6900000004</v>
      </c>
      <c r="E77" s="203"/>
      <c r="F77" s="123"/>
      <c r="G77" s="16"/>
      <c r="H77" s="16"/>
      <c r="I77" s="35"/>
      <c r="J77" s="35"/>
      <c r="K77" s="35"/>
      <c r="L77" s="162"/>
      <c r="M77" s="145"/>
      <c r="N77" s="253"/>
      <c r="O77" s="35"/>
      <c r="Q77" s="127"/>
    </row>
    <row r="78" spans="1:17" s="24" customFormat="1" x14ac:dyDescent="0.25">
      <c r="A78" s="35"/>
      <c r="B78" s="47" t="s">
        <v>66</v>
      </c>
      <c r="C78" s="19" t="s">
        <v>10</v>
      </c>
      <c r="D78" s="16">
        <f>D77</f>
        <v>4915968.6900000004</v>
      </c>
      <c r="E78" s="254">
        <v>-5.3899999999999998E-3</v>
      </c>
      <c r="F78" s="123">
        <f>D78*E78</f>
        <v>-26497.071239100002</v>
      </c>
      <c r="G78" s="16"/>
      <c r="H78" s="255">
        <v>0</v>
      </c>
      <c r="I78" s="123">
        <f>D78*H78</f>
        <v>0</v>
      </c>
      <c r="J78" s="123"/>
      <c r="K78" s="122">
        <f>I78-F78</f>
        <v>26497.071239100002</v>
      </c>
      <c r="L78" s="133"/>
      <c r="M78" s="145"/>
      <c r="N78" s="253"/>
      <c r="O78" s="35"/>
      <c r="Q78" s="250"/>
    </row>
    <row r="79" spans="1:17" s="24" customFormat="1" x14ac:dyDescent="0.25">
      <c r="A79" s="35"/>
      <c r="B79" s="134" t="s">
        <v>184</v>
      </c>
      <c r="C79" s="23"/>
      <c r="D79" s="16"/>
      <c r="E79" s="203"/>
      <c r="F79" s="135">
        <f>SUM(F69:F78)</f>
        <v>1371623.4208311213</v>
      </c>
      <c r="G79" s="16"/>
      <c r="H79" s="16"/>
      <c r="I79" s="135">
        <f>SUM(I69:I78)</f>
        <v>1428632.5614624999</v>
      </c>
      <c r="J79" s="123"/>
      <c r="K79" s="135">
        <f>SUM(K69:K78)</f>
        <v>57009.140631378628</v>
      </c>
      <c r="L79" s="168">
        <f>ROUND(K79/F79,5)</f>
        <v>4.156E-2</v>
      </c>
      <c r="M79" s="145"/>
      <c r="N79" s="253"/>
      <c r="O79" s="35"/>
      <c r="Q79" s="250"/>
    </row>
    <row r="80" spans="1:17" s="24" customFormat="1" x14ac:dyDescent="0.25">
      <c r="A80" s="35"/>
      <c r="B80" s="47"/>
      <c r="C80" s="23"/>
      <c r="D80" s="16"/>
      <c r="E80" s="203"/>
      <c r="F80" s="123"/>
      <c r="G80" s="16"/>
      <c r="H80" s="16"/>
      <c r="I80" s="123"/>
      <c r="J80" s="123"/>
      <c r="K80" s="122"/>
      <c r="L80" s="133"/>
      <c r="M80" s="145"/>
      <c r="N80" s="253"/>
      <c r="O80" s="39"/>
      <c r="P80" s="19"/>
      <c r="Q80" s="127"/>
    </row>
    <row r="81" spans="1:17" s="24" customFormat="1" x14ac:dyDescent="0.25">
      <c r="A81" s="35"/>
      <c r="B81" s="41" t="s">
        <v>120</v>
      </c>
      <c r="C81" s="19" t="s">
        <v>10</v>
      </c>
      <c r="D81" s="16">
        <f>D77</f>
        <v>4915968.6900000004</v>
      </c>
      <c r="E81" s="42">
        <v>6.9999999999999999E-4</v>
      </c>
      <c r="F81" s="122">
        <f>E81*D81</f>
        <v>3441.1780830000002</v>
      </c>
      <c r="G81" s="35"/>
      <c r="H81" s="42">
        <v>6.9999999999999999E-4</v>
      </c>
      <c r="I81" s="122">
        <f>H81*D81</f>
        <v>3441.1780830000002</v>
      </c>
      <c r="J81" s="122"/>
      <c r="K81" s="122">
        <f>I81-F81</f>
        <v>0</v>
      </c>
      <c r="L81" s="133"/>
      <c r="M81" s="145"/>
      <c r="N81" s="253"/>
      <c r="O81" s="122"/>
      <c r="P81" s="19"/>
      <c r="Q81" s="16"/>
    </row>
    <row r="82" spans="1:17" s="24" customFormat="1" x14ac:dyDescent="0.25">
      <c r="A82" s="35"/>
      <c r="B82" s="41" t="s">
        <v>26</v>
      </c>
      <c r="C82" s="19"/>
      <c r="D82" s="16"/>
      <c r="E82" s="42"/>
      <c r="F82" s="135">
        <f>F79+F81</f>
        <v>1375064.5989141213</v>
      </c>
      <c r="G82" s="35"/>
      <c r="H82" s="43"/>
      <c r="I82" s="135">
        <f>I79+SUM(I81:I81)</f>
        <v>1432073.7395454999</v>
      </c>
      <c r="J82" s="122"/>
      <c r="K82" s="135">
        <f>K79+SUM(K81:K81)</f>
        <v>57009.140631378628</v>
      </c>
      <c r="L82" s="168">
        <f>ROUND(K82/F82,5)</f>
        <v>4.1459999999999997E-2</v>
      </c>
      <c r="M82" s="145"/>
      <c r="N82" s="253"/>
      <c r="O82" s="146"/>
      <c r="P82" s="19"/>
      <c r="Q82" s="16"/>
    </row>
    <row r="83" spans="1:17" s="24" customFormat="1" x14ac:dyDescent="0.25">
      <c r="A83" s="35"/>
      <c r="B83" s="41"/>
      <c r="C83" s="23"/>
      <c r="D83" s="35"/>
      <c r="E83" s="91"/>
      <c r="F83" s="35"/>
      <c r="G83" s="35"/>
      <c r="H83" s="35"/>
      <c r="I83" s="146"/>
      <c r="J83" s="35"/>
      <c r="K83" s="35"/>
      <c r="L83" s="162"/>
      <c r="M83" s="145"/>
      <c r="N83" s="253"/>
      <c r="O83" s="39"/>
      <c r="P83" s="19"/>
      <c r="Q83" s="16"/>
    </row>
    <row r="84" spans="1:17" s="24" customFormat="1" x14ac:dyDescent="0.25">
      <c r="A84" s="35"/>
      <c r="B84" s="258"/>
      <c r="C84" s="244"/>
      <c r="D84" s="244"/>
      <c r="E84" s="244"/>
      <c r="F84" s="161"/>
      <c r="G84" s="244"/>
      <c r="H84" s="244"/>
      <c r="I84" s="245"/>
      <c r="J84" s="245"/>
      <c r="K84" s="161"/>
      <c r="L84" s="167"/>
      <c r="M84" s="145"/>
      <c r="N84" s="253"/>
      <c r="O84" s="39"/>
      <c r="P84" s="19"/>
      <c r="Q84" s="16"/>
    </row>
    <row r="85" spans="1:17" s="24" customFormat="1" x14ac:dyDescent="0.25">
      <c r="A85" s="35"/>
      <c r="B85" s="35"/>
      <c r="C85" s="35"/>
      <c r="D85" s="35"/>
      <c r="E85" s="35"/>
      <c r="F85" s="146"/>
      <c r="G85" s="35"/>
      <c r="H85" s="35"/>
      <c r="I85" s="187"/>
      <c r="J85" s="187"/>
      <c r="K85" s="146"/>
      <c r="L85" s="155"/>
      <c r="M85" s="145"/>
      <c r="N85" s="253"/>
      <c r="O85" s="39"/>
      <c r="P85" s="19"/>
      <c r="Q85" s="16"/>
    </row>
    <row r="86" spans="1:17" s="24" customFormat="1" x14ac:dyDescent="0.25">
      <c r="A86" s="35"/>
      <c r="B86" s="40" t="s">
        <v>140</v>
      </c>
      <c r="C86" s="22"/>
      <c r="D86" s="233"/>
      <c r="E86" s="232"/>
      <c r="F86" s="116"/>
      <c r="G86" s="233"/>
      <c r="H86" s="233"/>
      <c r="I86" s="116"/>
      <c r="J86" s="116"/>
      <c r="K86" s="116"/>
      <c r="L86" s="168"/>
      <c r="M86" s="145"/>
      <c r="N86" s="253"/>
      <c r="O86" s="39"/>
      <c r="P86" s="19"/>
      <c r="Q86" s="16"/>
    </row>
    <row r="87" spans="1:17" s="24" customFormat="1" x14ac:dyDescent="0.25">
      <c r="A87" s="35"/>
      <c r="B87" s="20"/>
      <c r="C87" s="19"/>
      <c r="D87" s="35"/>
      <c r="E87" s="35"/>
      <c r="F87" s="122"/>
      <c r="G87" s="112"/>
      <c r="H87" s="35"/>
      <c r="I87" s="122"/>
      <c r="J87" s="122"/>
      <c r="K87" s="122"/>
      <c r="L87" s="133"/>
      <c r="M87" s="145"/>
      <c r="N87" s="253"/>
      <c r="O87" s="39"/>
      <c r="P87" s="19"/>
      <c r="Q87" s="16"/>
    </row>
    <row r="88" spans="1:17" s="24" customFormat="1" x14ac:dyDescent="0.25">
      <c r="A88" s="35"/>
      <c r="B88" s="47" t="s">
        <v>142</v>
      </c>
      <c r="C88" s="37" t="s">
        <v>67</v>
      </c>
      <c r="D88" s="16">
        <f>D69+D47</f>
        <v>16399.238199407158</v>
      </c>
      <c r="E88" s="43"/>
      <c r="F88" s="122">
        <f>F69+F47</f>
        <v>2135207.14</v>
      </c>
      <c r="G88" s="16"/>
      <c r="H88" s="43"/>
      <c r="I88" s="122">
        <f>I69+I47</f>
        <v>2185693.2999999998</v>
      </c>
      <c r="J88" s="122"/>
      <c r="K88" s="122">
        <f>K69+K47</f>
        <v>50486.160000000033</v>
      </c>
      <c r="L88" s="133"/>
      <c r="M88" s="145"/>
      <c r="N88" s="253"/>
      <c r="O88" s="39"/>
      <c r="P88" s="19"/>
      <c r="Q88" s="16"/>
    </row>
    <row r="89" spans="1:17" s="24" customFormat="1" x14ac:dyDescent="0.25">
      <c r="A89" s="35"/>
      <c r="B89" s="41" t="s">
        <v>11</v>
      </c>
      <c r="C89" s="37" t="s">
        <v>67</v>
      </c>
      <c r="D89" s="16">
        <f>D88</f>
        <v>16399.238199407158</v>
      </c>
      <c r="E89" s="43"/>
      <c r="F89" s="122">
        <f>F70+F48</f>
        <v>2039409.2624782743</v>
      </c>
      <c r="G89" s="16"/>
      <c r="H89" s="43"/>
      <c r="I89" s="122">
        <f>I70+I48</f>
        <v>2087787.02</v>
      </c>
      <c r="J89" s="123"/>
      <c r="K89" s="122">
        <f>K70+K48</f>
        <v>48377.757521725682</v>
      </c>
      <c r="L89" s="181"/>
      <c r="M89" s="145"/>
      <c r="N89" s="253"/>
      <c r="O89" s="39"/>
      <c r="P89" s="19"/>
      <c r="Q89" s="16"/>
    </row>
    <row r="90" spans="1:17" s="24" customFormat="1" x14ac:dyDescent="0.25">
      <c r="A90" s="35"/>
      <c r="B90" s="20" t="s">
        <v>24</v>
      </c>
      <c r="C90" s="19" t="s">
        <v>74</v>
      </c>
      <c r="D90" s="16">
        <f>D71+D49</f>
        <v>3522295.9646060611</v>
      </c>
      <c r="E90" s="43"/>
      <c r="F90" s="122">
        <f>F71+F49</f>
        <v>4050640.35</v>
      </c>
      <c r="G90" s="16"/>
      <c r="H90" s="43"/>
      <c r="I90" s="122">
        <f>I71+I49</f>
        <v>4121086.2800000003</v>
      </c>
      <c r="J90" s="123"/>
      <c r="K90" s="122">
        <f>K71+K49</f>
        <v>70445.930000000168</v>
      </c>
      <c r="L90" s="181"/>
      <c r="M90" s="145"/>
      <c r="N90" s="253"/>
      <c r="O90" s="39"/>
      <c r="P90" s="19"/>
      <c r="Q90" s="16"/>
    </row>
    <row r="91" spans="1:17" s="24" customFormat="1" x14ac:dyDescent="0.25">
      <c r="A91" s="35"/>
      <c r="B91" s="20"/>
      <c r="C91" s="19"/>
      <c r="D91" s="16"/>
      <c r="E91" s="43"/>
      <c r="F91" s="123"/>
      <c r="G91" s="16"/>
      <c r="H91" s="43"/>
      <c r="I91" s="123"/>
      <c r="J91" s="123"/>
      <c r="K91" s="183"/>
      <c r="L91" s="181"/>
      <c r="M91" s="145"/>
      <c r="N91" s="253"/>
      <c r="O91" s="39"/>
      <c r="P91" s="19"/>
      <c r="Q91" s="16"/>
    </row>
    <row r="92" spans="1:17" s="24" customFormat="1" x14ac:dyDescent="0.25">
      <c r="A92" s="35"/>
      <c r="B92" s="20" t="s">
        <v>84</v>
      </c>
      <c r="C92" s="19"/>
      <c r="D92" s="16"/>
      <c r="E92" s="43"/>
      <c r="F92" s="122"/>
      <c r="G92" s="16"/>
      <c r="H92" s="43"/>
      <c r="I92" s="123"/>
      <c r="J92" s="123"/>
      <c r="K92" s="183"/>
      <c r="L92" s="181"/>
      <c r="M92" s="145"/>
      <c r="N92" s="253"/>
      <c r="O92" s="39"/>
      <c r="P92" s="19"/>
      <c r="Q92" s="16"/>
    </row>
    <row r="93" spans="1:17" s="24" customFormat="1" x14ac:dyDescent="0.25">
      <c r="A93" s="35"/>
      <c r="B93" s="41" t="s">
        <v>162</v>
      </c>
      <c r="C93" s="19" t="s">
        <v>10</v>
      </c>
      <c r="D93" s="16">
        <f>D74+D52</f>
        <v>13568189</v>
      </c>
      <c r="E93" s="42"/>
      <c r="F93" s="122"/>
      <c r="G93" s="16"/>
      <c r="H93" s="42"/>
      <c r="I93" s="122" t="s">
        <v>133</v>
      </c>
      <c r="J93" s="122"/>
      <c r="K93" s="122"/>
      <c r="L93" s="133"/>
      <c r="M93" s="145"/>
      <c r="N93" s="253"/>
      <c r="O93" s="39"/>
      <c r="P93" s="19"/>
      <c r="Q93" s="16"/>
    </row>
    <row r="94" spans="1:17" s="24" customFormat="1" x14ac:dyDescent="0.25">
      <c r="A94" s="35"/>
      <c r="B94" s="41" t="s">
        <v>156</v>
      </c>
      <c r="C94" s="19" t="s">
        <v>10</v>
      </c>
      <c r="D94" s="16">
        <f>D75+D53</f>
        <v>27727248.490000002</v>
      </c>
      <c r="E94" s="42"/>
      <c r="F94" s="122">
        <f>F75+F53</f>
        <v>3831351.2002682001</v>
      </c>
      <c r="G94" s="16"/>
      <c r="H94" s="42"/>
      <c r="I94" s="122">
        <f>I75+I53</f>
        <v>3922019.2977105002</v>
      </c>
      <c r="J94" s="122"/>
      <c r="K94" s="122">
        <f>K75+K53</f>
        <v>90668.097442300059</v>
      </c>
      <c r="L94" s="133"/>
      <c r="M94" s="145"/>
      <c r="N94" s="253"/>
      <c r="O94" s="39"/>
      <c r="P94" s="19"/>
      <c r="Q94" s="16"/>
    </row>
    <row r="95" spans="1:17" s="24" customFormat="1" x14ac:dyDescent="0.25">
      <c r="A95" s="35"/>
      <c r="B95" s="41" t="s">
        <v>12</v>
      </c>
      <c r="C95" s="19" t="s">
        <v>10</v>
      </c>
      <c r="D95" s="48">
        <f>D76+D54</f>
        <v>13263273.199999999</v>
      </c>
      <c r="E95" s="42"/>
      <c r="F95" s="122">
        <f>F76+F54</f>
        <v>1475273.8826359999</v>
      </c>
      <c r="G95" s="16"/>
      <c r="H95" s="42"/>
      <c r="I95" s="122">
        <f>I76+I54</f>
        <v>1510156.283752</v>
      </c>
      <c r="J95" s="122"/>
      <c r="K95" s="122">
        <f>K76+K54</f>
        <v>34882.401116000023</v>
      </c>
      <c r="L95" s="133"/>
      <c r="M95" s="145"/>
      <c r="N95" s="253"/>
      <c r="O95" s="39"/>
      <c r="P95" s="19"/>
      <c r="Q95" s="16"/>
    </row>
    <row r="96" spans="1:17" s="24" customFormat="1" x14ac:dyDescent="0.25">
      <c r="A96" s="35"/>
      <c r="B96" s="21" t="s">
        <v>121</v>
      </c>
      <c r="C96" s="23"/>
      <c r="D96" s="44">
        <f>SUM(D93:D95)</f>
        <v>54558710.689999998</v>
      </c>
      <c r="E96" s="203"/>
      <c r="F96" s="123"/>
      <c r="G96" s="16"/>
      <c r="H96" s="16"/>
      <c r="I96" s="35"/>
      <c r="J96" s="35"/>
      <c r="K96" s="35"/>
      <c r="L96" s="162"/>
      <c r="M96" s="145"/>
      <c r="N96" s="253"/>
      <c r="O96" s="39"/>
      <c r="P96" s="19"/>
      <c r="Q96" s="16"/>
    </row>
    <row r="97" spans="1:17" s="24" customFormat="1" x14ac:dyDescent="0.25">
      <c r="A97" s="35"/>
      <c r="B97" s="47" t="s">
        <v>66</v>
      </c>
      <c r="C97" s="19" t="s">
        <v>10</v>
      </c>
      <c r="D97" s="16">
        <f>D78+D58</f>
        <v>4915968.6900000004</v>
      </c>
      <c r="E97" s="254"/>
      <c r="F97" s="123">
        <f>F78</f>
        <v>-26497.071239100002</v>
      </c>
      <c r="G97" s="16"/>
      <c r="H97" s="16"/>
      <c r="I97" s="123">
        <f>I78+I56</f>
        <v>333102.79881999997</v>
      </c>
      <c r="J97" s="123"/>
      <c r="K97" s="123">
        <f>K78</f>
        <v>26497.071239100002</v>
      </c>
      <c r="L97" s="133"/>
      <c r="M97" s="145"/>
      <c r="N97" s="253"/>
      <c r="O97" s="39"/>
      <c r="P97" s="19"/>
      <c r="Q97" s="16"/>
    </row>
    <row r="98" spans="1:17" s="24" customFormat="1" x14ac:dyDescent="0.25">
      <c r="A98" s="35"/>
      <c r="B98" s="134" t="s">
        <v>184</v>
      </c>
      <c r="C98" s="23"/>
      <c r="D98" s="16"/>
      <c r="E98" s="203"/>
      <c r="F98" s="135">
        <f>SUM(F88:F97)</f>
        <v>13505384.764143374</v>
      </c>
      <c r="G98" s="16"/>
      <c r="H98" s="16"/>
      <c r="I98" s="135">
        <f>SUM(I88:I90,I94:I97)</f>
        <v>14159844.980282502</v>
      </c>
      <c r="J98" s="123"/>
      <c r="K98" s="135">
        <f>SUM(K88:K97)</f>
        <v>321357.41731912596</v>
      </c>
      <c r="L98" s="168">
        <f>ROUND(K98/F98,5)</f>
        <v>2.3789999999999999E-2</v>
      </c>
      <c r="M98" s="145"/>
      <c r="N98" s="253"/>
      <c r="O98" s="39"/>
      <c r="P98" s="19"/>
      <c r="Q98" s="16"/>
    </row>
    <row r="99" spans="1:17" s="24" customFormat="1" x14ac:dyDescent="0.25">
      <c r="A99" s="35"/>
      <c r="B99" s="21"/>
      <c r="C99" s="23"/>
      <c r="D99" s="16"/>
      <c r="E99" s="203"/>
      <c r="F99" s="123"/>
      <c r="G99" s="16"/>
      <c r="H99" s="16"/>
      <c r="I99" s="123"/>
      <c r="J99" s="123"/>
      <c r="K99" s="122"/>
      <c r="L99" s="133"/>
      <c r="M99" s="145"/>
      <c r="N99" s="253"/>
      <c r="O99" s="39"/>
      <c r="P99" s="19"/>
      <c r="Q99" s="16"/>
    </row>
    <row r="100" spans="1:17" s="24" customFormat="1" x14ac:dyDescent="0.25">
      <c r="A100" s="35"/>
      <c r="B100" s="142" t="s">
        <v>145</v>
      </c>
      <c r="C100" s="23"/>
      <c r="D100" s="16"/>
      <c r="E100" s="203"/>
      <c r="F100" s="123"/>
      <c r="G100" s="16"/>
      <c r="H100" s="16"/>
      <c r="I100" s="123"/>
      <c r="J100" s="123"/>
      <c r="K100" s="122"/>
      <c r="L100" s="133"/>
      <c r="M100" s="145"/>
      <c r="N100" s="253"/>
      <c r="O100" s="39"/>
      <c r="P100" s="19"/>
      <c r="Q100" s="16"/>
    </row>
    <row r="101" spans="1:17" s="24" customFormat="1" x14ac:dyDescent="0.25">
      <c r="A101" s="35"/>
      <c r="B101" s="41" t="s">
        <v>85</v>
      </c>
      <c r="C101" s="23"/>
      <c r="D101" s="16"/>
      <c r="E101" s="203"/>
      <c r="F101" s="123">
        <f>F60</f>
        <v>16224737.367860001</v>
      </c>
      <c r="G101" s="16"/>
      <c r="H101" s="16"/>
      <c r="I101" s="123">
        <f>I60</f>
        <v>19797029.082179997</v>
      </c>
      <c r="J101" s="123"/>
      <c r="K101" s="123">
        <f>K60</f>
        <v>3572291.7143199965</v>
      </c>
      <c r="L101" s="133"/>
      <c r="M101" s="145"/>
      <c r="N101" s="253"/>
      <c r="O101" s="39"/>
      <c r="P101" s="19"/>
      <c r="Q101" s="16"/>
    </row>
    <row r="102" spans="1:17" s="24" customFormat="1" x14ac:dyDescent="0.25">
      <c r="A102" s="35"/>
      <c r="B102" s="41" t="s">
        <v>24</v>
      </c>
      <c r="C102" s="23"/>
      <c r="D102" s="16"/>
      <c r="E102" s="203"/>
      <c r="F102" s="123">
        <f>F61</f>
        <v>3323037.2286363645</v>
      </c>
      <c r="G102" s="16"/>
      <c r="H102" s="16"/>
      <c r="I102" s="123">
        <f>I61</f>
        <v>3323037.2286363645</v>
      </c>
      <c r="J102" s="123"/>
      <c r="K102" s="123">
        <f>K61</f>
        <v>0</v>
      </c>
      <c r="L102" s="133"/>
      <c r="M102" s="145"/>
      <c r="N102" s="253"/>
      <c r="O102" s="39"/>
      <c r="P102" s="19"/>
      <c r="Q102" s="16"/>
    </row>
    <row r="103" spans="1:17" s="24" customFormat="1" x14ac:dyDescent="0.25">
      <c r="A103" s="35"/>
      <c r="B103" s="41" t="s">
        <v>120</v>
      </c>
      <c r="C103" s="23"/>
      <c r="D103" s="16"/>
      <c r="E103" s="203"/>
      <c r="F103" s="123">
        <f>F81</f>
        <v>3441.1780830000002</v>
      </c>
      <c r="G103" s="16"/>
      <c r="H103" s="16"/>
      <c r="I103" s="123">
        <f>I81</f>
        <v>3441.1780830000002</v>
      </c>
      <c r="J103" s="123"/>
      <c r="K103" s="123">
        <f>K81</f>
        <v>0</v>
      </c>
      <c r="L103" s="133"/>
      <c r="M103" s="145"/>
      <c r="N103" s="253"/>
      <c r="O103" s="39"/>
      <c r="P103" s="19"/>
      <c r="Q103" s="16"/>
    </row>
    <row r="104" spans="1:17" s="24" customFormat="1" x14ac:dyDescent="0.25">
      <c r="A104" s="35"/>
      <c r="B104" s="21" t="s">
        <v>185</v>
      </c>
      <c r="C104" s="23"/>
      <c r="D104" s="16"/>
      <c r="E104" s="203"/>
      <c r="F104" s="135">
        <f>SUM(F101:F103)</f>
        <v>19551215.774579365</v>
      </c>
      <c r="G104" s="16"/>
      <c r="H104" s="16"/>
      <c r="I104" s="135">
        <f>SUM(I101:I103)</f>
        <v>23123507.488899361</v>
      </c>
      <c r="J104" s="123"/>
      <c r="K104" s="135">
        <f>SUM(K101:K103)</f>
        <v>3572291.7143199965</v>
      </c>
      <c r="L104" s="168">
        <f>ROUND(K104/F104,5)</f>
        <v>0.18271000000000001</v>
      </c>
      <c r="M104" s="145"/>
      <c r="N104" s="253"/>
      <c r="O104" s="39"/>
      <c r="P104" s="19"/>
      <c r="Q104" s="16"/>
    </row>
    <row r="105" spans="1:17" s="24" customFormat="1" x14ac:dyDescent="0.25">
      <c r="A105" s="35"/>
      <c r="B105" s="20"/>
      <c r="C105" s="23"/>
      <c r="D105" s="35"/>
      <c r="E105" s="19"/>
      <c r="F105" s="122"/>
      <c r="G105" s="16"/>
      <c r="H105" s="16"/>
      <c r="I105" s="123"/>
      <c r="J105" s="123"/>
      <c r="K105" s="122"/>
      <c r="L105" s="133"/>
      <c r="M105" s="145"/>
      <c r="N105" s="253"/>
      <c r="O105" s="122"/>
      <c r="P105" s="19"/>
      <c r="Q105" s="16"/>
    </row>
    <row r="106" spans="1:17" s="24" customFormat="1" x14ac:dyDescent="0.25">
      <c r="A106" s="35"/>
      <c r="B106" s="20" t="s">
        <v>26</v>
      </c>
      <c r="C106" s="19"/>
      <c r="D106" s="16"/>
      <c r="E106" s="42"/>
      <c r="F106" s="135">
        <f>F98+F104</f>
        <v>33056600.538722739</v>
      </c>
      <c r="G106" s="35"/>
      <c r="H106" s="43"/>
      <c r="I106" s="135">
        <f>I98+I104</f>
        <v>37283352.469181865</v>
      </c>
      <c r="J106" s="122"/>
      <c r="K106" s="135">
        <f>K98+K104</f>
        <v>3893649.1316391225</v>
      </c>
      <c r="L106" s="168">
        <f>ROUND(K106/F106,5)</f>
        <v>0.11779000000000001</v>
      </c>
      <c r="M106" s="145"/>
      <c r="N106" s="253"/>
      <c r="O106" s="19"/>
      <c r="P106" s="19"/>
      <c r="Q106" s="16"/>
    </row>
    <row r="107" spans="1:17" s="24" customFormat="1" x14ac:dyDescent="0.25">
      <c r="A107" s="35"/>
      <c r="B107" s="258"/>
      <c r="C107" s="244"/>
      <c r="D107" s="244"/>
      <c r="E107" s="244"/>
      <c r="F107" s="161"/>
      <c r="G107" s="244"/>
      <c r="H107" s="244"/>
      <c r="I107" s="245"/>
      <c r="J107" s="245"/>
      <c r="K107" s="161"/>
      <c r="L107" s="167"/>
      <c r="M107" s="145"/>
      <c r="N107" s="253"/>
      <c r="O107" s="19"/>
      <c r="P107" s="19"/>
      <c r="Q107" s="16"/>
    </row>
    <row r="108" spans="1:17" s="35" customFormat="1" x14ac:dyDescent="0.25">
      <c r="F108" s="146"/>
      <c r="I108" s="187"/>
      <c r="J108" s="187"/>
      <c r="K108" s="146"/>
      <c r="L108" s="155"/>
      <c r="M108" s="145"/>
      <c r="N108" s="253"/>
      <c r="O108" s="36"/>
      <c r="P108" s="36"/>
      <c r="Q108" s="36"/>
    </row>
    <row r="109" spans="1:17" x14ac:dyDescent="0.25">
      <c r="B109" s="19"/>
      <c r="F109" s="191"/>
      <c r="I109" s="191"/>
      <c r="J109" s="191"/>
      <c r="K109" s="191"/>
      <c r="M109" s="234"/>
      <c r="N109" s="199"/>
      <c r="O109" s="36"/>
      <c r="P109" s="36"/>
      <c r="Q109" s="36"/>
    </row>
    <row r="110" spans="1:17" x14ac:dyDescent="0.25">
      <c r="B110" s="31" t="s">
        <v>155</v>
      </c>
      <c r="F110" s="191"/>
      <c r="I110" s="191"/>
      <c r="J110" s="191"/>
      <c r="K110" s="191"/>
      <c r="M110" s="234"/>
      <c r="N110" s="199"/>
      <c r="O110" s="174"/>
      <c r="P110" s="140"/>
      <c r="Q110" s="141"/>
    </row>
    <row r="111" spans="1:17" x14ac:dyDescent="0.25">
      <c r="D111" s="104" t="s">
        <v>10</v>
      </c>
      <c r="F111" s="200" t="s">
        <v>22</v>
      </c>
      <c r="I111" s="200" t="s">
        <v>1</v>
      </c>
      <c r="J111" s="191"/>
      <c r="K111" s="200" t="s">
        <v>132</v>
      </c>
      <c r="M111" s="234"/>
      <c r="N111" s="199"/>
    </row>
    <row r="112" spans="1:17" x14ac:dyDescent="0.25">
      <c r="B112" s="1" t="s">
        <v>122</v>
      </c>
      <c r="C112" s="251"/>
      <c r="D112" s="206"/>
      <c r="E112" s="251"/>
      <c r="F112" s="251"/>
      <c r="G112" s="260"/>
      <c r="H112" s="260"/>
      <c r="I112" s="251"/>
      <c r="J112" s="251"/>
      <c r="K112" s="251"/>
      <c r="M112" s="261"/>
    </row>
    <row r="113" spans="2:13" x14ac:dyDescent="0.25">
      <c r="B113" s="79" t="s">
        <v>190</v>
      </c>
      <c r="C113" s="251"/>
      <c r="D113" s="206"/>
      <c r="E113" s="251"/>
      <c r="F113" s="251">
        <f>F17+F29</f>
        <v>88240148.940744311</v>
      </c>
      <c r="G113" s="260"/>
      <c r="H113" s="260"/>
      <c r="I113" s="251">
        <f>I17+I29</f>
        <v>87220937.211852565</v>
      </c>
      <c r="J113" s="251"/>
      <c r="K113" s="263">
        <f>I113-F113</f>
        <v>-1019211.7288917452</v>
      </c>
      <c r="M113" s="261"/>
    </row>
    <row r="114" spans="2:13" x14ac:dyDescent="0.25">
      <c r="B114" s="79" t="s">
        <v>191</v>
      </c>
      <c r="C114" s="251"/>
      <c r="D114" s="206"/>
      <c r="E114" s="251"/>
      <c r="F114" s="251">
        <f>F62+F81</f>
        <v>19551215.774579365</v>
      </c>
      <c r="G114" s="260"/>
      <c r="H114" s="260"/>
      <c r="I114" s="251">
        <f>I62+I81</f>
        <v>23123507.488899361</v>
      </c>
      <c r="J114" s="251"/>
      <c r="K114" s="263">
        <f>I114-F114</f>
        <v>3572291.7143199965</v>
      </c>
      <c r="M114" s="264"/>
    </row>
    <row r="115" spans="2:13" x14ac:dyDescent="0.25">
      <c r="B115" s="79" t="s">
        <v>23</v>
      </c>
      <c r="C115" s="251"/>
      <c r="D115" s="206"/>
      <c r="E115" s="251"/>
      <c r="F115" s="265">
        <f>SUM(F113:F114)</f>
        <v>107791364.71532367</v>
      </c>
      <c r="G115" s="260"/>
      <c r="H115" s="260"/>
      <c r="I115" s="265">
        <f>SUM(I113:I114)</f>
        <v>110344444.70075193</v>
      </c>
      <c r="J115" s="251"/>
      <c r="K115" s="265">
        <f>SUM(K113:K114)</f>
        <v>2553079.9854282513</v>
      </c>
      <c r="M115" s="264"/>
    </row>
    <row r="116" spans="2:13" x14ac:dyDescent="0.25">
      <c r="C116" s="251"/>
      <c r="D116" s="206"/>
      <c r="E116" s="251"/>
      <c r="F116" s="251"/>
      <c r="G116" s="260"/>
      <c r="H116" s="260"/>
      <c r="I116" s="251"/>
      <c r="J116" s="251"/>
      <c r="K116" s="263"/>
      <c r="M116" s="264"/>
    </row>
    <row r="117" spans="2:13" x14ac:dyDescent="0.25">
      <c r="B117" s="1" t="s">
        <v>123</v>
      </c>
      <c r="C117" s="251"/>
      <c r="D117" s="206"/>
      <c r="E117" s="251"/>
      <c r="F117" s="251"/>
      <c r="G117" s="260"/>
      <c r="H117" s="260"/>
      <c r="I117" s="251"/>
      <c r="J117" s="251"/>
      <c r="K117" s="263"/>
      <c r="M117" s="264"/>
    </row>
    <row r="118" spans="2:13" x14ac:dyDescent="0.25">
      <c r="B118" s="79" t="s">
        <v>205</v>
      </c>
      <c r="C118" s="251"/>
      <c r="D118" s="206"/>
      <c r="E118" s="251"/>
      <c r="F118" s="251">
        <f>F15+F27</f>
        <v>88444666.030000001</v>
      </c>
      <c r="G118" s="251"/>
      <c r="H118" s="260"/>
      <c r="I118" s="251">
        <f>I15+I27</f>
        <v>94873292.450000003</v>
      </c>
      <c r="J118" s="251"/>
      <c r="K118" s="263">
        <f>I118-F118</f>
        <v>6428626.4200000018</v>
      </c>
      <c r="L118" s="259">
        <f>K118/F118</f>
        <v>7.268529249485145E-2</v>
      </c>
      <c r="M118" s="264"/>
    </row>
    <row r="119" spans="2:13" x14ac:dyDescent="0.25">
      <c r="B119" s="79" t="s">
        <v>191</v>
      </c>
      <c r="C119" s="251"/>
      <c r="D119" s="206"/>
      <c r="E119" s="251"/>
      <c r="F119" s="251">
        <f>F57+F79</f>
        <v>13505384.764143374</v>
      </c>
      <c r="G119" s="251"/>
      <c r="H119" s="260"/>
      <c r="I119" s="251">
        <f>I57+I79</f>
        <v>14159844.980282499</v>
      </c>
      <c r="J119" s="251"/>
      <c r="K119" s="263">
        <f>I119-F119</f>
        <v>654460.21613912471</v>
      </c>
      <c r="L119" s="259">
        <f>K119/F119</f>
        <v>4.8459205536795093E-2</v>
      </c>
      <c r="M119" s="264"/>
    </row>
    <row r="120" spans="2:13" x14ac:dyDescent="0.25">
      <c r="B120" s="79" t="s">
        <v>23</v>
      </c>
      <c r="C120" s="251"/>
      <c r="D120" s="206"/>
      <c r="E120" s="251"/>
      <c r="F120" s="265">
        <f>SUM(F118:F119)</f>
        <v>101950050.79414338</v>
      </c>
      <c r="G120" s="251"/>
      <c r="H120" s="260"/>
      <c r="I120" s="265">
        <f>SUM(I118:I119)</f>
        <v>109033137.4302825</v>
      </c>
      <c r="J120" s="251"/>
      <c r="K120" s="265">
        <f>SUM(K118:K119)</f>
        <v>7083086.6361391265</v>
      </c>
      <c r="L120" s="259">
        <f>K120/F120</f>
        <v>6.947604813303361E-2</v>
      </c>
      <c r="M120" s="264"/>
    </row>
    <row r="121" spans="2:13" x14ac:dyDescent="0.25">
      <c r="C121" s="251"/>
      <c r="D121" s="206"/>
      <c r="E121" s="251"/>
      <c r="F121" s="251"/>
      <c r="G121" s="251"/>
      <c r="H121" s="260"/>
      <c r="I121" s="251"/>
      <c r="J121" s="251"/>
      <c r="K121" s="263"/>
      <c r="M121" s="264"/>
    </row>
    <row r="122" spans="2:13" x14ac:dyDescent="0.25">
      <c r="B122" s="31" t="s">
        <v>124</v>
      </c>
      <c r="C122" s="251"/>
      <c r="D122" s="206"/>
      <c r="E122" s="251"/>
      <c r="F122" s="251"/>
      <c r="G122" s="251"/>
      <c r="H122" s="260"/>
      <c r="I122" s="251"/>
      <c r="J122" s="251"/>
      <c r="K122" s="263"/>
      <c r="M122" s="264"/>
    </row>
    <row r="123" spans="2:13" x14ac:dyDescent="0.25">
      <c r="B123" s="79" t="s">
        <v>205</v>
      </c>
      <c r="C123" s="251"/>
      <c r="D123" s="206">
        <f>D36</f>
        <v>214593771.22299999</v>
      </c>
      <c r="E123" s="251"/>
      <c r="F123" s="251">
        <f>F113+F118</f>
        <v>176684814.97074431</v>
      </c>
      <c r="G123" s="260"/>
      <c r="H123" s="260"/>
      <c r="I123" s="251">
        <f>I113+I118</f>
        <v>182094229.66185257</v>
      </c>
      <c r="J123" s="251"/>
      <c r="K123" s="263">
        <f>I123-F123</f>
        <v>5409414.6911082566</v>
      </c>
      <c r="L123" s="259">
        <f>K123/F123</f>
        <v>3.0616183354545516E-2</v>
      </c>
      <c r="M123" s="264"/>
    </row>
    <row r="124" spans="2:13" x14ac:dyDescent="0.25">
      <c r="B124" s="79" t="s">
        <v>191</v>
      </c>
      <c r="C124" s="251"/>
      <c r="D124" s="206">
        <f>D96</f>
        <v>54558710.689999998</v>
      </c>
      <c r="E124" s="251"/>
      <c r="F124" s="251">
        <f>F114+F119</f>
        <v>33056600.538722739</v>
      </c>
      <c r="G124" s="260"/>
      <c r="H124" s="260"/>
      <c r="I124" s="251">
        <f>I114+I119</f>
        <v>37283352.469181858</v>
      </c>
      <c r="J124" s="251"/>
      <c r="K124" s="263">
        <f>I124-F124</f>
        <v>4226751.9304591194</v>
      </c>
      <c r="L124" s="259">
        <f>K124/F124</f>
        <v>0.12786408346822814</v>
      </c>
      <c r="M124" s="264"/>
    </row>
    <row r="125" spans="2:13" x14ac:dyDescent="0.25">
      <c r="B125" s="79" t="s">
        <v>23</v>
      </c>
      <c r="C125" s="251"/>
      <c r="D125" s="205">
        <f>SUM(D123:D124)</f>
        <v>269152481.91299999</v>
      </c>
      <c r="E125" s="251"/>
      <c r="F125" s="265">
        <f>SUM(F123:F124)</f>
        <v>209741415.50946707</v>
      </c>
      <c r="G125" s="260"/>
      <c r="H125" s="260"/>
      <c r="I125" s="265">
        <f>SUM(I123:I124)</f>
        <v>219377582.13103443</v>
      </c>
      <c r="J125" s="251"/>
      <c r="K125" s="265">
        <f>SUM(K123:K124)</f>
        <v>9636166.621567376</v>
      </c>
      <c r="L125" s="259">
        <f>K125/F125</f>
        <v>4.5943079949951178E-2</v>
      </c>
      <c r="M125" s="264"/>
    </row>
    <row r="126" spans="2:13" x14ac:dyDescent="0.25">
      <c r="C126" s="251"/>
      <c r="D126" s="206"/>
      <c r="E126" s="251"/>
      <c r="F126" s="251"/>
      <c r="G126" s="260"/>
      <c r="H126" s="260"/>
      <c r="I126" s="251"/>
      <c r="J126" s="251"/>
      <c r="K126" s="251"/>
      <c r="M126" s="264"/>
    </row>
    <row r="127" spans="2:13" x14ac:dyDescent="0.25">
      <c r="B127" s="216" t="s">
        <v>189</v>
      </c>
      <c r="C127" s="251"/>
      <c r="D127" s="251"/>
      <c r="E127" s="251"/>
      <c r="F127" s="251"/>
      <c r="G127" s="260"/>
      <c r="H127" s="260"/>
      <c r="I127" s="251"/>
      <c r="J127" s="251"/>
      <c r="K127" s="251"/>
      <c r="M127" s="264"/>
    </row>
    <row r="128" spans="2:13" x14ac:dyDescent="0.25">
      <c r="C128" s="251"/>
      <c r="D128" s="251"/>
      <c r="E128" s="251"/>
      <c r="F128" s="251"/>
      <c r="G128" s="260"/>
      <c r="H128" s="260"/>
      <c r="I128" s="251"/>
      <c r="J128" s="251"/>
      <c r="K128" s="251"/>
      <c r="M128" s="264"/>
    </row>
    <row r="129" spans="3:13" x14ac:dyDescent="0.25">
      <c r="C129" s="251"/>
      <c r="D129" s="251"/>
      <c r="E129" s="251"/>
      <c r="F129" s="251"/>
      <c r="G129" s="260"/>
      <c r="H129" s="260"/>
      <c r="I129" s="251"/>
      <c r="J129" s="251"/>
      <c r="K129" s="251"/>
      <c r="M129" s="264"/>
    </row>
    <row r="130" spans="3:13" x14ac:dyDescent="0.25">
      <c r="C130" s="251"/>
      <c r="D130" s="251"/>
      <c r="E130" s="251"/>
      <c r="F130" s="251"/>
      <c r="G130" s="260"/>
      <c r="H130" s="260"/>
      <c r="I130" s="251"/>
      <c r="J130" s="251"/>
      <c r="K130" s="251"/>
      <c r="M130" s="264"/>
    </row>
    <row r="131" spans="3:13" x14ac:dyDescent="0.25">
      <c r="C131" s="251"/>
      <c r="D131" s="251"/>
      <c r="E131" s="251"/>
      <c r="F131" s="251"/>
      <c r="G131" s="260"/>
      <c r="H131" s="260"/>
      <c r="I131" s="251"/>
      <c r="J131" s="251"/>
      <c r="K131" s="251"/>
      <c r="M131" s="264"/>
    </row>
    <row r="132" spans="3:13" x14ac:dyDescent="0.25">
      <c r="C132" s="251"/>
      <c r="D132" s="251"/>
      <c r="E132" s="251"/>
      <c r="F132" s="251"/>
      <c r="G132" s="260"/>
      <c r="H132" s="260"/>
      <c r="I132" s="251"/>
      <c r="J132" s="251"/>
      <c r="K132" s="251"/>
      <c r="M132" s="264"/>
    </row>
    <row r="133" spans="3:13" x14ac:dyDescent="0.25">
      <c r="C133" s="251"/>
      <c r="D133" s="251"/>
      <c r="E133" s="251"/>
      <c r="F133" s="251"/>
      <c r="G133" s="260"/>
      <c r="H133" s="260"/>
      <c r="I133" s="251"/>
      <c r="J133" s="251"/>
      <c r="K133" s="251"/>
      <c r="M133" s="264"/>
    </row>
    <row r="134" spans="3:13" x14ac:dyDescent="0.25">
      <c r="C134" s="251"/>
      <c r="D134" s="251"/>
      <c r="E134" s="251"/>
      <c r="F134" s="251"/>
      <c r="G134" s="260"/>
      <c r="H134" s="260"/>
      <c r="I134" s="251"/>
      <c r="J134" s="251"/>
      <c r="K134" s="251"/>
      <c r="M134" s="264"/>
    </row>
    <row r="135" spans="3:13" x14ac:dyDescent="0.25">
      <c r="C135" s="251"/>
      <c r="D135" s="251"/>
      <c r="E135" s="251"/>
      <c r="F135" s="251"/>
      <c r="G135" s="260"/>
      <c r="H135" s="260"/>
      <c r="I135" s="251"/>
      <c r="J135" s="251"/>
      <c r="K135" s="251"/>
      <c r="M135" s="264"/>
    </row>
    <row r="136" spans="3:13" x14ac:dyDescent="0.25">
      <c r="C136" s="251"/>
      <c r="D136" s="251"/>
      <c r="E136" s="251"/>
      <c r="F136" s="251"/>
      <c r="G136" s="260"/>
      <c r="H136" s="260"/>
      <c r="I136" s="251"/>
      <c r="J136" s="251"/>
      <c r="K136" s="251"/>
      <c r="M136" s="264"/>
    </row>
    <row r="137" spans="3:13" x14ac:dyDescent="0.25">
      <c r="C137" s="251"/>
      <c r="D137" s="251"/>
      <c r="E137" s="251"/>
      <c r="F137" s="251"/>
      <c r="G137" s="260"/>
      <c r="H137" s="260"/>
      <c r="I137" s="251"/>
      <c r="J137" s="251"/>
      <c r="K137" s="251"/>
      <c r="M137" s="264"/>
    </row>
    <row r="138" spans="3:13" x14ac:dyDescent="0.25">
      <c r="C138" s="251"/>
      <c r="D138" s="251"/>
      <c r="E138" s="251"/>
      <c r="F138" s="251"/>
      <c r="G138" s="260"/>
      <c r="H138" s="260"/>
      <c r="I138" s="251"/>
      <c r="J138" s="251"/>
      <c r="K138" s="251"/>
      <c r="M138" s="264"/>
    </row>
    <row r="139" spans="3:13" x14ac:dyDescent="0.25">
      <c r="C139" s="251"/>
      <c r="D139" s="251"/>
      <c r="E139" s="251"/>
      <c r="F139" s="251"/>
      <c r="G139" s="260"/>
      <c r="H139" s="260"/>
      <c r="I139" s="251"/>
      <c r="J139" s="251"/>
      <c r="K139" s="251"/>
      <c r="M139" s="264"/>
    </row>
    <row r="140" spans="3:13" x14ac:dyDescent="0.25">
      <c r="C140" s="251"/>
      <c r="D140" s="251"/>
      <c r="E140" s="251"/>
      <c r="F140" s="251"/>
      <c r="G140" s="260"/>
      <c r="H140" s="260"/>
      <c r="I140" s="251"/>
      <c r="J140" s="251"/>
      <c r="K140" s="251"/>
      <c r="M140" s="264"/>
    </row>
    <row r="141" spans="3:13" x14ac:dyDescent="0.25">
      <c r="C141" s="251"/>
      <c r="D141" s="251"/>
      <c r="E141" s="251"/>
      <c r="F141" s="251"/>
      <c r="G141" s="260"/>
      <c r="H141" s="260"/>
      <c r="I141" s="251"/>
      <c r="J141" s="251"/>
      <c r="K141" s="251"/>
      <c r="M141" s="264"/>
    </row>
    <row r="142" spans="3:13" x14ac:dyDescent="0.25">
      <c r="C142" s="251"/>
      <c r="D142" s="251"/>
      <c r="E142" s="251"/>
      <c r="F142" s="251"/>
      <c r="G142" s="260"/>
      <c r="H142" s="260"/>
      <c r="I142" s="251"/>
      <c r="J142" s="251"/>
      <c r="K142" s="251"/>
      <c r="M142" s="264"/>
    </row>
    <row r="143" spans="3:13" x14ac:dyDescent="0.25">
      <c r="C143" s="251"/>
      <c r="D143" s="251"/>
      <c r="E143" s="251"/>
      <c r="F143" s="251"/>
      <c r="G143" s="260"/>
      <c r="H143" s="260"/>
      <c r="I143" s="251"/>
      <c r="J143" s="251"/>
      <c r="K143" s="251"/>
      <c r="M143" s="264"/>
    </row>
    <row r="144" spans="3:13" x14ac:dyDescent="0.25">
      <c r="C144" s="251"/>
      <c r="D144" s="251"/>
      <c r="E144" s="251"/>
      <c r="F144" s="251"/>
      <c r="G144" s="260"/>
      <c r="H144" s="260"/>
      <c r="I144" s="251"/>
      <c r="J144" s="251"/>
      <c r="K144" s="251"/>
      <c r="M144" s="264"/>
    </row>
    <row r="145" spans="3:13" x14ac:dyDescent="0.25">
      <c r="C145" s="251"/>
      <c r="D145" s="251"/>
      <c r="E145" s="251"/>
      <c r="F145" s="251"/>
      <c r="G145" s="260"/>
      <c r="H145" s="260"/>
      <c r="I145" s="251"/>
      <c r="J145" s="251"/>
      <c r="K145" s="251"/>
      <c r="M145" s="264"/>
    </row>
    <row r="146" spans="3:13" x14ac:dyDescent="0.25">
      <c r="C146" s="251"/>
      <c r="D146" s="251"/>
      <c r="E146" s="251"/>
      <c r="F146" s="251"/>
      <c r="G146" s="260"/>
      <c r="H146" s="260"/>
      <c r="I146" s="251"/>
      <c r="J146" s="251"/>
      <c r="K146" s="251"/>
      <c r="M146" s="264"/>
    </row>
    <row r="147" spans="3:13" x14ac:dyDescent="0.25">
      <c r="M147" s="264"/>
    </row>
    <row r="148" spans="3:13" x14ac:dyDescent="0.25">
      <c r="M148" s="264"/>
    </row>
  </sheetData>
  <mergeCells count="1">
    <mergeCell ref="K7:L7"/>
  </mergeCells>
  <phoneticPr fontId="0" type="noConversion"/>
  <printOptions horizontalCentered="1"/>
  <pageMargins left="0.25" right="0.25" top="0.75" bottom="0.75" header="0.3" footer="0.3"/>
  <pageSetup scale="78" fitToHeight="0" orientation="landscape" blackAndWhite="1" r:id="rId1"/>
  <headerFooter alignWithMargins="0"/>
  <rowBreaks count="2" manualBreakCount="2">
    <brk id="44" min="1" max="16" man="1"/>
    <brk id="85" min="1" max="1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227"/>
  <sheetViews>
    <sheetView topLeftCell="A167" zoomScaleNormal="100" workbookViewId="0">
      <selection activeCell="G43" sqref="G43"/>
    </sheetView>
  </sheetViews>
  <sheetFormatPr defaultColWidth="9.109375" defaultRowHeight="13.2" x14ac:dyDescent="0.25"/>
  <cols>
    <col min="1" max="1" width="2.109375" style="79" customWidth="1"/>
    <col min="2" max="2" width="27.5546875" style="79" customWidth="1"/>
    <col min="3" max="3" width="7.88671875" style="79" bestFit="1" customWidth="1"/>
    <col min="4" max="4" width="14.44140625" style="73" bestFit="1" customWidth="1"/>
    <col min="5" max="5" width="11" style="215" customWidth="1"/>
    <col min="6" max="6" width="16.5546875" style="212" customWidth="1"/>
    <col min="7" max="7" width="3" style="16" customWidth="1"/>
    <col min="8" max="8" width="17.33203125" style="214" bestFit="1" customWidth="1"/>
    <col min="9" max="9" width="17" style="212" customWidth="1"/>
    <col min="10" max="10" width="2.5546875" style="212" customWidth="1"/>
    <col min="11" max="11" width="13" style="212" customWidth="1"/>
    <col min="12" max="12" width="13.5546875" style="210" customWidth="1"/>
    <col min="13" max="13" width="2" style="211" customWidth="1"/>
    <col min="14" max="14" width="2.109375" style="92" customWidth="1"/>
    <col min="15" max="15" width="14.5546875" style="79" bestFit="1" customWidth="1"/>
    <col min="16" max="16" width="2.6640625" style="79" customWidth="1"/>
    <col min="17" max="17" width="9.33203125" style="79" bestFit="1" customWidth="1"/>
    <col min="18" max="18" width="9.109375" style="79"/>
    <col min="19" max="19" width="15.33203125" style="79" customWidth="1"/>
    <col min="20" max="16384" width="9.109375" style="79"/>
  </cols>
  <sheetData>
    <row r="1" spans="1:17" x14ac:dyDescent="0.25">
      <c r="B1" s="80"/>
      <c r="C1" s="80"/>
      <c r="D1" s="81"/>
      <c r="E1" s="82"/>
      <c r="F1" s="83"/>
      <c r="G1" s="84"/>
      <c r="H1" s="85"/>
      <c r="I1" s="83"/>
      <c r="J1" s="83"/>
      <c r="K1" s="83"/>
      <c r="L1" s="86"/>
      <c r="M1" s="86"/>
      <c r="N1" s="87"/>
      <c r="O1" s="80"/>
      <c r="P1" s="80"/>
      <c r="Q1" s="80"/>
    </row>
    <row r="2" spans="1:17" x14ac:dyDescent="0.25">
      <c r="B2" s="17" t="s">
        <v>70</v>
      </c>
      <c r="C2" s="17"/>
      <c r="D2" s="85"/>
      <c r="E2" s="83"/>
      <c r="F2" s="83"/>
      <c r="G2" s="85"/>
      <c r="H2" s="85"/>
      <c r="I2" s="83"/>
      <c r="J2" s="83"/>
      <c r="K2" s="83"/>
      <c r="L2" s="83"/>
      <c r="M2" s="86"/>
      <c r="N2" s="87"/>
      <c r="O2" s="80"/>
      <c r="P2" s="80"/>
      <c r="Q2" s="80"/>
    </row>
    <row r="3" spans="1:17" x14ac:dyDescent="0.25">
      <c r="B3" s="2" t="str">
        <f>'JAP-24 - Page 1'!$B$2</f>
        <v>2017 Gas General Rate Case</v>
      </c>
      <c r="C3" s="17"/>
      <c r="D3" s="85"/>
      <c r="E3" s="83"/>
      <c r="F3" s="83"/>
      <c r="G3" s="85"/>
      <c r="H3" s="85"/>
      <c r="I3" s="83"/>
      <c r="J3" s="83"/>
      <c r="K3" s="83"/>
      <c r="L3" s="83"/>
      <c r="M3" s="86"/>
      <c r="N3" s="87"/>
      <c r="O3" s="80"/>
      <c r="P3" s="80"/>
      <c r="Q3" s="80"/>
    </row>
    <row r="4" spans="1:17" x14ac:dyDescent="0.25">
      <c r="B4" s="2" t="str">
        <f>'JAP-24 - Page 1'!$B$3</f>
        <v>Test Year Ended September 2016</v>
      </c>
      <c r="C4" s="17"/>
      <c r="D4" s="85"/>
      <c r="E4" s="83"/>
      <c r="F4" s="83"/>
      <c r="G4" s="85"/>
      <c r="H4" s="85"/>
      <c r="I4" s="83"/>
      <c r="J4" s="83"/>
      <c r="K4" s="83"/>
      <c r="L4" s="83"/>
      <c r="M4" s="86"/>
      <c r="N4" s="87"/>
      <c r="O4" s="80"/>
      <c r="P4" s="80"/>
      <c r="Q4" s="80"/>
    </row>
    <row r="5" spans="1:17" x14ac:dyDescent="0.25">
      <c r="B5" s="17" t="s">
        <v>188</v>
      </c>
      <c r="C5" s="17"/>
      <c r="D5" s="81"/>
      <c r="E5" s="82"/>
      <c r="F5" s="83"/>
      <c r="G5" s="84"/>
      <c r="H5" s="85"/>
      <c r="I5" s="83"/>
      <c r="J5" s="83"/>
      <c r="K5" s="83"/>
      <c r="L5" s="86"/>
      <c r="M5" s="86"/>
      <c r="N5" s="87"/>
      <c r="O5" s="88"/>
      <c r="P5" s="80"/>
      <c r="Q5" s="80"/>
    </row>
    <row r="6" spans="1:17" s="19" customFormat="1" x14ac:dyDescent="0.25">
      <c r="B6" s="89"/>
      <c r="C6" s="88"/>
      <c r="D6" s="16"/>
      <c r="E6" s="90"/>
      <c r="F6" s="91"/>
      <c r="G6" s="16"/>
      <c r="H6" s="43"/>
      <c r="I6" s="91"/>
      <c r="J6" s="91"/>
      <c r="K6" s="91"/>
      <c r="L6" s="92"/>
      <c r="M6" s="93"/>
      <c r="N6" s="93"/>
    </row>
    <row r="7" spans="1:17" x14ac:dyDescent="0.25">
      <c r="B7" s="94"/>
      <c r="C7" s="95"/>
      <c r="D7" s="96" t="s">
        <v>0</v>
      </c>
      <c r="E7" s="97" t="s">
        <v>22</v>
      </c>
      <c r="F7" s="98"/>
      <c r="G7" s="96"/>
      <c r="H7" s="99" t="s">
        <v>1</v>
      </c>
      <c r="I7" s="98"/>
      <c r="J7" s="100"/>
      <c r="K7" s="390" t="s">
        <v>2</v>
      </c>
      <c r="L7" s="391"/>
      <c r="M7" s="93"/>
      <c r="N7" s="87"/>
      <c r="O7" s="36" t="s">
        <v>117</v>
      </c>
      <c r="Q7" s="101" t="s">
        <v>170</v>
      </c>
    </row>
    <row r="8" spans="1:17" x14ac:dyDescent="0.25">
      <c r="B8" s="102" t="s">
        <v>3</v>
      </c>
      <c r="C8" s="103" t="s">
        <v>75</v>
      </c>
      <c r="D8" s="104" t="s">
        <v>4</v>
      </c>
      <c r="E8" s="105" t="s">
        <v>5</v>
      </c>
      <c r="F8" s="106" t="s">
        <v>27</v>
      </c>
      <c r="G8" s="104"/>
      <c r="H8" s="107" t="s">
        <v>5</v>
      </c>
      <c r="I8" s="106" t="s">
        <v>27</v>
      </c>
      <c r="J8" s="106"/>
      <c r="K8" s="106" t="s">
        <v>6</v>
      </c>
      <c r="L8" s="108" t="s">
        <v>7</v>
      </c>
      <c r="M8" s="93"/>
      <c r="N8" s="109"/>
      <c r="O8" s="110" t="s">
        <v>65</v>
      </c>
      <c r="Q8" s="111" t="s">
        <v>92</v>
      </c>
    </row>
    <row r="9" spans="1:17" x14ac:dyDescent="0.25">
      <c r="A9" s="19"/>
      <c r="B9" s="21"/>
      <c r="C9" s="23"/>
      <c r="D9" s="16"/>
      <c r="E9" s="90"/>
      <c r="F9" s="91"/>
      <c r="G9" s="112"/>
      <c r="H9" s="43"/>
      <c r="I9" s="113"/>
      <c r="J9" s="113"/>
      <c r="K9" s="91"/>
      <c r="L9" s="114"/>
      <c r="M9" s="93"/>
      <c r="O9" s="19"/>
    </row>
    <row r="10" spans="1:17" x14ac:dyDescent="0.25">
      <c r="B10" s="18" t="s">
        <v>134</v>
      </c>
      <c r="C10" s="22"/>
      <c r="D10" s="44"/>
      <c r="E10" s="115"/>
      <c r="F10" s="116"/>
      <c r="G10" s="117"/>
      <c r="H10" s="118"/>
      <c r="I10" s="119"/>
      <c r="J10" s="119"/>
      <c r="K10" s="116"/>
      <c r="L10" s="120"/>
      <c r="M10" s="93"/>
      <c r="N10" s="93"/>
      <c r="O10" s="121" t="s">
        <v>194</v>
      </c>
    </row>
    <row r="11" spans="1:17" x14ac:dyDescent="0.25">
      <c r="B11" s="20"/>
      <c r="C11" s="19"/>
      <c r="D11" s="16"/>
      <c r="E11" s="90"/>
      <c r="F11" s="122"/>
      <c r="G11" s="112"/>
      <c r="H11" s="43"/>
      <c r="I11" s="123"/>
      <c r="J11" s="113"/>
      <c r="K11" s="122"/>
      <c r="L11" s="124"/>
      <c r="M11" s="93"/>
      <c r="N11" s="93"/>
      <c r="O11" s="125">
        <f>'JAP-24 - Page 1'!J16</f>
        <v>670079.04456017376</v>
      </c>
    </row>
    <row r="12" spans="1:17" x14ac:dyDescent="0.25">
      <c r="B12" s="21" t="s">
        <v>142</v>
      </c>
      <c r="C12" s="23" t="s">
        <v>67</v>
      </c>
      <c r="D12" s="16">
        <v>969.72400330954827</v>
      </c>
      <c r="E12" s="43">
        <v>563.45000000000005</v>
      </c>
      <c r="F12" s="122">
        <f>ROUND(D12*E12,2)</f>
        <v>546390.99</v>
      </c>
      <c r="H12" s="43">
        <f>ROUND(E12*(1+$O$18),2)</f>
        <v>593.83000000000004</v>
      </c>
      <c r="I12" s="123">
        <f>ROUND(D12*H12,2)</f>
        <v>575851.19999999995</v>
      </c>
      <c r="J12" s="113"/>
      <c r="K12" s="122">
        <f>I12-F12</f>
        <v>29460.209999999963</v>
      </c>
      <c r="L12" s="124"/>
      <c r="M12" s="93"/>
      <c r="N12" s="93"/>
      <c r="O12" s="126" t="s">
        <v>118</v>
      </c>
      <c r="Q12" s="127">
        <f>H12/E12-1</f>
        <v>5.3917827668825913E-2</v>
      </c>
    </row>
    <row r="13" spans="1:17" x14ac:dyDescent="0.25">
      <c r="B13" s="20" t="s">
        <v>24</v>
      </c>
      <c r="C13" s="19" t="s">
        <v>74</v>
      </c>
      <c r="D13" s="16">
        <v>764342.29739393946</v>
      </c>
      <c r="E13" s="43">
        <v>1.1499999999999999</v>
      </c>
      <c r="F13" s="122">
        <f>ROUND(D13*E13,2)</f>
        <v>878993.64</v>
      </c>
      <c r="H13" s="43">
        <v>1.2</v>
      </c>
      <c r="I13" s="123">
        <f>ROUND(D13*H13,2)</f>
        <v>917210.76</v>
      </c>
      <c r="J13" s="113"/>
      <c r="K13" s="122">
        <f>I13-F13</f>
        <v>38217.119999999995</v>
      </c>
      <c r="L13" s="124"/>
      <c r="M13" s="93"/>
      <c r="N13" s="93"/>
      <c r="O13" s="128">
        <f>K21+K43-O11</f>
        <v>-82.278540173429064</v>
      </c>
      <c r="Q13" s="127">
        <f>H13/E13-1</f>
        <v>4.3478260869565188E-2</v>
      </c>
    </row>
    <row r="14" spans="1:17" x14ac:dyDescent="0.25">
      <c r="B14" s="20" t="s">
        <v>66</v>
      </c>
      <c r="C14" s="19" t="s">
        <v>10</v>
      </c>
      <c r="D14" s="16">
        <f>D21</f>
        <v>33867439</v>
      </c>
      <c r="E14" s="42">
        <v>6.8199999999999997E-3</v>
      </c>
      <c r="F14" s="122">
        <f>E14*D14</f>
        <v>230975.93398</v>
      </c>
      <c r="H14" s="42">
        <v>5.8199999999999997E-3</v>
      </c>
      <c r="I14" s="123">
        <f>ROUND(D14*H14,2)</f>
        <v>197108.49</v>
      </c>
      <c r="J14" s="91"/>
      <c r="K14" s="122">
        <f>I14-F14</f>
        <v>-33867.443980000011</v>
      </c>
      <c r="L14" s="124"/>
      <c r="M14" s="93"/>
      <c r="N14" s="93"/>
      <c r="O14" s="129"/>
      <c r="Q14" s="127">
        <f>H14/E14-1</f>
        <v>-0.14662756598240467</v>
      </c>
    </row>
    <row r="15" spans="1:17" x14ac:dyDescent="0.25">
      <c r="B15" s="20" t="s">
        <v>127</v>
      </c>
      <c r="C15" s="19"/>
      <c r="D15" s="16"/>
      <c r="E15" s="42"/>
      <c r="F15" s="130">
        <v>35324.22</v>
      </c>
      <c r="H15" s="42"/>
      <c r="I15" s="122">
        <f>F15</f>
        <v>35324.22</v>
      </c>
      <c r="J15" s="91"/>
      <c r="K15" s="122">
        <f>I15-F15</f>
        <v>0</v>
      </c>
      <c r="L15" s="124"/>
      <c r="M15" s="93"/>
      <c r="N15" s="93"/>
      <c r="O15" s="129"/>
    </row>
    <row r="16" spans="1:17" x14ac:dyDescent="0.25">
      <c r="B16" s="20"/>
      <c r="C16" s="19"/>
      <c r="D16" s="16"/>
      <c r="E16" s="42"/>
      <c r="F16" s="122"/>
      <c r="H16" s="42"/>
      <c r="I16" s="123"/>
      <c r="J16" s="113"/>
      <c r="K16" s="122"/>
      <c r="L16" s="124"/>
      <c r="M16" s="93"/>
      <c r="N16" s="93"/>
      <c r="O16" s="131"/>
    </row>
    <row r="17" spans="2:17" x14ac:dyDescent="0.25">
      <c r="B17" s="20" t="s">
        <v>84</v>
      </c>
      <c r="C17" s="19"/>
      <c r="D17" s="16"/>
      <c r="E17" s="42"/>
      <c r="F17" s="122"/>
      <c r="H17" s="42"/>
      <c r="I17" s="123"/>
      <c r="J17" s="113"/>
      <c r="K17" s="122"/>
      <c r="L17" s="124"/>
      <c r="M17" s="93"/>
      <c r="N17" s="93"/>
      <c r="O17" s="131"/>
    </row>
    <row r="18" spans="2:17" x14ac:dyDescent="0.25">
      <c r="B18" s="20" t="s">
        <v>13</v>
      </c>
      <c r="C18" s="19" t="s">
        <v>10</v>
      </c>
      <c r="D18" s="16">
        <f>11046842+5658039</f>
        <v>16704881</v>
      </c>
      <c r="E18" s="42">
        <v>0.10206</v>
      </c>
      <c r="F18" s="122">
        <f>ROUND(D18*E18,2)</f>
        <v>1704900.15</v>
      </c>
      <c r="H18" s="42">
        <f>ROUND(E18*(1+$O$18),5)</f>
        <v>0.10756</v>
      </c>
      <c r="I18" s="123">
        <f>ROUND(D18*H18,2)</f>
        <v>1796777</v>
      </c>
      <c r="J18" s="113"/>
      <c r="K18" s="122">
        <f>I18-F18</f>
        <v>91876.850000000093</v>
      </c>
      <c r="L18" s="124"/>
      <c r="M18" s="93"/>
      <c r="N18" s="93"/>
      <c r="O18" s="132">
        <v>5.3911000000000001E-2</v>
      </c>
      <c r="P18" s="62"/>
      <c r="Q18" s="127">
        <f>H18/E18-1</f>
        <v>5.3889868704683597E-2</v>
      </c>
    </row>
    <row r="19" spans="2:17" x14ac:dyDescent="0.25">
      <c r="B19" s="20" t="s">
        <v>14</v>
      </c>
      <c r="C19" s="19" t="s">
        <v>10</v>
      </c>
      <c r="D19" s="16">
        <f>5084980+1899506</f>
        <v>6984486</v>
      </c>
      <c r="E19" s="42">
        <v>5.0500000000000003E-2</v>
      </c>
      <c r="F19" s="122">
        <f>ROUND(D19*E19,2)</f>
        <v>352716.54</v>
      </c>
      <c r="H19" s="42">
        <f>ROUND(E19*(1+$O$18),5)</f>
        <v>5.3220000000000003E-2</v>
      </c>
      <c r="I19" s="123">
        <f>ROUND(D19*H19,2)</f>
        <v>371714.34</v>
      </c>
      <c r="J19" s="113"/>
      <c r="K19" s="122">
        <f>I19-F19</f>
        <v>18997.800000000047</v>
      </c>
      <c r="L19" s="124"/>
      <c r="M19" s="93"/>
      <c r="N19" s="93"/>
      <c r="O19" s="42"/>
      <c r="P19" s="42"/>
      <c r="Q19" s="127">
        <f>H19/E19-1</f>
        <v>5.3861386138613909E-2</v>
      </c>
    </row>
    <row r="20" spans="2:17" x14ac:dyDescent="0.25">
      <c r="B20" s="20" t="s">
        <v>15</v>
      </c>
      <c r="C20" s="19" t="s">
        <v>10</v>
      </c>
      <c r="D20" s="16">
        <f>9097068+1081004</f>
        <v>10178072</v>
      </c>
      <c r="E20" s="42">
        <v>4.8320000000000002E-2</v>
      </c>
      <c r="F20" s="122">
        <f>ROUND(D20*E20,2)</f>
        <v>491804.44</v>
      </c>
      <c r="H20" s="42">
        <f>ROUND(E20*(1+$O$18),5)</f>
        <v>5.092E-2</v>
      </c>
      <c r="I20" s="123">
        <f>ROUND(D20*H20,2)</f>
        <v>518267.43</v>
      </c>
      <c r="J20" s="113"/>
      <c r="K20" s="122">
        <f>I20-F20</f>
        <v>26462.989999999991</v>
      </c>
      <c r="L20" s="133"/>
      <c r="M20" s="93"/>
      <c r="N20" s="93"/>
      <c r="O20" s="42"/>
      <c r="P20" s="42"/>
      <c r="Q20" s="127">
        <f>H20/E20-1</f>
        <v>5.3807947019867575E-2</v>
      </c>
    </row>
    <row r="21" spans="2:17" x14ac:dyDescent="0.25">
      <c r="B21" s="134" t="s">
        <v>184</v>
      </c>
      <c r="C21" s="23"/>
      <c r="D21" s="44">
        <f>SUM(D18:D20)</f>
        <v>33867439</v>
      </c>
      <c r="E21" s="91"/>
      <c r="F21" s="135">
        <f>SUM(F12:F20)</f>
        <v>4241105.9139799997</v>
      </c>
      <c r="H21" s="43"/>
      <c r="I21" s="135">
        <f>SUM(I12:I20)</f>
        <v>4412253.4399999995</v>
      </c>
      <c r="J21" s="113"/>
      <c r="K21" s="135">
        <f>SUM(K12:K20)</f>
        <v>171147.52602000008</v>
      </c>
      <c r="L21" s="136">
        <f>K21/F21</f>
        <v>4.0354456948562586E-2</v>
      </c>
      <c r="M21" s="93"/>
      <c r="N21" s="93"/>
      <c r="O21" s="137"/>
      <c r="P21" s="54"/>
      <c r="Q21" s="138"/>
    </row>
    <row r="22" spans="2:17" ht="12.75" customHeight="1" x14ac:dyDescent="0.25">
      <c r="B22" s="21"/>
      <c r="C22" s="23"/>
      <c r="D22" s="16"/>
      <c r="E22" s="91"/>
      <c r="F22" s="123"/>
      <c r="H22" s="43"/>
      <c r="I22" s="123"/>
      <c r="J22" s="113"/>
      <c r="K22" s="122"/>
      <c r="L22" s="124"/>
      <c r="M22" s="93"/>
      <c r="N22" s="93"/>
      <c r="O22" s="139"/>
      <c r="P22" s="140"/>
      <c r="Q22" s="141"/>
    </row>
    <row r="23" spans="2:17" ht="12.75" customHeight="1" x14ac:dyDescent="0.25">
      <c r="B23" s="142" t="s">
        <v>145</v>
      </c>
      <c r="C23" s="23"/>
      <c r="D23" s="16"/>
      <c r="E23" s="91"/>
      <c r="F23" s="123"/>
      <c r="H23" s="43"/>
      <c r="I23" s="123"/>
      <c r="J23" s="113"/>
      <c r="K23" s="122"/>
      <c r="L23" s="124"/>
      <c r="M23" s="93"/>
      <c r="N23" s="93"/>
      <c r="O23" s="139"/>
      <c r="P23" s="140"/>
      <c r="Q23" s="141"/>
    </row>
    <row r="24" spans="2:17" x14ac:dyDescent="0.25">
      <c r="B24" s="20" t="s">
        <v>85</v>
      </c>
      <c r="C24" s="19" t="s">
        <v>10</v>
      </c>
      <c r="D24" s="143">
        <f>D21</f>
        <v>33867439</v>
      </c>
      <c r="E24" s="42">
        <v>0.35859999999999997</v>
      </c>
      <c r="F24" s="123">
        <f>D24*E24</f>
        <v>12144863.625399999</v>
      </c>
      <c r="G24" s="144"/>
      <c r="H24" s="42">
        <v>0.39017000000000002</v>
      </c>
      <c r="I24" s="123">
        <f>$D24*H24</f>
        <v>13214058.674630001</v>
      </c>
      <c r="J24" s="113"/>
      <c r="K24" s="122">
        <f>I24-F24</f>
        <v>1069195.0492300019</v>
      </c>
      <c r="L24" s="124"/>
      <c r="M24" s="93"/>
      <c r="N24" s="145"/>
    </row>
    <row r="25" spans="2:17" x14ac:dyDescent="0.25">
      <c r="B25" s="20" t="s">
        <v>24</v>
      </c>
      <c r="C25" s="19" t="s">
        <v>74</v>
      </c>
      <c r="D25" s="143">
        <f>D13</f>
        <v>764342.29739393946</v>
      </c>
      <c r="E25" s="43">
        <v>1.05</v>
      </c>
      <c r="F25" s="123">
        <f>D25*E25</f>
        <v>802559.41226363648</v>
      </c>
      <c r="G25" s="144"/>
      <c r="H25" s="43">
        <v>1.05</v>
      </c>
      <c r="I25" s="123">
        <f>$D25*H25</f>
        <v>802559.41226363648</v>
      </c>
      <c r="J25" s="113"/>
      <c r="K25" s="122">
        <f>I25-F25</f>
        <v>0</v>
      </c>
      <c r="L25" s="133"/>
      <c r="M25" s="93"/>
      <c r="N25" s="93"/>
    </row>
    <row r="26" spans="2:17" x14ac:dyDescent="0.25">
      <c r="B26" s="21" t="s">
        <v>185</v>
      </c>
      <c r="C26" s="23"/>
      <c r="D26" s="35"/>
      <c r="E26" s="91"/>
      <c r="F26" s="135">
        <f>SUM(F24:F25)</f>
        <v>12947423.037663635</v>
      </c>
      <c r="G26" s="35"/>
      <c r="H26" s="43"/>
      <c r="I26" s="135">
        <f>SUM(I24:I25)</f>
        <v>14016618.086893637</v>
      </c>
      <c r="J26" s="91"/>
      <c r="K26" s="135">
        <f>SUM(K24:K25)</f>
        <v>1069195.0492300019</v>
      </c>
      <c r="L26" s="136">
        <f>ROUND(K26/F26,5)</f>
        <v>8.2580000000000001E-2</v>
      </c>
      <c r="M26" s="93"/>
      <c r="N26" s="93"/>
      <c r="O26" s="139"/>
      <c r="P26" s="140"/>
      <c r="Q26" s="141"/>
    </row>
    <row r="27" spans="2:17" x14ac:dyDescent="0.25">
      <c r="B27" s="20"/>
      <c r="C27" s="19"/>
      <c r="D27" s="16"/>
      <c r="E27" s="43"/>
      <c r="F27" s="123"/>
      <c r="H27" s="43"/>
      <c r="I27" s="123"/>
      <c r="J27" s="113"/>
      <c r="K27" s="122"/>
      <c r="L27" s="133"/>
      <c r="M27" s="93"/>
      <c r="N27" s="93"/>
    </row>
    <row r="28" spans="2:17" x14ac:dyDescent="0.25">
      <c r="B28" s="20" t="s">
        <v>26</v>
      </c>
      <c r="C28" s="19"/>
      <c r="D28" s="16"/>
      <c r="E28" s="42"/>
      <c r="F28" s="135">
        <f>F21+F26</f>
        <v>17188528.951643635</v>
      </c>
      <c r="H28" s="43"/>
      <c r="I28" s="135">
        <f>I21+I26</f>
        <v>18428871.526893638</v>
      </c>
      <c r="J28" s="113"/>
      <c r="K28" s="135">
        <f>K21+K26</f>
        <v>1240342.5752500019</v>
      </c>
      <c r="L28" s="136">
        <f>K28/F28</f>
        <v>7.2161066181954767E-2</v>
      </c>
      <c r="M28" s="93"/>
      <c r="N28" s="93"/>
    </row>
    <row r="29" spans="2:17" x14ac:dyDescent="0.25">
      <c r="B29" s="20"/>
      <c r="C29" s="19"/>
      <c r="D29" s="16"/>
      <c r="E29" s="42"/>
      <c r="F29" s="146"/>
      <c r="H29" s="43"/>
      <c r="I29" s="123"/>
      <c r="J29" s="113"/>
      <c r="K29" s="122"/>
      <c r="L29" s="133"/>
      <c r="M29" s="93"/>
      <c r="N29" s="93"/>
    </row>
    <row r="30" spans="2:17" x14ac:dyDescent="0.25">
      <c r="B30" s="147"/>
      <c r="C30" s="148"/>
      <c r="D30" s="48"/>
      <c r="E30" s="149"/>
      <c r="F30" s="150"/>
      <c r="G30" s="48"/>
      <c r="H30" s="151"/>
      <c r="I30" s="150"/>
      <c r="J30" s="152"/>
      <c r="K30" s="150"/>
      <c r="L30" s="153"/>
      <c r="M30" s="93"/>
      <c r="N30" s="93"/>
    </row>
    <row r="31" spans="2:17" x14ac:dyDescent="0.25">
      <c r="B31" s="35"/>
      <c r="C31" s="35"/>
      <c r="D31" s="16"/>
      <c r="E31" s="42"/>
      <c r="F31" s="146"/>
      <c r="H31" s="43"/>
      <c r="I31" s="130"/>
      <c r="J31" s="154"/>
      <c r="K31" s="146"/>
      <c r="L31" s="155"/>
      <c r="M31" s="93"/>
      <c r="N31" s="93"/>
    </row>
    <row r="32" spans="2:17" x14ac:dyDescent="0.25">
      <c r="B32" s="18" t="s">
        <v>135</v>
      </c>
      <c r="C32" s="22"/>
      <c r="D32" s="44"/>
      <c r="E32" s="115"/>
      <c r="F32" s="116"/>
      <c r="G32" s="117"/>
      <c r="H32" s="118"/>
      <c r="I32" s="119"/>
      <c r="J32" s="119"/>
      <c r="K32" s="116"/>
      <c r="L32" s="120"/>
      <c r="M32" s="93"/>
      <c r="N32" s="93"/>
      <c r="O32" s="38"/>
      <c r="P32" s="37"/>
      <c r="Q32" s="16"/>
    </row>
    <row r="33" spans="2:17" x14ac:dyDescent="0.25">
      <c r="B33" s="20"/>
      <c r="C33" s="19"/>
      <c r="D33" s="16"/>
      <c r="E33" s="90"/>
      <c r="F33" s="122"/>
      <c r="G33" s="112"/>
      <c r="H33" s="43"/>
      <c r="I33" s="123"/>
      <c r="J33" s="113"/>
      <c r="K33" s="122"/>
      <c r="L33" s="124"/>
      <c r="M33" s="93"/>
      <c r="N33" s="93"/>
      <c r="O33" s="35"/>
      <c r="P33" s="35"/>
      <c r="Q33" s="16"/>
    </row>
    <row r="34" spans="2:17" x14ac:dyDescent="0.25">
      <c r="B34" s="21" t="s">
        <v>142</v>
      </c>
      <c r="C34" s="23" t="s">
        <v>67</v>
      </c>
      <c r="D34" s="16">
        <v>1640.063439933019</v>
      </c>
      <c r="E34" s="43">
        <v>901.5</v>
      </c>
      <c r="F34" s="122">
        <f>ROUND(D34*E34,2)</f>
        <v>1478517.19</v>
      </c>
      <c r="H34" s="43">
        <f>ROUND(E34*(1+$O$18),2)</f>
        <v>950.1</v>
      </c>
      <c r="I34" s="123">
        <f>ROUND(D34*H34,2)</f>
        <v>1558224.27</v>
      </c>
      <c r="J34" s="113"/>
      <c r="K34" s="122">
        <f>I34-F34</f>
        <v>79707.080000000075</v>
      </c>
      <c r="L34" s="124"/>
      <c r="M34" s="93"/>
      <c r="N34" s="93"/>
      <c r="O34" s="37"/>
      <c r="P34" s="37"/>
      <c r="Q34" s="127">
        <f>H34/E34-1</f>
        <v>5.391014975041597E-2</v>
      </c>
    </row>
    <row r="35" spans="2:17" x14ac:dyDescent="0.25">
      <c r="B35" s="20" t="s">
        <v>24</v>
      </c>
      <c r="C35" s="19" t="s">
        <v>74</v>
      </c>
      <c r="D35" s="16">
        <v>1347720.5630000001</v>
      </c>
      <c r="E35" s="43">
        <v>1.1499999999999999</v>
      </c>
      <c r="F35" s="122">
        <f>ROUND(D35*E35,2)</f>
        <v>1549878.65</v>
      </c>
      <c r="H35" s="43">
        <f>$H$13</f>
        <v>1.2</v>
      </c>
      <c r="I35" s="123">
        <f>ROUND(D35*H35,2)</f>
        <v>1617264.68</v>
      </c>
      <c r="J35" s="113"/>
      <c r="K35" s="122">
        <f>I35-F35</f>
        <v>67386.030000000028</v>
      </c>
      <c r="L35" s="124"/>
      <c r="M35" s="93"/>
      <c r="N35" s="93"/>
      <c r="O35" s="35"/>
      <c r="P35" s="35"/>
      <c r="Q35" s="127">
        <f>H35/E35-1</f>
        <v>4.3478260869565188E-2</v>
      </c>
    </row>
    <row r="36" spans="2:17" x14ac:dyDescent="0.25">
      <c r="B36" s="20" t="s">
        <v>127</v>
      </c>
      <c r="C36" s="19"/>
      <c r="D36" s="16"/>
      <c r="E36" s="43"/>
      <c r="F36" s="123">
        <f>3627+22860</f>
        <v>26487</v>
      </c>
      <c r="H36" s="43"/>
      <c r="I36" s="123">
        <f>F36</f>
        <v>26487</v>
      </c>
      <c r="J36" s="113"/>
      <c r="K36" s="122">
        <f>I36-F36</f>
        <v>0</v>
      </c>
      <c r="L36" s="124"/>
      <c r="M36" s="93"/>
      <c r="N36" s="93"/>
      <c r="O36" s="35"/>
      <c r="P36" s="35"/>
      <c r="Q36" s="16"/>
    </row>
    <row r="37" spans="2:17" x14ac:dyDescent="0.25">
      <c r="B37" s="20"/>
      <c r="C37" s="19"/>
      <c r="D37" s="16"/>
      <c r="E37" s="42"/>
      <c r="F37" s="19"/>
      <c r="H37" s="42"/>
      <c r="I37" s="19"/>
      <c r="J37" s="91"/>
      <c r="K37" s="122"/>
      <c r="L37" s="124"/>
      <c r="M37" s="93"/>
      <c r="N37" s="93"/>
      <c r="O37" s="35"/>
      <c r="P37" s="35"/>
      <c r="Q37" s="16"/>
    </row>
    <row r="38" spans="2:17" x14ac:dyDescent="0.25">
      <c r="B38" s="20"/>
      <c r="C38" s="19"/>
      <c r="D38" s="16"/>
      <c r="E38" s="42"/>
      <c r="F38" s="122"/>
      <c r="H38" s="42"/>
      <c r="I38" s="123"/>
      <c r="J38" s="113"/>
      <c r="K38" s="122"/>
      <c r="L38" s="124"/>
      <c r="M38" s="93"/>
      <c r="N38" s="93"/>
      <c r="O38" s="19"/>
      <c r="P38" s="35"/>
      <c r="Q38" s="16"/>
    </row>
    <row r="39" spans="2:17" x14ac:dyDescent="0.25">
      <c r="B39" s="20" t="s">
        <v>84</v>
      </c>
      <c r="C39" s="19"/>
      <c r="D39" s="16"/>
      <c r="E39" s="42"/>
      <c r="F39" s="122"/>
      <c r="H39" s="42"/>
      <c r="I39" s="123"/>
      <c r="J39" s="113"/>
      <c r="K39" s="122"/>
      <c r="L39" s="124"/>
      <c r="M39" s="93"/>
      <c r="N39" s="93"/>
      <c r="O39" s="35"/>
      <c r="P39" s="35"/>
      <c r="Q39" s="16"/>
    </row>
    <row r="40" spans="2:17" x14ac:dyDescent="0.25">
      <c r="B40" s="20" t="s">
        <v>13</v>
      </c>
      <c r="C40" s="19" t="s">
        <v>10</v>
      </c>
      <c r="D40" s="16">
        <f>14329041+23121411</f>
        <v>37450452</v>
      </c>
      <c r="E40" s="42">
        <v>0.10206</v>
      </c>
      <c r="F40" s="122">
        <f>ROUND(D40*E40,2)</f>
        <v>3822193.13</v>
      </c>
      <c r="H40" s="42">
        <f>H18</f>
        <v>0.10756</v>
      </c>
      <c r="I40" s="123">
        <f>ROUND(D40*H40,2)</f>
        <v>4028170.62</v>
      </c>
      <c r="J40" s="113"/>
      <c r="K40" s="122">
        <f>I40-F40</f>
        <v>205977.49000000022</v>
      </c>
      <c r="L40" s="124"/>
      <c r="M40" s="93"/>
      <c r="N40" s="93"/>
      <c r="O40" s="35"/>
      <c r="P40" s="35"/>
      <c r="Q40" s="127">
        <f>H40/E40-1</f>
        <v>5.3889868704683597E-2</v>
      </c>
    </row>
    <row r="41" spans="2:17" x14ac:dyDescent="0.25">
      <c r="B41" s="20" t="s">
        <v>14</v>
      </c>
      <c r="C41" s="19" t="s">
        <v>10</v>
      </c>
      <c r="D41" s="16">
        <f>7997840+14025585</f>
        <v>22023425</v>
      </c>
      <c r="E41" s="42">
        <v>5.0500000000000003E-2</v>
      </c>
      <c r="F41" s="122">
        <f>ROUND(D41*E41,2)</f>
        <v>1112182.96</v>
      </c>
      <c r="H41" s="42">
        <f>H19</f>
        <v>5.3220000000000003E-2</v>
      </c>
      <c r="I41" s="123">
        <f>ROUND(D41*H41,2)</f>
        <v>1172086.68</v>
      </c>
      <c r="J41" s="113"/>
      <c r="K41" s="122">
        <f>I41-F41</f>
        <v>59903.719999999972</v>
      </c>
      <c r="L41" s="124"/>
      <c r="M41" s="93"/>
      <c r="N41" s="93"/>
      <c r="O41" s="35"/>
      <c r="P41" s="35"/>
      <c r="Q41" s="127">
        <f>H41/E41-1</f>
        <v>5.3861386138613909E-2</v>
      </c>
    </row>
    <row r="42" spans="2:17" x14ac:dyDescent="0.25">
      <c r="B42" s="20" t="s">
        <v>18</v>
      </c>
      <c r="C42" s="19" t="s">
        <v>10</v>
      </c>
      <c r="D42" s="16">
        <f>8579226+24449589</f>
        <v>33028815</v>
      </c>
      <c r="E42" s="42">
        <v>4.8320000000000002E-2</v>
      </c>
      <c r="F42" s="150">
        <f>ROUND(D42*E42,2)</f>
        <v>1595952.34</v>
      </c>
      <c r="H42" s="42">
        <f>H20</f>
        <v>5.092E-2</v>
      </c>
      <c r="I42" s="123">
        <f>ROUND(D42*H42,2)</f>
        <v>1681827.26</v>
      </c>
      <c r="J42" s="113"/>
      <c r="K42" s="122">
        <f>I42-F42</f>
        <v>85874.919999999925</v>
      </c>
      <c r="L42" s="133"/>
      <c r="M42" s="93"/>
      <c r="N42" s="93"/>
      <c r="O42" s="35"/>
      <c r="P42" s="35"/>
      <c r="Q42" s="127">
        <f>H42/E42-1</f>
        <v>5.3807947019867575E-2</v>
      </c>
    </row>
    <row r="43" spans="2:17" x14ac:dyDescent="0.25">
      <c r="B43" s="134" t="s">
        <v>184</v>
      </c>
      <c r="C43" s="23"/>
      <c r="D43" s="44">
        <f>SUM(D40:D42)</f>
        <v>92502692</v>
      </c>
      <c r="E43" s="91"/>
      <c r="F43" s="135">
        <f>SUM(F34:F42)</f>
        <v>9585211.2699999996</v>
      </c>
      <c r="H43" s="43"/>
      <c r="I43" s="135">
        <f>SUM(I34:I42)</f>
        <v>10084060.51</v>
      </c>
      <c r="J43" s="113"/>
      <c r="K43" s="135">
        <f>SUM(K34:K42)</f>
        <v>498849.24000000022</v>
      </c>
      <c r="L43" s="136">
        <f>K43/F43</f>
        <v>5.2043635340757621E-2</v>
      </c>
      <c r="M43" s="93"/>
      <c r="N43" s="93"/>
      <c r="O43" s="35"/>
      <c r="P43" s="35"/>
      <c r="Q43" s="16"/>
    </row>
    <row r="44" spans="2:17" x14ac:dyDescent="0.25">
      <c r="B44" s="21"/>
      <c r="C44" s="23"/>
      <c r="D44" s="16"/>
      <c r="E44" s="91"/>
      <c r="F44" s="123"/>
      <c r="H44" s="43"/>
      <c r="I44" s="123"/>
      <c r="J44" s="113"/>
      <c r="K44" s="122"/>
      <c r="L44" s="124"/>
      <c r="M44" s="93"/>
      <c r="N44" s="93"/>
      <c r="O44" s="37"/>
      <c r="P44" s="35"/>
      <c r="Q44" s="16"/>
    </row>
    <row r="45" spans="2:17" x14ac:dyDescent="0.25">
      <c r="B45" s="20" t="s">
        <v>120</v>
      </c>
      <c r="C45" s="19" t="s">
        <v>10</v>
      </c>
      <c r="D45" s="143">
        <f>D43</f>
        <v>92502692</v>
      </c>
      <c r="E45" s="42">
        <v>6.9999999999999999E-4</v>
      </c>
      <c r="F45" s="123">
        <f>E45*D45</f>
        <v>64751.884400000003</v>
      </c>
      <c r="G45" s="144"/>
      <c r="H45" s="42">
        <v>6.9999999999999999E-4</v>
      </c>
      <c r="I45" s="122">
        <f>H45*D45</f>
        <v>64751.884400000003</v>
      </c>
      <c r="J45" s="113"/>
      <c r="K45" s="122">
        <f>I45-F45</f>
        <v>0</v>
      </c>
      <c r="L45" s="124"/>
      <c r="M45" s="93"/>
      <c r="N45" s="93"/>
      <c r="O45" s="37"/>
      <c r="P45" s="37"/>
      <c r="Q45" s="16"/>
    </row>
    <row r="46" spans="2:17" x14ac:dyDescent="0.25">
      <c r="B46" s="21" t="s">
        <v>26</v>
      </c>
      <c r="C46" s="19"/>
      <c r="D46" s="16"/>
      <c r="E46" s="43"/>
      <c r="F46" s="135">
        <f>F45+F43</f>
        <v>9649963.1544000003</v>
      </c>
      <c r="G46" s="35"/>
      <c r="H46" s="43"/>
      <c r="I46" s="135">
        <f>I45+I43</f>
        <v>10148812.394400001</v>
      </c>
      <c r="J46" s="91"/>
      <c r="K46" s="135">
        <f>K45+K43</f>
        <v>498849.24000000022</v>
      </c>
      <c r="L46" s="136">
        <f>ROUND(K46/F46,5)</f>
        <v>5.169E-2</v>
      </c>
      <c r="M46" s="93"/>
      <c r="N46" s="93"/>
      <c r="O46" s="156"/>
      <c r="P46" s="35"/>
      <c r="Q46" s="144"/>
    </row>
    <row r="47" spans="2:17" x14ac:dyDescent="0.25">
      <c r="B47" s="147"/>
      <c r="C47" s="148"/>
      <c r="D47" s="48"/>
      <c r="E47" s="149"/>
      <c r="F47" s="150"/>
      <c r="G47" s="48"/>
      <c r="H47" s="151"/>
      <c r="I47" s="157"/>
      <c r="J47" s="152"/>
      <c r="K47" s="150"/>
      <c r="L47" s="153"/>
      <c r="M47" s="93"/>
      <c r="N47" s="93"/>
      <c r="O47" s="35"/>
      <c r="P47" s="35"/>
      <c r="Q47" s="16"/>
    </row>
    <row r="48" spans="2:17" x14ac:dyDescent="0.25">
      <c r="B48" s="19"/>
      <c r="C48" s="19"/>
      <c r="D48" s="16"/>
      <c r="E48" s="90"/>
      <c r="F48" s="122"/>
      <c r="H48" s="43"/>
      <c r="I48" s="123"/>
      <c r="J48" s="113"/>
      <c r="K48" s="122"/>
      <c r="L48" s="158"/>
      <c r="M48" s="93"/>
      <c r="N48" s="93"/>
      <c r="O48" s="35"/>
      <c r="P48" s="35"/>
      <c r="Q48" s="16"/>
    </row>
    <row r="49" spans="2:17" x14ac:dyDescent="0.25">
      <c r="B49" s="40" t="s">
        <v>139</v>
      </c>
      <c r="C49" s="22"/>
      <c r="D49" s="44"/>
      <c r="E49" s="115"/>
      <c r="F49" s="116"/>
      <c r="G49" s="117"/>
      <c r="H49" s="118"/>
      <c r="I49" s="119"/>
      <c r="J49" s="119"/>
      <c r="K49" s="116"/>
      <c r="L49" s="120"/>
      <c r="M49" s="93"/>
      <c r="N49" s="93"/>
      <c r="O49" s="35"/>
      <c r="P49" s="35"/>
      <c r="Q49" s="16"/>
    </row>
    <row r="50" spans="2:17" x14ac:dyDescent="0.25">
      <c r="B50" s="20"/>
      <c r="C50" s="19"/>
      <c r="D50" s="16"/>
      <c r="E50" s="42"/>
      <c r="F50" s="146"/>
      <c r="G50" s="112"/>
      <c r="H50" s="43"/>
      <c r="I50" s="130"/>
      <c r="J50" s="154"/>
      <c r="K50" s="146"/>
      <c r="L50" s="159"/>
      <c r="M50" s="160"/>
      <c r="N50" s="93"/>
      <c r="O50" s="35"/>
      <c r="P50" s="35"/>
      <c r="Q50" s="16"/>
    </row>
    <row r="51" spans="2:17" x14ac:dyDescent="0.25">
      <c r="B51" s="21" t="s">
        <v>142</v>
      </c>
      <c r="C51" s="23" t="s">
        <v>67</v>
      </c>
      <c r="D51" s="16">
        <f>D34+D12</f>
        <v>2609.7874432425674</v>
      </c>
      <c r="E51" s="43"/>
      <c r="F51" s="146">
        <f>F12+F34</f>
        <v>2024908.18</v>
      </c>
      <c r="H51" s="43"/>
      <c r="I51" s="146">
        <f>I12+I34</f>
        <v>2134075.4699999997</v>
      </c>
      <c r="J51" s="154"/>
      <c r="K51" s="146">
        <f>I51-F51</f>
        <v>109167.2899999998</v>
      </c>
      <c r="L51" s="159"/>
      <c r="M51" s="160"/>
      <c r="N51" s="93"/>
      <c r="O51" s="35"/>
      <c r="P51" s="35"/>
      <c r="Q51" s="127"/>
    </row>
    <row r="52" spans="2:17" x14ac:dyDescent="0.25">
      <c r="B52" s="20" t="s">
        <v>24</v>
      </c>
      <c r="C52" s="19" t="s">
        <v>74</v>
      </c>
      <c r="D52" s="16">
        <f>D35+D13</f>
        <v>2112062.8603939395</v>
      </c>
      <c r="E52" s="43"/>
      <c r="F52" s="146">
        <f>F13+F35</f>
        <v>2428872.29</v>
      </c>
      <c r="H52" s="43"/>
      <c r="I52" s="146">
        <f>I13+I35</f>
        <v>2534475.44</v>
      </c>
      <c r="J52" s="154"/>
      <c r="K52" s="146">
        <f>I52-F52</f>
        <v>105603.14999999991</v>
      </c>
      <c r="L52" s="159"/>
      <c r="M52" s="160"/>
      <c r="N52" s="93"/>
      <c r="O52" s="35"/>
      <c r="P52" s="35"/>
      <c r="Q52" s="127"/>
    </row>
    <row r="53" spans="2:17" x14ac:dyDescent="0.25">
      <c r="B53" s="20" t="s">
        <v>66</v>
      </c>
      <c r="C53" s="19" t="s">
        <v>10</v>
      </c>
      <c r="D53" s="16">
        <f>D36+D14</f>
        <v>33867439</v>
      </c>
      <c r="E53" s="43"/>
      <c r="F53" s="146">
        <f>F14</f>
        <v>230975.93398</v>
      </c>
      <c r="H53" s="43"/>
      <c r="I53" s="146">
        <f>I14</f>
        <v>197108.49</v>
      </c>
      <c r="J53" s="154"/>
      <c r="K53" s="146">
        <f>I53-F53</f>
        <v>-33867.443980000011</v>
      </c>
      <c r="L53" s="159"/>
      <c r="M53" s="160"/>
      <c r="N53" s="93"/>
      <c r="O53" s="35"/>
      <c r="P53" s="35"/>
      <c r="Q53" s="127"/>
    </row>
    <row r="54" spans="2:17" x14ac:dyDescent="0.25">
      <c r="B54" s="20" t="s">
        <v>127</v>
      </c>
      <c r="C54" s="19"/>
      <c r="D54" s="16"/>
      <c r="E54" s="43"/>
      <c r="F54" s="130">
        <f>F15+F36</f>
        <v>61811.22</v>
      </c>
      <c r="H54" s="43"/>
      <c r="I54" s="130">
        <f>I15+I36</f>
        <v>61811.22</v>
      </c>
      <c r="J54" s="154"/>
      <c r="K54" s="146">
        <f>I54-F54</f>
        <v>0</v>
      </c>
      <c r="L54" s="159"/>
      <c r="M54" s="160"/>
      <c r="N54" s="93"/>
      <c r="O54" s="35"/>
      <c r="P54" s="35"/>
      <c r="Q54" s="16"/>
    </row>
    <row r="55" spans="2:17" x14ac:dyDescent="0.25">
      <c r="B55" s="20"/>
      <c r="C55" s="19"/>
      <c r="D55" s="16"/>
      <c r="E55" s="42"/>
      <c r="F55" s="35"/>
      <c r="H55" s="42"/>
      <c r="I55" s="35"/>
      <c r="J55" s="43"/>
      <c r="K55" s="146"/>
      <c r="L55" s="159"/>
      <c r="M55" s="160"/>
      <c r="N55" s="93"/>
      <c r="O55" s="35"/>
      <c r="P55" s="35"/>
      <c r="Q55" s="16"/>
    </row>
    <row r="56" spans="2:17" x14ac:dyDescent="0.25">
      <c r="B56" s="20" t="s">
        <v>84</v>
      </c>
      <c r="C56" s="19"/>
      <c r="D56" s="16"/>
      <c r="E56" s="42"/>
      <c r="F56" s="146"/>
      <c r="H56" s="42"/>
      <c r="I56" s="146"/>
      <c r="J56" s="154"/>
      <c r="K56" s="146"/>
      <c r="L56" s="159"/>
      <c r="M56" s="160"/>
      <c r="N56" s="93"/>
      <c r="O56" s="35"/>
      <c r="P56" s="35"/>
      <c r="Q56" s="16"/>
    </row>
    <row r="57" spans="2:17" x14ac:dyDescent="0.25">
      <c r="B57" s="20" t="s">
        <v>13</v>
      </c>
      <c r="C57" s="19" t="s">
        <v>10</v>
      </c>
      <c r="D57" s="16">
        <f>D40+D18</f>
        <v>54155333</v>
      </c>
      <c r="E57" s="42"/>
      <c r="F57" s="146">
        <f>F18+F40</f>
        <v>5527093.2799999993</v>
      </c>
      <c r="H57" s="42"/>
      <c r="I57" s="146">
        <f>I18+I40</f>
        <v>5824947.6200000001</v>
      </c>
      <c r="J57" s="154"/>
      <c r="K57" s="146">
        <f>I57-F57</f>
        <v>297854.34000000078</v>
      </c>
      <c r="L57" s="159"/>
      <c r="M57" s="160"/>
      <c r="N57" s="93"/>
      <c r="O57" s="35"/>
      <c r="P57" s="35"/>
      <c r="Q57" s="16"/>
    </row>
    <row r="58" spans="2:17" x14ac:dyDescent="0.25">
      <c r="B58" s="20" t="s">
        <v>14</v>
      </c>
      <c r="C58" s="19" t="s">
        <v>10</v>
      </c>
      <c r="D58" s="16">
        <f>D41+D19</f>
        <v>29007911</v>
      </c>
      <c r="E58" s="42"/>
      <c r="F58" s="146">
        <f>F19+F41</f>
        <v>1464899.5</v>
      </c>
      <c r="H58" s="42"/>
      <c r="I58" s="146">
        <f>I19+I41</f>
        <v>1543801.02</v>
      </c>
      <c r="J58" s="154"/>
      <c r="K58" s="146">
        <f>I58-F58</f>
        <v>78901.520000000019</v>
      </c>
      <c r="L58" s="159"/>
      <c r="M58" s="160"/>
      <c r="N58" s="93"/>
      <c r="O58" s="35"/>
      <c r="P58" s="35"/>
      <c r="Q58" s="16"/>
    </row>
    <row r="59" spans="2:17" x14ac:dyDescent="0.25">
      <c r="B59" s="20" t="s">
        <v>15</v>
      </c>
      <c r="C59" s="19" t="s">
        <v>10</v>
      </c>
      <c r="D59" s="16">
        <f>D42+D20</f>
        <v>43206887</v>
      </c>
      <c r="E59" s="42"/>
      <c r="F59" s="161">
        <f>F20+F42</f>
        <v>2087756.78</v>
      </c>
      <c r="H59" s="42"/>
      <c r="I59" s="161">
        <f>I20+I42</f>
        <v>2200094.69</v>
      </c>
      <c r="J59" s="154"/>
      <c r="K59" s="146">
        <f>I59-F59</f>
        <v>112337.90999999992</v>
      </c>
      <c r="L59" s="162"/>
      <c r="M59" s="160"/>
      <c r="N59" s="93"/>
      <c r="O59" s="35"/>
      <c r="P59" s="35"/>
      <c r="Q59" s="16"/>
    </row>
    <row r="60" spans="2:17" x14ac:dyDescent="0.25">
      <c r="B60" s="134" t="s">
        <v>184</v>
      </c>
      <c r="C60" s="23"/>
      <c r="D60" s="44">
        <f>SUM(D57:D59)</f>
        <v>126370131</v>
      </c>
      <c r="E60" s="43"/>
      <c r="F60" s="163">
        <f>SUM(F51:F59)</f>
        <v>13826317.183979997</v>
      </c>
      <c r="H60" s="43"/>
      <c r="I60" s="163">
        <f>SUM(I51:I59)</f>
        <v>14496313.949999999</v>
      </c>
      <c r="J60" s="154"/>
      <c r="K60" s="163">
        <f>SUM(K51:K59)</f>
        <v>669996.76602000045</v>
      </c>
      <c r="L60" s="136">
        <f>K60/F60</f>
        <v>4.8458078684633317E-2</v>
      </c>
      <c r="M60" s="160"/>
      <c r="N60" s="93"/>
      <c r="O60" s="35"/>
      <c r="P60" s="35"/>
      <c r="Q60" s="16"/>
    </row>
    <row r="61" spans="2:17" x14ac:dyDescent="0.25">
      <c r="B61" s="21"/>
      <c r="C61" s="23"/>
      <c r="D61" s="16"/>
      <c r="E61" s="43"/>
      <c r="F61" s="130"/>
      <c r="H61" s="43"/>
      <c r="I61" s="130"/>
      <c r="J61" s="154"/>
      <c r="K61" s="146"/>
      <c r="L61" s="159"/>
      <c r="M61" s="160"/>
      <c r="N61" s="93"/>
      <c r="O61" s="35"/>
      <c r="P61" s="35"/>
      <c r="Q61" s="16"/>
    </row>
    <row r="62" spans="2:17" x14ac:dyDescent="0.25">
      <c r="B62" s="142" t="s">
        <v>145</v>
      </c>
      <c r="C62" s="23"/>
      <c r="D62" s="16"/>
      <c r="E62" s="43"/>
      <c r="F62" s="130"/>
      <c r="H62" s="43"/>
      <c r="I62" s="130"/>
      <c r="J62" s="154"/>
      <c r="K62" s="146"/>
      <c r="L62" s="159"/>
      <c r="M62" s="160"/>
      <c r="N62" s="93"/>
      <c r="O62" s="35"/>
      <c r="P62" s="35"/>
      <c r="Q62" s="16"/>
    </row>
    <row r="63" spans="2:17" x14ac:dyDescent="0.25">
      <c r="B63" s="20" t="s">
        <v>85</v>
      </c>
      <c r="C63" s="23"/>
      <c r="D63" s="16">
        <f>D24</f>
        <v>33867439</v>
      </c>
      <c r="E63" s="43"/>
      <c r="F63" s="130">
        <f>F24</f>
        <v>12144863.625399999</v>
      </c>
      <c r="H63" s="43"/>
      <c r="I63" s="130">
        <f>I24</f>
        <v>13214058.674630001</v>
      </c>
      <c r="J63" s="154"/>
      <c r="K63" s="146">
        <f>I63-F63</f>
        <v>1069195.0492300019</v>
      </c>
      <c r="L63" s="159"/>
      <c r="M63" s="160"/>
      <c r="N63" s="93"/>
      <c r="O63" s="35"/>
      <c r="P63" s="35"/>
      <c r="Q63" s="16"/>
    </row>
    <row r="64" spans="2:17" x14ac:dyDescent="0.25">
      <c r="B64" s="20" t="s">
        <v>24</v>
      </c>
      <c r="C64" s="23"/>
      <c r="D64" s="16">
        <f>D25</f>
        <v>764342.29739393946</v>
      </c>
      <c r="E64" s="43"/>
      <c r="F64" s="130">
        <f>F25</f>
        <v>802559.41226363648</v>
      </c>
      <c r="H64" s="43"/>
      <c r="I64" s="130">
        <f>I25</f>
        <v>802559.41226363648</v>
      </c>
      <c r="J64" s="154"/>
      <c r="K64" s="146">
        <f>I64-F64</f>
        <v>0</v>
      </c>
      <c r="L64" s="159"/>
      <c r="M64" s="160"/>
      <c r="N64" s="93"/>
      <c r="O64" s="35"/>
      <c r="P64" s="35"/>
      <c r="Q64" s="16"/>
    </row>
    <row r="65" spans="1:17" x14ac:dyDescent="0.25">
      <c r="B65" s="20" t="s">
        <v>120</v>
      </c>
      <c r="C65" s="19" t="s">
        <v>10</v>
      </c>
      <c r="D65" s="16">
        <f>D45</f>
        <v>92502692</v>
      </c>
      <c r="E65" s="43"/>
      <c r="F65" s="130">
        <f>F45</f>
        <v>64751.884400000003</v>
      </c>
      <c r="H65" s="43"/>
      <c r="I65" s="130">
        <f>I45</f>
        <v>64751.884400000003</v>
      </c>
      <c r="J65" s="154"/>
      <c r="K65" s="146">
        <f>I65-F65</f>
        <v>0</v>
      </c>
      <c r="L65" s="159"/>
      <c r="M65" s="160"/>
      <c r="N65" s="93"/>
      <c r="O65" s="35"/>
      <c r="P65" s="35"/>
      <c r="Q65" s="16"/>
    </row>
    <row r="66" spans="1:17" x14ac:dyDescent="0.25">
      <c r="B66" s="21" t="s">
        <v>185</v>
      </c>
      <c r="C66" s="23"/>
      <c r="D66" s="16"/>
      <c r="E66" s="43"/>
      <c r="F66" s="163">
        <f>SUM(F63:F65)</f>
        <v>13012174.922063636</v>
      </c>
      <c r="H66" s="43"/>
      <c r="I66" s="163">
        <f>SUM(I63:I65)</f>
        <v>14081369.971293638</v>
      </c>
      <c r="J66" s="154"/>
      <c r="K66" s="163">
        <f>SUM(K63:K65)</f>
        <v>1069195.0492300019</v>
      </c>
      <c r="L66" s="136">
        <f>K66/F66</f>
        <v>8.2168819250735631E-2</v>
      </c>
      <c r="M66" s="160"/>
      <c r="N66" s="93"/>
      <c r="O66" s="35"/>
      <c r="P66" s="35"/>
      <c r="Q66" s="16"/>
    </row>
    <row r="67" spans="1:17" x14ac:dyDescent="0.25">
      <c r="B67" s="21"/>
      <c r="C67" s="23"/>
      <c r="D67" s="16"/>
      <c r="E67" s="43"/>
      <c r="F67" s="130"/>
      <c r="H67" s="43"/>
      <c r="I67" s="130"/>
      <c r="J67" s="154"/>
      <c r="K67" s="146"/>
      <c r="L67" s="159"/>
      <c r="M67" s="160"/>
      <c r="N67" s="93"/>
      <c r="O67" s="35"/>
      <c r="P67" s="35"/>
      <c r="Q67" s="16"/>
    </row>
    <row r="68" spans="1:17" x14ac:dyDescent="0.25">
      <c r="B68" s="20" t="s">
        <v>26</v>
      </c>
      <c r="C68" s="19"/>
      <c r="D68" s="16"/>
      <c r="E68" s="43"/>
      <c r="F68" s="163">
        <f>F60+F66</f>
        <v>26838492.106043633</v>
      </c>
      <c r="H68" s="43"/>
      <c r="I68" s="163">
        <f>I60+I66</f>
        <v>28577683.921293639</v>
      </c>
      <c r="J68" s="154"/>
      <c r="K68" s="163">
        <f>K60+K66</f>
        <v>1739191.8152500023</v>
      </c>
      <c r="L68" s="136">
        <f>K68/F68</f>
        <v>6.4802143443012661E-2</v>
      </c>
      <c r="M68" s="160"/>
      <c r="N68" s="93"/>
    </row>
    <row r="69" spans="1:17" x14ac:dyDescent="0.25">
      <c r="B69" s="147"/>
      <c r="C69" s="148"/>
      <c r="D69" s="48"/>
      <c r="E69" s="164"/>
      <c r="F69" s="161"/>
      <c r="G69" s="48"/>
      <c r="H69" s="151"/>
      <c r="I69" s="165"/>
      <c r="J69" s="166"/>
      <c r="K69" s="161"/>
      <c r="L69" s="167"/>
      <c r="M69" s="160"/>
      <c r="N69" s="93"/>
    </row>
    <row r="70" spans="1:17" x14ac:dyDescent="0.25">
      <c r="A70" s="19"/>
      <c r="B70" s="19"/>
      <c r="C70" s="19"/>
      <c r="D70" s="16"/>
      <c r="E70" s="90"/>
      <c r="F70" s="122"/>
      <c r="H70" s="43"/>
      <c r="I70" s="123"/>
      <c r="J70" s="113"/>
      <c r="K70" s="122"/>
      <c r="L70" s="158"/>
      <c r="M70" s="93"/>
      <c r="N70" s="93"/>
      <c r="O70" s="148"/>
    </row>
    <row r="71" spans="1:17" x14ac:dyDescent="0.25">
      <c r="B71" s="18" t="s">
        <v>148</v>
      </c>
      <c r="C71" s="22"/>
      <c r="D71" s="44"/>
      <c r="E71" s="115"/>
      <c r="F71" s="116"/>
      <c r="G71" s="44"/>
      <c r="H71" s="118"/>
      <c r="I71" s="135"/>
      <c r="J71" s="119"/>
      <c r="K71" s="116"/>
      <c r="L71" s="168"/>
      <c r="M71" s="93"/>
      <c r="N71" s="169"/>
      <c r="O71" s="170" t="s">
        <v>195</v>
      </c>
    </row>
    <row r="72" spans="1:17" x14ac:dyDescent="0.25">
      <c r="B72" s="20"/>
      <c r="C72" s="19"/>
      <c r="D72" s="16"/>
      <c r="E72" s="90"/>
      <c r="F72" s="122"/>
      <c r="G72" s="112"/>
      <c r="H72" s="43"/>
      <c r="I72" s="123"/>
      <c r="J72" s="113"/>
      <c r="K72" s="122"/>
      <c r="L72" s="124"/>
      <c r="M72" s="93"/>
      <c r="N72" s="169"/>
      <c r="O72" s="171">
        <f>'JAP-24 - Page 1'!J17</f>
        <v>52712.608576034087</v>
      </c>
    </row>
    <row r="73" spans="1:17" x14ac:dyDescent="0.25">
      <c r="B73" s="21" t="s">
        <v>142</v>
      </c>
      <c r="C73" s="23" t="s">
        <v>67</v>
      </c>
      <c r="D73" s="16">
        <v>2858.9139747435988</v>
      </c>
      <c r="E73" s="43">
        <v>144.01</v>
      </c>
      <c r="F73" s="122">
        <f>ROUND(D73*E73,2)</f>
        <v>411712.2</v>
      </c>
      <c r="H73" s="43">
        <f>ROUND(E73*(1+$O$79),2)</f>
        <v>145.68</v>
      </c>
      <c r="I73" s="123">
        <f>ROUND(D73*H73,2)</f>
        <v>416486.59</v>
      </c>
      <c r="J73" s="113"/>
      <c r="K73" s="122">
        <f>I73-F73</f>
        <v>4774.390000000014</v>
      </c>
      <c r="L73" s="124"/>
      <c r="M73" s="93"/>
      <c r="N73" s="93"/>
      <c r="O73" s="126" t="s">
        <v>118</v>
      </c>
      <c r="Q73" s="127">
        <f>H73/E73-1</f>
        <v>1.1596416915492069E-2</v>
      </c>
    </row>
    <row r="74" spans="1:17" x14ac:dyDescent="0.25">
      <c r="B74" s="20" t="s">
        <v>24</v>
      </c>
      <c r="C74" s="19" t="s">
        <v>74</v>
      </c>
      <c r="D74" s="16">
        <v>84423.830999999991</v>
      </c>
      <c r="E74" s="43">
        <v>1.1499999999999999</v>
      </c>
      <c r="F74" s="122">
        <f>ROUND(D74*E74,2)</f>
        <v>97087.41</v>
      </c>
      <c r="H74" s="43">
        <v>1.21</v>
      </c>
      <c r="I74" s="123">
        <f>ROUND(D74*H74,2)</f>
        <v>102152.84</v>
      </c>
      <c r="J74" s="113"/>
      <c r="K74" s="122">
        <f>I74-F74</f>
        <v>5065.429999999993</v>
      </c>
      <c r="L74" s="124"/>
      <c r="M74" s="93"/>
      <c r="N74" s="93"/>
      <c r="O74" s="128">
        <f>K81+K100-O72</f>
        <v>29.351423965810682</v>
      </c>
      <c r="Q74" s="127">
        <f>H74/E74-1</f>
        <v>5.2173913043478404E-2</v>
      </c>
    </row>
    <row r="75" spans="1:17" x14ac:dyDescent="0.25">
      <c r="B75" s="20" t="s">
        <v>66</v>
      </c>
      <c r="C75" s="19" t="s">
        <v>10</v>
      </c>
      <c r="D75" s="16">
        <f>D81</f>
        <v>9606000</v>
      </c>
      <c r="E75" s="42">
        <v>6.8100000000000001E-3</v>
      </c>
      <c r="F75" s="122">
        <f>ROUND(D75*E75,2)</f>
        <v>65416.86</v>
      </c>
      <c r="H75" s="42">
        <v>9.3399999999999993E-3</v>
      </c>
      <c r="I75" s="123">
        <f>ROUND(D81*H75,2)</f>
        <v>89720.04</v>
      </c>
      <c r="J75" s="113"/>
      <c r="K75" s="122">
        <f>I75-F75</f>
        <v>24303.179999999993</v>
      </c>
      <c r="L75" s="124"/>
      <c r="M75" s="93"/>
      <c r="N75" s="93"/>
      <c r="Q75" s="127">
        <f>H75/E75-1</f>
        <v>0.37151248164464001</v>
      </c>
    </row>
    <row r="76" spans="1:17" x14ac:dyDescent="0.25">
      <c r="B76" s="20" t="s">
        <v>127</v>
      </c>
      <c r="C76" s="19"/>
      <c r="D76" s="16"/>
      <c r="E76" s="42"/>
      <c r="F76" s="123">
        <f>28812+3492</f>
        <v>32304</v>
      </c>
      <c r="H76" s="42"/>
      <c r="I76" s="123">
        <f>F76</f>
        <v>32304</v>
      </c>
      <c r="J76" s="113"/>
      <c r="K76" s="122">
        <f>I76-F76</f>
        <v>0</v>
      </c>
      <c r="L76" s="124"/>
      <c r="M76" s="93"/>
      <c r="N76" s="93"/>
      <c r="O76" s="131"/>
    </row>
    <row r="77" spans="1:17" x14ac:dyDescent="0.25">
      <c r="B77" s="20"/>
      <c r="C77" s="19"/>
      <c r="D77" s="16"/>
      <c r="E77" s="42"/>
      <c r="F77" s="122"/>
      <c r="H77" s="42"/>
      <c r="I77" s="123"/>
      <c r="J77" s="113"/>
      <c r="K77" s="122"/>
      <c r="L77" s="124"/>
      <c r="M77" s="93"/>
      <c r="N77" s="93"/>
      <c r="O77" s="36"/>
      <c r="P77" s="140"/>
      <c r="Q77" s="140"/>
    </row>
    <row r="78" spans="1:17" x14ac:dyDescent="0.25">
      <c r="B78" s="20" t="s">
        <v>84</v>
      </c>
      <c r="C78" s="19"/>
      <c r="D78" s="16"/>
      <c r="E78" s="42"/>
      <c r="F78" s="122"/>
      <c r="H78" s="42"/>
      <c r="I78" s="123"/>
      <c r="J78" s="113"/>
      <c r="K78" s="122"/>
      <c r="L78" s="124"/>
      <c r="M78" s="93"/>
      <c r="N78" s="93"/>
      <c r="O78" s="172"/>
      <c r="P78" s="36"/>
      <c r="Q78" s="140"/>
    </row>
    <row r="79" spans="1:17" x14ac:dyDescent="0.25">
      <c r="B79" s="41" t="s">
        <v>16</v>
      </c>
      <c r="C79" s="35" t="s">
        <v>10</v>
      </c>
      <c r="D79" s="16">
        <f>2125094+50346</f>
        <v>2175440</v>
      </c>
      <c r="E79" s="42">
        <v>0.19916</v>
      </c>
      <c r="F79" s="122">
        <f>ROUND(D79*E79,2)</f>
        <v>433260.63</v>
      </c>
      <c r="H79" s="42">
        <f>ROUND(E79*(1+$O$79),5)</f>
        <v>0.20147000000000001</v>
      </c>
      <c r="I79" s="123">
        <f>ROUND(D79*H79,2)</f>
        <v>438285.9</v>
      </c>
      <c r="J79" s="113"/>
      <c r="K79" s="122">
        <f>I79-F79</f>
        <v>5025.2700000000186</v>
      </c>
      <c r="L79" s="124"/>
      <c r="M79" s="93"/>
      <c r="N79" s="93"/>
      <c r="O79" s="173">
        <v>1.1610000000000001E-2</v>
      </c>
      <c r="P79" s="140"/>
      <c r="Q79" s="127">
        <f>H79/E79-1</f>
        <v>1.1598714601325666E-2</v>
      </c>
    </row>
    <row r="80" spans="1:17" ht="12.75" customHeight="1" x14ac:dyDescent="0.25">
      <c r="B80" s="41" t="s">
        <v>17</v>
      </c>
      <c r="C80" s="35" t="s">
        <v>10</v>
      </c>
      <c r="D80" s="16">
        <f>6595125+835435</f>
        <v>7430560</v>
      </c>
      <c r="E80" s="42">
        <v>0.14119999999999999</v>
      </c>
      <c r="F80" s="122">
        <f>ROUND(D80*E80,2)</f>
        <v>1049195.07</v>
      </c>
      <c r="H80" s="42">
        <f>ROUND(E80*(1+$O$79),5)</f>
        <v>0.14283999999999999</v>
      </c>
      <c r="I80" s="123">
        <f>ROUND(D80*H80,2)</f>
        <v>1061381.19</v>
      </c>
      <c r="J80" s="113"/>
      <c r="K80" s="122">
        <f>I80-F80</f>
        <v>12186.119999999879</v>
      </c>
      <c r="L80" s="124"/>
      <c r="M80" s="93"/>
      <c r="N80" s="93"/>
      <c r="O80" s="172"/>
      <c r="P80" s="140"/>
      <c r="Q80" s="127">
        <f>H80/E80-1</f>
        <v>1.1614730878187096E-2</v>
      </c>
    </row>
    <row r="81" spans="1:17" ht="12.75" customHeight="1" x14ac:dyDescent="0.25">
      <c r="B81" s="134" t="s">
        <v>184</v>
      </c>
      <c r="C81" s="19" t="s">
        <v>10</v>
      </c>
      <c r="D81" s="44">
        <f>SUM(D79:D80)</f>
        <v>9606000</v>
      </c>
      <c r="E81" s="90"/>
      <c r="F81" s="135">
        <f>SUM(F73:F80)</f>
        <v>2088976.17</v>
      </c>
      <c r="H81" s="43"/>
      <c r="I81" s="135">
        <f>SUM(I73:I80)</f>
        <v>2140330.56</v>
      </c>
      <c r="J81" s="113"/>
      <c r="K81" s="135">
        <f>SUM(K73:K80)</f>
        <v>51354.389999999898</v>
      </c>
      <c r="L81" s="120">
        <f>K81/F81</f>
        <v>2.4583521218434913E-2</v>
      </c>
      <c r="M81" s="93"/>
      <c r="N81" s="93"/>
      <c r="O81" s="174"/>
      <c r="P81" s="140"/>
      <c r="Q81" s="141"/>
    </row>
    <row r="82" spans="1:17" x14ac:dyDescent="0.25">
      <c r="B82" s="21"/>
      <c r="C82" s="23"/>
      <c r="D82" s="16"/>
      <c r="E82" s="90"/>
      <c r="F82" s="123"/>
      <c r="H82" s="43"/>
      <c r="I82" s="123"/>
      <c r="J82" s="113"/>
      <c r="K82" s="122"/>
      <c r="L82" s="133"/>
      <c r="M82" s="93"/>
      <c r="N82" s="145"/>
      <c r="O82" s="139"/>
      <c r="P82" s="140"/>
      <c r="Q82" s="141"/>
    </row>
    <row r="83" spans="1:17" x14ac:dyDescent="0.25">
      <c r="B83" s="142" t="s">
        <v>145</v>
      </c>
      <c r="C83" s="23"/>
      <c r="D83" s="16"/>
      <c r="E83" s="90"/>
      <c r="F83" s="123"/>
      <c r="H83" s="43"/>
      <c r="I83" s="123"/>
      <c r="J83" s="113"/>
      <c r="K83" s="122"/>
      <c r="L83" s="133"/>
      <c r="M83" s="93"/>
      <c r="N83" s="93"/>
    </row>
    <row r="84" spans="1:17" x14ac:dyDescent="0.25">
      <c r="B84" s="20" t="s">
        <v>85</v>
      </c>
      <c r="C84" s="19" t="s">
        <v>10</v>
      </c>
      <c r="D84" s="143">
        <f>D81</f>
        <v>9606000</v>
      </c>
      <c r="E84" s="42">
        <v>0.36430000000000001</v>
      </c>
      <c r="F84" s="123">
        <f>+D84*E84</f>
        <v>3499465.8000000003</v>
      </c>
      <c r="G84" s="144"/>
      <c r="H84" s="42">
        <v>0.39279999999999998</v>
      </c>
      <c r="I84" s="123">
        <f>+D84*H84</f>
        <v>3773236.8</v>
      </c>
      <c r="J84" s="113"/>
      <c r="K84" s="122">
        <f>I84-F84</f>
        <v>273770.99999999953</v>
      </c>
      <c r="L84" s="124"/>
      <c r="M84" s="93"/>
      <c r="N84" s="93"/>
      <c r="O84" s="139"/>
      <c r="P84" s="140"/>
      <c r="Q84" s="141"/>
    </row>
    <row r="85" spans="1:17" x14ac:dyDescent="0.25">
      <c r="B85" s="20" t="s">
        <v>24</v>
      </c>
      <c r="C85" s="19" t="s">
        <v>74</v>
      </c>
      <c r="D85" s="143">
        <f>D74</f>
        <v>84423.830999999991</v>
      </c>
      <c r="E85" s="43">
        <v>1.05</v>
      </c>
      <c r="F85" s="123">
        <f>D85*E85</f>
        <v>88645.022549999994</v>
      </c>
      <c r="G85" s="144"/>
      <c r="H85" s="43">
        <v>1.05</v>
      </c>
      <c r="I85" s="123">
        <f>D85*H85</f>
        <v>88645.022549999994</v>
      </c>
      <c r="J85" s="113"/>
      <c r="K85" s="122">
        <f>I85-F85</f>
        <v>0</v>
      </c>
      <c r="L85" s="133"/>
      <c r="M85" s="93"/>
      <c r="N85" s="93"/>
    </row>
    <row r="86" spans="1:17" x14ac:dyDescent="0.25">
      <c r="B86" s="21" t="s">
        <v>185</v>
      </c>
      <c r="C86" s="23"/>
      <c r="D86" s="35"/>
      <c r="E86" s="91"/>
      <c r="F86" s="135">
        <f>SUM(F84:F85)</f>
        <v>3588110.8225500002</v>
      </c>
      <c r="G86" s="35"/>
      <c r="H86" s="43"/>
      <c r="I86" s="135">
        <f>SUM(I84:I85)</f>
        <v>3861881.8225499997</v>
      </c>
      <c r="J86" s="91"/>
      <c r="K86" s="135">
        <f>SUM(K84:K85)</f>
        <v>273770.99999999953</v>
      </c>
      <c r="L86" s="120">
        <f>ROUND(K86/F86,5)</f>
        <v>7.6300000000000007E-2</v>
      </c>
      <c r="M86" s="93"/>
      <c r="N86" s="93"/>
    </row>
    <row r="87" spans="1:17" x14ac:dyDescent="0.25">
      <c r="B87" s="20"/>
      <c r="C87" s="19"/>
      <c r="D87" s="16"/>
      <c r="E87" s="90"/>
      <c r="F87" s="123"/>
      <c r="H87" s="43"/>
      <c r="I87" s="123"/>
      <c r="J87" s="113"/>
      <c r="K87" s="122"/>
      <c r="L87" s="133"/>
      <c r="M87" s="93"/>
      <c r="N87" s="93"/>
    </row>
    <row r="88" spans="1:17" s="19" customFormat="1" x14ac:dyDescent="0.25">
      <c r="B88" s="20" t="s">
        <v>26</v>
      </c>
      <c r="D88" s="16"/>
      <c r="E88" s="91"/>
      <c r="F88" s="135">
        <f>F86+F81</f>
        <v>5677086.9925500005</v>
      </c>
      <c r="G88" s="16"/>
      <c r="H88" s="43"/>
      <c r="I88" s="135">
        <f>I86+I81</f>
        <v>6002212.3825499993</v>
      </c>
      <c r="J88" s="113"/>
      <c r="K88" s="135">
        <f>K86+K81</f>
        <v>325125.38999999943</v>
      </c>
      <c r="L88" s="120">
        <f>K88/F88</f>
        <v>5.7269756554137553E-2</v>
      </c>
      <c r="M88" s="93"/>
      <c r="N88" s="93"/>
    </row>
    <row r="89" spans="1:17" x14ac:dyDescent="0.25">
      <c r="A89" s="19"/>
      <c r="B89" s="147"/>
      <c r="C89" s="148"/>
      <c r="D89" s="48"/>
      <c r="E89" s="175"/>
      <c r="F89" s="161"/>
      <c r="G89" s="48"/>
      <c r="H89" s="151"/>
      <c r="I89" s="165"/>
      <c r="J89" s="152"/>
      <c r="K89" s="150"/>
      <c r="L89" s="176"/>
      <c r="M89" s="93"/>
      <c r="N89" s="93"/>
    </row>
    <row r="90" spans="1:17" s="19" customFormat="1" x14ac:dyDescent="0.25">
      <c r="D90" s="16"/>
      <c r="E90" s="177"/>
      <c r="F90" s="146"/>
      <c r="G90" s="16"/>
      <c r="H90" s="43"/>
      <c r="I90" s="130"/>
      <c r="J90" s="113"/>
      <c r="K90" s="122"/>
      <c r="L90" s="178"/>
      <c r="M90" s="93"/>
      <c r="N90" s="93"/>
    </row>
    <row r="91" spans="1:17" x14ac:dyDescent="0.25">
      <c r="A91" s="19"/>
      <c r="B91" s="18" t="s">
        <v>149</v>
      </c>
      <c r="C91" s="22"/>
      <c r="D91" s="44"/>
      <c r="E91" s="115"/>
      <c r="F91" s="116"/>
      <c r="G91" s="44"/>
      <c r="H91" s="118"/>
      <c r="I91" s="135"/>
      <c r="J91" s="119"/>
      <c r="K91" s="116"/>
      <c r="L91" s="168"/>
      <c r="M91" s="93"/>
      <c r="N91" s="93"/>
    </row>
    <row r="92" spans="1:17" x14ac:dyDescent="0.25">
      <c r="A92" s="19"/>
      <c r="B92" s="20"/>
      <c r="C92" s="19"/>
      <c r="D92" s="16"/>
      <c r="E92" s="90"/>
      <c r="F92" s="122"/>
      <c r="G92" s="112"/>
      <c r="H92" s="43"/>
      <c r="I92" s="123"/>
      <c r="J92" s="113"/>
      <c r="K92" s="122"/>
      <c r="L92" s="124"/>
      <c r="M92" s="93"/>
      <c r="N92" s="93"/>
    </row>
    <row r="93" spans="1:17" x14ac:dyDescent="0.25">
      <c r="A93" s="19"/>
      <c r="B93" s="21" t="s">
        <v>142</v>
      </c>
      <c r="C93" s="23" t="s">
        <v>67</v>
      </c>
      <c r="D93" s="16">
        <v>49</v>
      </c>
      <c r="E93" s="43">
        <v>458.22</v>
      </c>
      <c r="F93" s="122">
        <f>ROUND(D93*E93,2)</f>
        <v>22452.78</v>
      </c>
      <c r="H93" s="43">
        <f>ROUND(E93*(1+$O$79),2)</f>
        <v>463.54</v>
      </c>
      <c r="I93" s="123">
        <f>ROUND(D93*H93,2)</f>
        <v>22713.46</v>
      </c>
      <c r="J93" s="113"/>
      <c r="K93" s="122">
        <f>I93-F93</f>
        <v>260.68000000000029</v>
      </c>
      <c r="L93" s="124"/>
      <c r="M93" s="93"/>
      <c r="N93" s="93"/>
      <c r="Q93" s="127">
        <f>H93/E93-1</f>
        <v>1.1610143599144473E-2</v>
      </c>
    </row>
    <row r="94" spans="1:17" x14ac:dyDescent="0.25">
      <c r="A94" s="19"/>
      <c r="B94" s="20" t="s">
        <v>24</v>
      </c>
      <c r="C94" s="19" t="s">
        <v>74</v>
      </c>
      <c r="D94" s="16">
        <v>8250</v>
      </c>
      <c r="E94" s="43">
        <v>1.1499999999999999</v>
      </c>
      <c r="F94" s="122">
        <f>ROUND(D94*E94,2)</f>
        <v>9487.5</v>
      </c>
      <c r="H94" s="43">
        <f>H74</f>
        <v>1.21</v>
      </c>
      <c r="I94" s="123">
        <f>ROUND(D94*H94,2)</f>
        <v>9982.5</v>
      </c>
      <c r="J94" s="113"/>
      <c r="K94" s="122">
        <f>I94-F94</f>
        <v>495</v>
      </c>
      <c r="L94" s="124"/>
      <c r="M94" s="93"/>
      <c r="N94" s="93"/>
      <c r="Q94" s="127">
        <f>H94/E94-1</f>
        <v>5.2173913043478404E-2</v>
      </c>
    </row>
    <row r="95" spans="1:17" x14ac:dyDescent="0.25">
      <c r="A95" s="19"/>
      <c r="B95" s="20" t="s">
        <v>127</v>
      </c>
      <c r="C95" s="19"/>
      <c r="D95" s="16"/>
      <c r="E95" s="42"/>
      <c r="F95" s="123">
        <v>0</v>
      </c>
      <c r="H95" s="42"/>
      <c r="I95" s="123">
        <f>F95</f>
        <v>0</v>
      </c>
      <c r="J95" s="113"/>
      <c r="K95" s="122">
        <f>I95-F95</f>
        <v>0</v>
      </c>
      <c r="L95" s="124"/>
      <c r="M95" s="93"/>
      <c r="N95" s="93"/>
    </row>
    <row r="96" spans="1:17" x14ac:dyDescent="0.25">
      <c r="A96" s="19"/>
      <c r="B96" s="20"/>
      <c r="C96" s="19"/>
      <c r="D96" s="16"/>
      <c r="E96" s="42"/>
      <c r="F96" s="122"/>
      <c r="H96" s="42"/>
      <c r="I96" s="123"/>
      <c r="J96" s="113"/>
      <c r="K96" s="122"/>
      <c r="L96" s="124"/>
      <c r="M96" s="93"/>
      <c r="N96" s="93"/>
    </row>
    <row r="97" spans="1:17" x14ac:dyDescent="0.25">
      <c r="A97" s="19"/>
      <c r="B97" s="20" t="s">
        <v>84</v>
      </c>
      <c r="C97" s="19"/>
      <c r="D97" s="16"/>
      <c r="E97" s="42"/>
      <c r="F97" s="122"/>
      <c r="H97" s="42"/>
      <c r="I97" s="123"/>
      <c r="J97" s="113"/>
      <c r="K97" s="122"/>
      <c r="L97" s="124"/>
      <c r="M97" s="93"/>
      <c r="N97" s="93"/>
    </row>
    <row r="98" spans="1:17" x14ac:dyDescent="0.25">
      <c r="A98" s="19"/>
      <c r="B98" s="41" t="s">
        <v>16</v>
      </c>
      <c r="C98" s="35" t="s">
        <v>10</v>
      </c>
      <c r="D98" s="16">
        <v>31000</v>
      </c>
      <c r="E98" s="42">
        <v>0.19916</v>
      </c>
      <c r="F98" s="122">
        <f>ROUND(D98*E98,2)</f>
        <v>6173.96</v>
      </c>
      <c r="H98" s="42">
        <f>H79</f>
        <v>0.20147000000000001</v>
      </c>
      <c r="I98" s="123">
        <f>ROUND(D98*H98,2)</f>
        <v>6245.57</v>
      </c>
      <c r="J98" s="113"/>
      <c r="K98" s="122">
        <f>I98-F98</f>
        <v>71.609999999999673</v>
      </c>
      <c r="L98" s="124"/>
      <c r="M98" s="93"/>
      <c r="N98" s="93"/>
      <c r="Q98" s="127">
        <f>H98/E98-1</f>
        <v>1.1598714601325666E-2</v>
      </c>
    </row>
    <row r="99" spans="1:17" x14ac:dyDescent="0.25">
      <c r="A99" s="19"/>
      <c r="B99" s="41" t="s">
        <v>17</v>
      </c>
      <c r="C99" s="35" t="s">
        <v>10</v>
      </c>
      <c r="D99" s="16">
        <v>341634.3</v>
      </c>
      <c r="E99" s="42">
        <v>0.14119999999999999</v>
      </c>
      <c r="F99" s="122">
        <f>ROUND(D99*E99,2)</f>
        <v>48238.76</v>
      </c>
      <c r="H99" s="42">
        <f>H80</f>
        <v>0.14283999999999999</v>
      </c>
      <c r="I99" s="123">
        <f>ROUND(D99*H99,2)</f>
        <v>48799.040000000001</v>
      </c>
      <c r="J99" s="113"/>
      <c r="K99" s="122">
        <f>I99-F99</f>
        <v>560.27999999999884</v>
      </c>
      <c r="L99" s="124"/>
      <c r="M99" s="93"/>
      <c r="N99" s="93"/>
      <c r="Q99" s="127">
        <f>H99/E99-1</f>
        <v>1.1614730878187096E-2</v>
      </c>
    </row>
    <row r="100" spans="1:17" x14ac:dyDescent="0.25">
      <c r="A100" s="19"/>
      <c r="B100" s="134" t="s">
        <v>184</v>
      </c>
      <c r="C100" s="19" t="s">
        <v>10</v>
      </c>
      <c r="D100" s="44">
        <f>SUM(D98:D99)</f>
        <v>372634.3</v>
      </c>
      <c r="E100" s="90"/>
      <c r="F100" s="135">
        <f>SUM(F93:F99)</f>
        <v>86353</v>
      </c>
      <c r="H100" s="43"/>
      <c r="I100" s="135">
        <f>SUM(I93:I99)</f>
        <v>87740.57</v>
      </c>
      <c r="J100" s="113"/>
      <c r="K100" s="135">
        <f>SUM(K93:K99)</f>
        <v>1387.5699999999988</v>
      </c>
      <c r="L100" s="120"/>
      <c r="M100" s="93"/>
      <c r="N100" s="93"/>
    </row>
    <row r="101" spans="1:17" x14ac:dyDescent="0.25">
      <c r="A101" s="19"/>
      <c r="B101" s="21"/>
      <c r="C101" s="23"/>
      <c r="D101" s="16"/>
      <c r="E101" s="90"/>
      <c r="F101" s="123"/>
      <c r="H101" s="43"/>
      <c r="I101" s="123"/>
      <c r="J101" s="113"/>
      <c r="K101" s="122"/>
      <c r="L101" s="133"/>
      <c r="M101" s="93"/>
      <c r="N101" s="93"/>
    </row>
    <row r="102" spans="1:17" x14ac:dyDescent="0.25">
      <c r="A102" s="19"/>
      <c r="B102" s="20" t="s">
        <v>120</v>
      </c>
      <c r="C102" s="19" t="s">
        <v>10</v>
      </c>
      <c r="D102" s="143">
        <f>D100</f>
        <v>372634.3</v>
      </c>
      <c r="E102" s="42">
        <v>6.9999999999999999E-4</v>
      </c>
      <c r="F102" s="123">
        <f>E102*D102</f>
        <v>260.84400999999997</v>
      </c>
      <c r="G102" s="144"/>
      <c r="H102" s="42">
        <v>6.9999999999999999E-4</v>
      </c>
      <c r="I102" s="122">
        <f>H102*D102</f>
        <v>260.84400999999997</v>
      </c>
      <c r="J102" s="113"/>
      <c r="K102" s="122">
        <f>I102-F102</f>
        <v>0</v>
      </c>
      <c r="L102" s="124"/>
      <c r="M102" s="93"/>
      <c r="N102" s="93"/>
    </row>
    <row r="103" spans="1:17" x14ac:dyDescent="0.25">
      <c r="A103" s="19"/>
      <c r="B103" s="21" t="s">
        <v>26</v>
      </c>
      <c r="C103" s="19"/>
      <c r="D103" s="16"/>
      <c r="E103" s="43"/>
      <c r="F103" s="135">
        <f>F102+F100</f>
        <v>86613.844010000001</v>
      </c>
      <c r="G103" s="135"/>
      <c r="H103" s="43"/>
      <c r="I103" s="135">
        <f>I102+I100</f>
        <v>88001.414010000008</v>
      </c>
      <c r="J103" s="91"/>
      <c r="K103" s="135">
        <f>K102+K100</f>
        <v>1387.5699999999988</v>
      </c>
      <c r="L103" s="168"/>
      <c r="M103" s="93"/>
      <c r="N103" s="93"/>
    </row>
    <row r="104" spans="1:17" x14ac:dyDescent="0.25">
      <c r="A104" s="19"/>
      <c r="B104" s="147"/>
      <c r="C104" s="148"/>
      <c r="D104" s="48"/>
      <c r="E104" s="149"/>
      <c r="F104" s="150"/>
      <c r="G104" s="48"/>
      <c r="H104" s="151"/>
      <c r="I104" s="157"/>
      <c r="J104" s="152"/>
      <c r="K104" s="150"/>
      <c r="L104" s="153"/>
      <c r="M104" s="93"/>
      <c r="N104" s="93"/>
    </row>
    <row r="105" spans="1:17" s="19" customFormat="1" x14ac:dyDescent="0.25">
      <c r="D105" s="16"/>
      <c r="E105" s="177"/>
      <c r="F105" s="146"/>
      <c r="G105" s="16"/>
      <c r="H105" s="43"/>
      <c r="I105" s="130"/>
      <c r="J105" s="113"/>
      <c r="K105" s="122"/>
      <c r="L105" s="178"/>
      <c r="M105" s="93"/>
      <c r="N105" s="93"/>
    </row>
    <row r="106" spans="1:17" x14ac:dyDescent="0.25">
      <c r="A106" s="19"/>
      <c r="B106" s="18" t="s">
        <v>150</v>
      </c>
      <c r="C106" s="22"/>
      <c r="D106" s="44"/>
      <c r="E106" s="115"/>
      <c r="F106" s="116"/>
      <c r="G106" s="44"/>
      <c r="H106" s="118"/>
      <c r="I106" s="135"/>
      <c r="J106" s="119"/>
      <c r="K106" s="116"/>
      <c r="L106" s="168"/>
      <c r="M106" s="93"/>
      <c r="N106" s="93"/>
    </row>
    <row r="107" spans="1:17" x14ac:dyDescent="0.25">
      <c r="A107" s="19"/>
      <c r="B107" s="20"/>
      <c r="C107" s="19"/>
      <c r="D107" s="16"/>
      <c r="E107" s="90"/>
      <c r="F107" s="122"/>
      <c r="G107" s="112"/>
      <c r="H107" s="43"/>
      <c r="I107" s="123"/>
      <c r="J107" s="113"/>
      <c r="K107" s="122"/>
      <c r="L107" s="124"/>
      <c r="M107" s="93"/>
      <c r="N107" s="93"/>
    </row>
    <row r="108" spans="1:17" x14ac:dyDescent="0.25">
      <c r="A108" s="19"/>
      <c r="B108" s="21" t="s">
        <v>142</v>
      </c>
      <c r="C108" s="23" t="s">
        <v>67</v>
      </c>
      <c r="D108" s="16">
        <f>D73+D93</f>
        <v>2907.9139747435988</v>
      </c>
      <c r="E108" s="43"/>
      <c r="F108" s="122">
        <f>F73+F93</f>
        <v>434164.98</v>
      </c>
      <c r="H108" s="43"/>
      <c r="I108" s="122">
        <f>I73+I93</f>
        <v>439200.05000000005</v>
      </c>
      <c r="J108" s="113"/>
      <c r="K108" s="122">
        <f>I108-F108</f>
        <v>5035.0700000000652</v>
      </c>
      <c r="L108" s="124"/>
      <c r="M108" s="93"/>
      <c r="N108" s="93"/>
    </row>
    <row r="109" spans="1:17" x14ac:dyDescent="0.25">
      <c r="A109" s="19"/>
      <c r="B109" s="20" t="s">
        <v>24</v>
      </c>
      <c r="C109" s="19" t="s">
        <v>74</v>
      </c>
      <c r="D109" s="16">
        <f>D74+D94</f>
        <v>92673.830999999991</v>
      </c>
      <c r="E109" s="43"/>
      <c r="F109" s="122">
        <f>F74+F94</f>
        <v>106574.91</v>
      </c>
      <c r="H109" s="43"/>
      <c r="I109" s="122">
        <f>I74+I94</f>
        <v>112135.34</v>
      </c>
      <c r="J109" s="113"/>
      <c r="K109" s="122">
        <f>I109-F109</f>
        <v>5560.429999999993</v>
      </c>
      <c r="L109" s="124"/>
      <c r="M109" s="93"/>
      <c r="N109" s="93"/>
    </row>
    <row r="110" spans="1:17" x14ac:dyDescent="0.25">
      <c r="A110" s="19"/>
      <c r="B110" s="20" t="s">
        <v>66</v>
      </c>
      <c r="C110" s="19" t="s">
        <v>10</v>
      </c>
      <c r="D110" s="16">
        <f>D75</f>
        <v>9606000</v>
      </c>
      <c r="E110" s="42"/>
      <c r="F110" s="122">
        <f>F75</f>
        <v>65416.86</v>
      </c>
      <c r="H110" s="42"/>
      <c r="I110" s="122">
        <f>I75</f>
        <v>89720.04</v>
      </c>
      <c r="J110" s="113"/>
      <c r="K110" s="122">
        <f>I110-F110</f>
        <v>24303.179999999993</v>
      </c>
      <c r="L110" s="124"/>
      <c r="M110" s="93"/>
      <c r="N110" s="93"/>
    </row>
    <row r="111" spans="1:17" x14ac:dyDescent="0.25">
      <c r="A111" s="19"/>
      <c r="B111" s="20" t="s">
        <v>127</v>
      </c>
      <c r="C111" s="19"/>
      <c r="D111" s="16"/>
      <c r="E111" s="42"/>
      <c r="F111" s="123">
        <f>F76+F95</f>
        <v>32304</v>
      </c>
      <c r="H111" s="42"/>
      <c r="I111" s="123">
        <f>I76+I95</f>
        <v>32304</v>
      </c>
      <c r="J111" s="113"/>
      <c r="K111" s="122">
        <f>I111-F111</f>
        <v>0</v>
      </c>
      <c r="L111" s="124"/>
      <c r="M111" s="93"/>
      <c r="N111" s="93"/>
    </row>
    <row r="112" spans="1:17" x14ac:dyDescent="0.25">
      <c r="A112" s="19"/>
      <c r="B112" s="20"/>
      <c r="C112" s="19"/>
      <c r="D112" s="16"/>
      <c r="E112" s="42"/>
      <c r="F112" s="122"/>
      <c r="H112" s="42"/>
      <c r="I112" s="122"/>
      <c r="J112" s="113"/>
      <c r="K112" s="122"/>
      <c r="L112" s="124"/>
      <c r="M112" s="93"/>
      <c r="N112" s="93"/>
    </row>
    <row r="113" spans="1:15" x14ac:dyDescent="0.25">
      <c r="A113" s="19"/>
      <c r="B113" s="20" t="s">
        <v>84</v>
      </c>
      <c r="C113" s="19"/>
      <c r="D113" s="16"/>
      <c r="E113" s="42"/>
      <c r="F113" s="122"/>
      <c r="H113" s="42"/>
      <c r="I113" s="122"/>
      <c r="J113" s="113"/>
      <c r="K113" s="122"/>
      <c r="L113" s="124"/>
      <c r="M113" s="93"/>
      <c r="N113" s="93"/>
    </row>
    <row r="114" spans="1:15" x14ac:dyDescent="0.25">
      <c r="A114" s="19"/>
      <c r="B114" s="41" t="s">
        <v>16</v>
      </c>
      <c r="C114" s="35" t="s">
        <v>10</v>
      </c>
      <c r="D114" s="16">
        <f>D79+D98</f>
        <v>2206440</v>
      </c>
      <c r="E114" s="42"/>
      <c r="F114" s="122">
        <f>F79+F98</f>
        <v>439434.59</v>
      </c>
      <c r="H114" s="42"/>
      <c r="I114" s="122">
        <f>I79+I98</f>
        <v>444531.47000000003</v>
      </c>
      <c r="J114" s="113"/>
      <c r="K114" s="122">
        <f>I114-F114</f>
        <v>5096.8800000000047</v>
      </c>
      <c r="L114" s="124"/>
      <c r="M114" s="93"/>
      <c r="N114" s="93"/>
    </row>
    <row r="115" spans="1:15" x14ac:dyDescent="0.25">
      <c r="A115" s="19"/>
      <c r="B115" s="41" t="s">
        <v>17</v>
      </c>
      <c r="C115" s="35" t="s">
        <v>10</v>
      </c>
      <c r="D115" s="16">
        <f>D80+D99</f>
        <v>7772194.2999999998</v>
      </c>
      <c r="E115" s="42"/>
      <c r="F115" s="122">
        <f>F80+F99</f>
        <v>1097433.83</v>
      </c>
      <c r="H115" s="42"/>
      <c r="I115" s="122">
        <f>I80+I99</f>
        <v>1110180.23</v>
      </c>
      <c r="J115" s="113"/>
      <c r="K115" s="122">
        <f>I115-F115</f>
        <v>12746.399999999907</v>
      </c>
      <c r="L115" s="124"/>
      <c r="M115" s="93"/>
      <c r="N115" s="93"/>
    </row>
    <row r="116" spans="1:15" x14ac:dyDescent="0.25">
      <c r="A116" s="19"/>
      <c r="B116" s="134" t="s">
        <v>184</v>
      </c>
      <c r="C116" s="19" t="s">
        <v>10</v>
      </c>
      <c r="D116" s="44">
        <f>SUM(D114:D115)</f>
        <v>9978634.3000000007</v>
      </c>
      <c r="E116" s="90"/>
      <c r="F116" s="135">
        <f>SUM(F108:F115)</f>
        <v>2175329.17</v>
      </c>
      <c r="H116" s="43"/>
      <c r="I116" s="135">
        <f>SUM(I108:I115)</f>
        <v>2228071.13</v>
      </c>
      <c r="J116" s="113"/>
      <c r="K116" s="135">
        <f>SUM(K108:K115)</f>
        <v>52741.959999999963</v>
      </c>
      <c r="L116" s="120">
        <f>K116/F116</f>
        <v>2.4245507635058269E-2</v>
      </c>
      <c r="M116" s="93"/>
      <c r="N116" s="93"/>
    </row>
    <row r="117" spans="1:15" x14ac:dyDescent="0.25">
      <c r="A117" s="19"/>
      <c r="B117" s="21"/>
      <c r="C117" s="23"/>
      <c r="D117" s="16"/>
      <c r="E117" s="90"/>
      <c r="F117" s="123"/>
      <c r="H117" s="43"/>
      <c r="I117" s="123"/>
      <c r="J117" s="113"/>
      <c r="K117" s="122"/>
      <c r="L117" s="133"/>
      <c r="M117" s="93"/>
      <c r="N117" s="93"/>
    </row>
    <row r="118" spans="1:15" x14ac:dyDescent="0.25">
      <c r="A118" s="19"/>
      <c r="B118" s="142" t="s">
        <v>145</v>
      </c>
      <c r="C118" s="23"/>
      <c r="D118" s="16"/>
      <c r="E118" s="90"/>
      <c r="F118" s="123"/>
      <c r="H118" s="43"/>
      <c r="I118" s="123"/>
      <c r="J118" s="113"/>
      <c r="K118" s="122"/>
      <c r="L118" s="133"/>
      <c r="M118" s="93"/>
      <c r="N118" s="93"/>
    </row>
    <row r="119" spans="1:15" x14ac:dyDescent="0.25">
      <c r="A119" s="19"/>
      <c r="B119" s="20" t="s">
        <v>85</v>
      </c>
      <c r="C119" s="19" t="s">
        <v>10</v>
      </c>
      <c r="D119" s="143">
        <f>D116</f>
        <v>9978634.3000000007</v>
      </c>
      <c r="E119" s="42"/>
      <c r="F119" s="123">
        <f>F84</f>
        <v>3499465.8000000003</v>
      </c>
      <c r="G119" s="144"/>
      <c r="H119" s="42"/>
      <c r="I119" s="123">
        <f>I84</f>
        <v>3773236.8</v>
      </c>
      <c r="J119" s="113"/>
      <c r="K119" s="122">
        <f>I119-F119</f>
        <v>273770.99999999953</v>
      </c>
      <c r="L119" s="124"/>
      <c r="M119" s="93"/>
      <c r="N119" s="93"/>
    </row>
    <row r="120" spans="1:15" x14ac:dyDescent="0.25">
      <c r="A120" s="19"/>
      <c r="B120" s="20" t="s">
        <v>24</v>
      </c>
      <c r="C120" s="19" t="s">
        <v>74</v>
      </c>
      <c r="D120" s="143">
        <f>D109</f>
        <v>92673.830999999991</v>
      </c>
      <c r="E120" s="43"/>
      <c r="F120" s="123">
        <f>F85</f>
        <v>88645.022549999994</v>
      </c>
      <c r="G120" s="144"/>
      <c r="H120" s="43"/>
      <c r="I120" s="123">
        <f>I85</f>
        <v>88645.022549999994</v>
      </c>
      <c r="J120" s="113"/>
      <c r="K120" s="122">
        <f>I120-F120</f>
        <v>0</v>
      </c>
      <c r="L120" s="133"/>
      <c r="M120" s="93"/>
      <c r="N120" s="93"/>
    </row>
    <row r="121" spans="1:15" x14ac:dyDescent="0.25">
      <c r="A121" s="19"/>
      <c r="B121" s="20" t="s">
        <v>120</v>
      </c>
      <c r="C121" s="19" t="s">
        <v>10</v>
      </c>
      <c r="D121" s="143">
        <f>D119</f>
        <v>9978634.3000000007</v>
      </c>
      <c r="E121" s="43"/>
      <c r="F121" s="123">
        <f>F102</f>
        <v>260.84400999999997</v>
      </c>
      <c r="G121" s="144"/>
      <c r="H121" s="43"/>
      <c r="I121" s="123">
        <f>I102</f>
        <v>260.84400999999997</v>
      </c>
      <c r="J121" s="113"/>
      <c r="K121" s="122">
        <f>I121-F121</f>
        <v>0</v>
      </c>
      <c r="L121" s="133"/>
      <c r="M121" s="93"/>
      <c r="N121" s="93"/>
    </row>
    <row r="122" spans="1:15" x14ac:dyDescent="0.25">
      <c r="A122" s="19"/>
      <c r="B122" s="21" t="s">
        <v>185</v>
      </c>
      <c r="C122" s="23"/>
      <c r="D122" s="35"/>
      <c r="E122" s="91"/>
      <c r="F122" s="135">
        <f>SUM(F119:F121)</f>
        <v>3588371.6665600003</v>
      </c>
      <c r="G122" s="35"/>
      <c r="H122" s="43"/>
      <c r="I122" s="135">
        <f>SUM(I119:I121)</f>
        <v>3862142.6665599998</v>
      </c>
      <c r="J122" s="91"/>
      <c r="K122" s="135">
        <f>SUM(K119:K121)</f>
        <v>273770.99999999953</v>
      </c>
      <c r="L122" s="120">
        <f>ROUND(K122/F122,5)</f>
        <v>7.6289999999999997E-2</v>
      </c>
      <c r="M122" s="93"/>
      <c r="N122" s="93"/>
    </row>
    <row r="123" spans="1:15" x14ac:dyDescent="0.25">
      <c r="A123" s="19"/>
      <c r="B123" s="21"/>
      <c r="C123" s="23"/>
      <c r="D123" s="35"/>
      <c r="E123" s="91"/>
      <c r="F123" s="123"/>
      <c r="G123" s="35"/>
      <c r="H123" s="43"/>
      <c r="I123" s="123"/>
      <c r="J123" s="91"/>
      <c r="K123" s="123"/>
      <c r="L123" s="124"/>
      <c r="M123" s="93"/>
      <c r="N123" s="93"/>
    </row>
    <row r="124" spans="1:15" x14ac:dyDescent="0.25">
      <c r="A124" s="19"/>
      <c r="B124" s="21" t="s">
        <v>26</v>
      </c>
      <c r="C124" s="23"/>
      <c r="D124" s="35"/>
      <c r="E124" s="91"/>
      <c r="F124" s="135">
        <f>F116+F122</f>
        <v>5763700.8365599997</v>
      </c>
      <c r="G124" s="35"/>
      <c r="H124" s="43"/>
      <c r="I124" s="135">
        <f>I116+I122</f>
        <v>6090213.7965599997</v>
      </c>
      <c r="J124" s="91"/>
      <c r="K124" s="135">
        <f>K116+K122</f>
        <v>326512.9599999995</v>
      </c>
      <c r="L124" s="120">
        <f>ROUND(K124/F124,5)</f>
        <v>5.6649999999999999E-2</v>
      </c>
      <c r="M124" s="93"/>
      <c r="N124" s="93"/>
    </row>
    <row r="125" spans="1:15" x14ac:dyDescent="0.25">
      <c r="A125" s="19"/>
      <c r="B125" s="147"/>
      <c r="C125" s="148"/>
      <c r="D125" s="48"/>
      <c r="E125" s="149"/>
      <c r="F125" s="150"/>
      <c r="G125" s="48"/>
      <c r="H125" s="151"/>
      <c r="I125" s="157"/>
      <c r="J125" s="152"/>
      <c r="K125" s="150"/>
      <c r="L125" s="176"/>
      <c r="M125" s="93"/>
      <c r="N125" s="93"/>
    </row>
    <row r="126" spans="1:15" s="19" customFormat="1" x14ac:dyDescent="0.25">
      <c r="B126" s="35"/>
      <c r="C126" s="35"/>
      <c r="D126" s="16"/>
      <c r="E126" s="177"/>
      <c r="F126" s="146"/>
      <c r="G126" s="16"/>
      <c r="H126" s="43"/>
      <c r="I126" s="130"/>
      <c r="J126" s="154"/>
      <c r="K126" s="146"/>
      <c r="L126" s="179"/>
      <c r="M126" s="93"/>
      <c r="N126" s="93"/>
    </row>
    <row r="127" spans="1:15" s="19" customFormat="1" x14ac:dyDescent="0.25">
      <c r="B127" s="35"/>
      <c r="C127" s="35"/>
      <c r="D127" s="16"/>
      <c r="E127" s="42"/>
      <c r="F127" s="146"/>
      <c r="G127" s="16"/>
      <c r="H127" s="43"/>
      <c r="I127" s="130"/>
      <c r="J127" s="154"/>
      <c r="K127" s="146"/>
      <c r="L127" s="179"/>
      <c r="M127" s="93"/>
      <c r="N127" s="93"/>
    </row>
    <row r="128" spans="1:15" x14ac:dyDescent="0.25">
      <c r="B128" s="18" t="s">
        <v>136</v>
      </c>
      <c r="C128" s="22"/>
      <c r="D128" s="44"/>
      <c r="E128" s="115"/>
      <c r="F128" s="116"/>
      <c r="G128" s="44"/>
      <c r="H128" s="118"/>
      <c r="I128" s="135"/>
      <c r="J128" s="119"/>
      <c r="K128" s="116"/>
      <c r="L128" s="120"/>
      <c r="M128" s="93"/>
      <c r="N128" s="169"/>
      <c r="O128" s="180" t="s">
        <v>196</v>
      </c>
    </row>
    <row r="129" spans="2:17" x14ac:dyDescent="0.25">
      <c r="B129" s="20"/>
      <c r="C129" s="19"/>
      <c r="D129" s="16"/>
      <c r="E129" s="90"/>
      <c r="F129" s="122"/>
      <c r="H129" s="43"/>
      <c r="I129" s="123"/>
      <c r="J129" s="113"/>
      <c r="K129" s="122"/>
      <c r="L129" s="124"/>
      <c r="M129" s="93"/>
      <c r="N129" s="169"/>
      <c r="O129" s="45">
        <f>'JAP-24 - Page 1'!J18</f>
        <v>348132.15572817181</v>
      </c>
    </row>
    <row r="130" spans="2:17" x14ac:dyDescent="0.25">
      <c r="B130" s="21" t="s">
        <v>142</v>
      </c>
      <c r="C130" s="23" t="s">
        <v>67</v>
      </c>
      <c r="D130" s="16">
        <v>59.787364924481885</v>
      </c>
      <c r="E130" s="43">
        <v>579.19000000000005</v>
      </c>
      <c r="F130" s="122">
        <f>ROUND(D130*E130,2)</f>
        <v>34628.239999999998</v>
      </c>
      <c r="H130" s="43">
        <f>ROUND(E130*(1+$O$140),2)</f>
        <v>615.82000000000005</v>
      </c>
      <c r="I130" s="123">
        <f>ROUND(D130*H130,2)</f>
        <v>36818.26</v>
      </c>
      <c r="J130" s="113"/>
      <c r="K130" s="122">
        <f>I130-F130</f>
        <v>2190.0200000000041</v>
      </c>
      <c r="L130" s="181"/>
      <c r="M130" s="93"/>
      <c r="N130" s="169"/>
      <c r="O130" s="45" t="s">
        <v>118</v>
      </c>
      <c r="Q130" s="127">
        <f>H130/E130-1</f>
        <v>6.3243495226091628E-2</v>
      </c>
    </row>
    <row r="131" spans="2:17" x14ac:dyDescent="0.25">
      <c r="B131" s="20" t="s">
        <v>24</v>
      </c>
      <c r="C131" s="19" t="s">
        <v>74</v>
      </c>
      <c r="D131" s="16">
        <v>0</v>
      </c>
      <c r="E131" s="43">
        <v>1.1499999999999999</v>
      </c>
      <c r="F131" s="122">
        <f>ROUND(D131*E131,2)</f>
        <v>0</v>
      </c>
      <c r="H131" s="43">
        <v>1.38</v>
      </c>
      <c r="I131" s="123">
        <f>ROUND(D131*H131,2)</f>
        <v>0</v>
      </c>
      <c r="J131" s="113"/>
      <c r="K131" s="122">
        <f>I131-F131</f>
        <v>0</v>
      </c>
      <c r="L131" s="181"/>
      <c r="M131" s="93"/>
      <c r="N131" s="169"/>
      <c r="O131" s="182">
        <f>+K142+K165-O129</f>
        <v>27.264271828113124</v>
      </c>
      <c r="Q131" s="127">
        <f>H131/E131-1</f>
        <v>0.19999999999999996</v>
      </c>
    </row>
    <row r="132" spans="2:17" x14ac:dyDescent="0.25">
      <c r="B132" s="20" t="s">
        <v>66</v>
      </c>
      <c r="C132" s="19"/>
      <c r="D132" s="16">
        <f>D142</f>
        <v>22998910.287999999</v>
      </c>
      <c r="E132" s="42">
        <v>5.3899999999999998E-3</v>
      </c>
      <c r="F132" s="122">
        <f>ROUND(D132*E132,2)</f>
        <v>123964.13</v>
      </c>
      <c r="H132" s="42">
        <v>5.9800000000000001E-3</v>
      </c>
      <c r="I132" s="122">
        <f>ROUND(D132*H132,2)</f>
        <v>137533.48000000001</v>
      </c>
      <c r="J132" s="113"/>
      <c r="K132" s="122">
        <f>I132-F132</f>
        <v>13569.350000000006</v>
      </c>
      <c r="L132" s="181"/>
      <c r="M132" s="93"/>
      <c r="N132" s="93"/>
      <c r="O132" s="183"/>
      <c r="Q132" s="127">
        <f>H132/E132-1</f>
        <v>0.10946196660482377</v>
      </c>
    </row>
    <row r="133" spans="2:17" x14ac:dyDescent="0.25">
      <c r="B133" s="41" t="s">
        <v>127</v>
      </c>
      <c r="C133" s="35"/>
      <c r="D133" s="16"/>
      <c r="E133" s="43"/>
      <c r="F133" s="130">
        <v>83383.63</v>
      </c>
      <c r="H133" s="42" t="s">
        <v>119</v>
      </c>
      <c r="I133" s="123">
        <f>F133</f>
        <v>83383.63</v>
      </c>
      <c r="J133" s="113"/>
      <c r="K133" s="122">
        <f>I133-F133</f>
        <v>0</v>
      </c>
      <c r="L133" s="181"/>
      <c r="M133" s="93"/>
      <c r="N133" s="93"/>
      <c r="O133" s="184"/>
    </row>
    <row r="134" spans="2:17" x14ac:dyDescent="0.25">
      <c r="B134" s="20"/>
      <c r="C134" s="19"/>
      <c r="D134" s="16"/>
      <c r="E134" s="91"/>
      <c r="F134" s="122"/>
      <c r="H134" s="42"/>
      <c r="I134" s="123"/>
      <c r="J134" s="113"/>
      <c r="K134" s="183"/>
      <c r="L134" s="181"/>
      <c r="M134" s="93"/>
      <c r="N134" s="93"/>
      <c r="O134" s="185"/>
    </row>
    <row r="135" spans="2:17" x14ac:dyDescent="0.25">
      <c r="B135" s="20" t="s">
        <v>84</v>
      </c>
      <c r="C135" s="19"/>
      <c r="D135" s="16"/>
      <c r="E135" s="91"/>
      <c r="F135" s="122"/>
      <c r="H135" s="42"/>
      <c r="I135" s="123"/>
      <c r="J135" s="113"/>
      <c r="K135" s="183"/>
      <c r="L135" s="181"/>
      <c r="M135" s="93"/>
      <c r="N135" s="93"/>
      <c r="O135" s="186"/>
      <c r="P135" s="140"/>
      <c r="Q135" s="140"/>
    </row>
    <row r="136" spans="2:17" x14ac:dyDescent="0.25">
      <c r="B136" s="20" t="s">
        <v>13</v>
      </c>
      <c r="C136" s="19" t="s">
        <v>10</v>
      </c>
      <c r="D136" s="16">
        <v>1467943.9100000001</v>
      </c>
      <c r="E136" s="42">
        <v>0.14454</v>
      </c>
      <c r="F136" s="122">
        <f t="shared" ref="F136:F141" si="0">ROUND(D136*E136,2)</f>
        <v>212176.61</v>
      </c>
      <c r="H136" s="42">
        <f t="shared" ref="H136:H141" si="1">ROUND(E136*(1+$O$140),5)</f>
        <v>0.15368000000000001</v>
      </c>
      <c r="I136" s="123">
        <f t="shared" ref="I136:I141" si="2">ROUND(D136*H136,2)</f>
        <v>225593.62</v>
      </c>
      <c r="J136" s="113"/>
      <c r="K136" s="122">
        <f t="shared" ref="K136:K141" si="3">I136-F136</f>
        <v>13417.010000000009</v>
      </c>
      <c r="L136" s="181"/>
      <c r="M136" s="93"/>
      <c r="N136" s="93"/>
      <c r="O136" s="183"/>
      <c r="P136" s="36"/>
      <c r="Q136" s="127">
        <f>H136/E136-1</f>
        <v>6.3235090632350888E-2</v>
      </c>
    </row>
    <row r="137" spans="2:17" x14ac:dyDescent="0.25">
      <c r="B137" s="20" t="s">
        <v>14</v>
      </c>
      <c r="C137" s="19" t="s">
        <v>10</v>
      </c>
      <c r="D137" s="16">
        <v>1444685</v>
      </c>
      <c r="E137" s="42">
        <v>8.7349999999999997E-2</v>
      </c>
      <c r="F137" s="122">
        <f t="shared" si="0"/>
        <v>126193.23</v>
      </c>
      <c r="H137" s="42">
        <f t="shared" si="1"/>
        <v>9.2869999999999994E-2</v>
      </c>
      <c r="I137" s="123">
        <f t="shared" si="2"/>
        <v>134167.9</v>
      </c>
      <c r="J137" s="113"/>
      <c r="K137" s="122">
        <f t="shared" si="3"/>
        <v>7974.6699999999983</v>
      </c>
      <c r="L137" s="181"/>
      <c r="M137" s="93"/>
      <c r="N137" s="93"/>
      <c r="O137" s="187"/>
      <c r="P137" s="19"/>
      <c r="Q137" s="127">
        <f>H137/E137-1</f>
        <v>6.3194046937607329E-2</v>
      </c>
    </row>
    <row r="138" spans="2:17" x14ac:dyDescent="0.25">
      <c r="B138" s="20" t="s">
        <v>18</v>
      </c>
      <c r="C138" s="19" t="s">
        <v>10</v>
      </c>
      <c r="D138" s="16">
        <v>2610928.531</v>
      </c>
      <c r="E138" s="42">
        <v>5.5579999999999997E-2</v>
      </c>
      <c r="F138" s="122">
        <f t="shared" si="0"/>
        <v>145115.41</v>
      </c>
      <c r="H138" s="42">
        <f t="shared" si="1"/>
        <v>5.91E-2</v>
      </c>
      <c r="I138" s="123">
        <f t="shared" si="2"/>
        <v>154305.88</v>
      </c>
      <c r="J138" s="113"/>
      <c r="K138" s="122">
        <f t="shared" si="3"/>
        <v>9190.4700000000012</v>
      </c>
      <c r="L138" s="124"/>
      <c r="M138" s="93"/>
      <c r="N138" s="93"/>
      <c r="O138" s="23"/>
      <c r="P138" s="23"/>
      <c r="Q138" s="127">
        <f>H138/E138-1</f>
        <v>6.3332133861101259E-2</v>
      </c>
    </row>
    <row r="139" spans="2:17" x14ac:dyDescent="0.25">
      <c r="B139" s="20" t="s">
        <v>19</v>
      </c>
      <c r="C139" s="19" t="s">
        <v>10</v>
      </c>
      <c r="D139" s="16">
        <v>3148639.4549999996</v>
      </c>
      <c r="E139" s="42">
        <v>3.5639999999999998E-2</v>
      </c>
      <c r="F139" s="122">
        <f t="shared" si="0"/>
        <v>112217.51</v>
      </c>
      <c r="H139" s="42">
        <f t="shared" si="1"/>
        <v>3.789E-2</v>
      </c>
      <c r="I139" s="123">
        <f t="shared" si="2"/>
        <v>119301.95</v>
      </c>
      <c r="J139" s="113"/>
      <c r="K139" s="122">
        <f t="shared" si="3"/>
        <v>7084.4400000000023</v>
      </c>
      <c r="L139" s="124"/>
      <c r="M139" s="93"/>
      <c r="N139" s="93"/>
      <c r="O139" s="19"/>
      <c r="P139" s="19"/>
      <c r="Q139" s="127">
        <f>H139/E139-1</f>
        <v>6.3131313131313149E-2</v>
      </c>
    </row>
    <row r="140" spans="2:17" x14ac:dyDescent="0.25">
      <c r="B140" s="20" t="s">
        <v>20</v>
      </c>
      <c r="C140" s="19" t="s">
        <v>10</v>
      </c>
      <c r="D140" s="16">
        <v>3956750.5819999999</v>
      </c>
      <c r="E140" s="42">
        <v>2.564E-2</v>
      </c>
      <c r="F140" s="122">
        <f t="shared" si="0"/>
        <v>101451.08</v>
      </c>
      <c r="H140" s="42">
        <f>ROUND(E140*(1+$O$140),5)</f>
        <v>2.726E-2</v>
      </c>
      <c r="I140" s="123">
        <f t="shared" si="2"/>
        <v>107861.02</v>
      </c>
      <c r="J140" s="113"/>
      <c r="K140" s="122">
        <f t="shared" si="3"/>
        <v>6409.9400000000023</v>
      </c>
      <c r="L140" s="124"/>
      <c r="M140" s="93"/>
      <c r="N140" s="93"/>
      <c r="O140" s="132">
        <v>6.3250000000000001E-2</v>
      </c>
      <c r="P140" s="19"/>
      <c r="Q140" s="127">
        <f>H140/E140-1</f>
        <v>6.3182527301091973E-2</v>
      </c>
    </row>
    <row r="141" spans="2:17" x14ac:dyDescent="0.25">
      <c r="B141" s="20" t="s">
        <v>21</v>
      </c>
      <c r="C141" s="19" t="s">
        <v>10</v>
      </c>
      <c r="D141" s="16">
        <v>10369962.809999999</v>
      </c>
      <c r="E141" s="42">
        <v>1.9769999999999999E-2</v>
      </c>
      <c r="F141" s="122">
        <f t="shared" si="0"/>
        <v>205014.16</v>
      </c>
      <c r="H141" s="42">
        <f t="shared" si="1"/>
        <v>2.102E-2</v>
      </c>
      <c r="I141" s="123">
        <f t="shared" si="2"/>
        <v>217976.62</v>
      </c>
      <c r="J141" s="113"/>
      <c r="K141" s="122">
        <f t="shared" si="3"/>
        <v>12962.459999999992</v>
      </c>
      <c r="L141" s="124"/>
      <c r="M141" s="93"/>
      <c r="N141" s="93"/>
      <c r="O141" s="19"/>
      <c r="P141" s="23"/>
      <c r="Q141" s="188"/>
    </row>
    <row r="142" spans="2:17" x14ac:dyDescent="0.25">
      <c r="B142" s="134" t="s">
        <v>184</v>
      </c>
      <c r="C142" s="19" t="s">
        <v>10</v>
      </c>
      <c r="D142" s="44">
        <f>SUM(D136:D141)</f>
        <v>22998910.287999999</v>
      </c>
      <c r="E142" s="90"/>
      <c r="F142" s="135">
        <f>SUM(F130:F141)</f>
        <v>1144144</v>
      </c>
      <c r="H142" s="43"/>
      <c r="I142" s="135">
        <f>SUM(I130:I141)</f>
        <v>1216942.3599999999</v>
      </c>
      <c r="J142" s="113"/>
      <c r="K142" s="135">
        <f>I142-F142</f>
        <v>72798.35999999987</v>
      </c>
      <c r="L142" s="120">
        <f>K142/F142</f>
        <v>6.3626921086856081E-2</v>
      </c>
      <c r="M142" s="93"/>
      <c r="N142" s="93"/>
      <c r="O142" s="19"/>
      <c r="P142" s="49"/>
      <c r="Q142" s="188"/>
    </row>
    <row r="143" spans="2:17" x14ac:dyDescent="0.25">
      <c r="B143" s="21"/>
      <c r="C143" s="23"/>
      <c r="D143" s="16"/>
      <c r="E143" s="90"/>
      <c r="F143" s="122"/>
      <c r="H143" s="43"/>
      <c r="I143" s="123"/>
      <c r="J143" s="113"/>
      <c r="K143" s="122"/>
      <c r="L143" s="133"/>
      <c r="M143" s="93"/>
      <c r="N143" s="145"/>
      <c r="O143" s="189"/>
      <c r="P143" s="19"/>
      <c r="Q143" s="16"/>
    </row>
    <row r="144" spans="2:17" x14ac:dyDescent="0.25">
      <c r="B144" s="142" t="s">
        <v>145</v>
      </c>
      <c r="C144" s="23"/>
      <c r="D144" s="16"/>
      <c r="E144" s="90"/>
      <c r="F144" s="122"/>
      <c r="H144" s="43"/>
      <c r="I144" s="123"/>
      <c r="J144" s="113"/>
      <c r="K144" s="122"/>
      <c r="L144" s="133"/>
      <c r="M144" s="93"/>
      <c r="N144" s="93"/>
      <c r="O144" s="23"/>
      <c r="P144" s="23"/>
      <c r="Q144" s="35"/>
    </row>
    <row r="145" spans="1:17" x14ac:dyDescent="0.25">
      <c r="B145" s="20" t="s">
        <v>85</v>
      </c>
      <c r="C145" s="19" t="s">
        <v>10</v>
      </c>
      <c r="D145" s="143">
        <f>D142</f>
        <v>22998910.287999999</v>
      </c>
      <c r="E145" s="42">
        <v>0.36176000000000003</v>
      </c>
      <c r="F145" s="123">
        <f>+E145*D145</f>
        <v>8320085.7857868802</v>
      </c>
      <c r="G145" s="144"/>
      <c r="H145" s="42">
        <v>0.39030999999999999</v>
      </c>
      <c r="I145" s="123">
        <f>+H145*D145</f>
        <v>8976704.6745092794</v>
      </c>
      <c r="J145" s="113"/>
      <c r="K145" s="122">
        <f>I145-F145</f>
        <v>656618.88872239925</v>
      </c>
      <c r="L145" s="124"/>
      <c r="M145" s="93"/>
      <c r="N145" s="93"/>
      <c r="O145" s="19"/>
      <c r="P145" s="19"/>
      <c r="Q145" s="35"/>
    </row>
    <row r="146" spans="1:17" x14ac:dyDescent="0.25">
      <c r="B146" s="20" t="s">
        <v>24</v>
      </c>
      <c r="C146" s="19" t="s">
        <v>74</v>
      </c>
      <c r="D146" s="143">
        <f>D131</f>
        <v>0</v>
      </c>
      <c r="E146" s="43">
        <v>1.05</v>
      </c>
      <c r="F146" s="123">
        <f>D146*E146</f>
        <v>0</v>
      </c>
      <c r="G146" s="144"/>
      <c r="H146" s="43">
        <v>1.05</v>
      </c>
      <c r="I146" s="123">
        <f>D146*H146</f>
        <v>0</v>
      </c>
      <c r="J146" s="113"/>
      <c r="K146" s="122">
        <f>I146-F146</f>
        <v>0</v>
      </c>
      <c r="L146" s="133"/>
      <c r="M146" s="93"/>
      <c r="N146" s="93"/>
      <c r="O146" s="23"/>
      <c r="P146" s="23"/>
      <c r="Q146" s="35"/>
    </row>
    <row r="147" spans="1:17" x14ac:dyDescent="0.25">
      <c r="B147" s="21" t="s">
        <v>185</v>
      </c>
      <c r="C147" s="23"/>
      <c r="D147" s="35"/>
      <c r="E147" s="91"/>
      <c r="F147" s="135">
        <f>SUM(F145:F146)</f>
        <v>8320085.7857868802</v>
      </c>
      <c r="G147" s="35"/>
      <c r="H147" s="43"/>
      <c r="I147" s="135">
        <f>SUM(I145:I146)</f>
        <v>8976704.6745092794</v>
      </c>
      <c r="J147" s="135"/>
      <c r="K147" s="135">
        <f>I147-F147</f>
        <v>656618.88872239925</v>
      </c>
      <c r="L147" s="120">
        <f>ROUND(K147/F147,5)</f>
        <v>7.8920000000000004E-2</v>
      </c>
      <c r="M147" s="93"/>
      <c r="N147" s="93"/>
      <c r="O147" s="19"/>
      <c r="P147" s="19"/>
      <c r="Q147" s="35"/>
    </row>
    <row r="148" spans="1:17" x14ac:dyDescent="0.25">
      <c r="B148" s="20"/>
      <c r="C148" s="19"/>
      <c r="D148" s="16"/>
      <c r="E148" s="91"/>
      <c r="F148" s="123"/>
      <c r="H148" s="43"/>
      <c r="I148" s="123"/>
      <c r="J148" s="123"/>
      <c r="K148" s="122"/>
      <c r="L148" s="133"/>
      <c r="M148" s="93"/>
      <c r="N148" s="93"/>
      <c r="O148" s="23"/>
      <c r="P148" s="19"/>
      <c r="Q148" s="16"/>
    </row>
    <row r="149" spans="1:17" x14ac:dyDescent="0.25">
      <c r="B149" s="20" t="s">
        <v>26</v>
      </c>
      <c r="C149" s="19"/>
      <c r="D149" s="16"/>
      <c r="E149" s="91"/>
      <c r="F149" s="135">
        <f>F142+F147</f>
        <v>9464229.7857868802</v>
      </c>
      <c r="H149" s="43"/>
      <c r="I149" s="135">
        <f>I142+I147</f>
        <v>10193647.034509279</v>
      </c>
      <c r="J149" s="113"/>
      <c r="K149" s="135">
        <f>K142+K147</f>
        <v>729417.24872239912</v>
      </c>
      <c r="L149" s="120">
        <f>K149/F149</f>
        <v>7.7070957196941459E-2</v>
      </c>
      <c r="M149" s="93"/>
      <c r="N149" s="93"/>
      <c r="O149" s="19"/>
      <c r="P149" s="19"/>
      <c r="Q149" s="16"/>
    </row>
    <row r="150" spans="1:17" x14ac:dyDescent="0.25">
      <c r="A150" s="19"/>
      <c r="B150" s="147"/>
      <c r="C150" s="148"/>
      <c r="D150" s="48"/>
      <c r="E150" s="164"/>
      <c r="F150" s="161"/>
      <c r="G150" s="48"/>
      <c r="H150" s="151"/>
      <c r="I150" s="157"/>
      <c r="J150" s="152"/>
      <c r="K150" s="150"/>
      <c r="L150" s="176"/>
      <c r="M150" s="93"/>
      <c r="N150" s="93"/>
      <c r="O150" s="23"/>
      <c r="P150" s="19"/>
      <c r="Q150" s="16"/>
    </row>
    <row r="151" spans="1:17" x14ac:dyDescent="0.25">
      <c r="A151" s="19"/>
      <c r="B151" s="19"/>
      <c r="C151" s="19"/>
      <c r="D151" s="16"/>
      <c r="E151" s="42"/>
      <c r="F151" s="146"/>
      <c r="H151" s="43"/>
      <c r="I151" s="123"/>
      <c r="J151" s="113"/>
      <c r="K151" s="122"/>
      <c r="L151" s="178"/>
      <c r="M151" s="93"/>
      <c r="N151" s="93"/>
      <c r="O151" s="19"/>
      <c r="P151" s="19"/>
      <c r="Q151" s="16"/>
    </row>
    <row r="152" spans="1:17" x14ac:dyDescent="0.25">
      <c r="A152" s="19"/>
      <c r="B152" s="18" t="s">
        <v>137</v>
      </c>
      <c r="C152" s="22"/>
      <c r="D152" s="44"/>
      <c r="E152" s="115"/>
      <c r="F152" s="116"/>
      <c r="G152" s="44"/>
      <c r="H152" s="118"/>
      <c r="I152" s="135"/>
      <c r="J152" s="119"/>
      <c r="K152" s="116"/>
      <c r="L152" s="120"/>
      <c r="M152" s="93"/>
      <c r="N152" s="93"/>
      <c r="O152" s="19"/>
      <c r="P152" s="19"/>
      <c r="Q152" s="16"/>
    </row>
    <row r="153" spans="1:17" x14ac:dyDescent="0.25">
      <c r="A153" s="19"/>
      <c r="B153" s="20"/>
      <c r="C153" s="19"/>
      <c r="D153" s="16"/>
      <c r="E153" s="90"/>
      <c r="F153" s="122"/>
      <c r="H153" s="43"/>
      <c r="I153" s="123"/>
      <c r="J153" s="113"/>
      <c r="K153" s="122"/>
      <c r="L153" s="124"/>
      <c r="M153" s="93"/>
      <c r="N153" s="93"/>
      <c r="O153" s="19"/>
      <c r="P153" s="19"/>
      <c r="Q153" s="16"/>
    </row>
    <row r="154" spans="1:17" x14ac:dyDescent="0.25">
      <c r="A154" s="19"/>
      <c r="B154" s="21" t="s">
        <v>142</v>
      </c>
      <c r="C154" s="23" t="s">
        <v>67</v>
      </c>
      <c r="D154" s="16">
        <v>129.03333266999661</v>
      </c>
      <c r="E154" s="43">
        <v>926.71</v>
      </c>
      <c r="F154" s="122">
        <f>ROUND(D154*E154,2)</f>
        <v>119576.48</v>
      </c>
      <c r="H154" s="43">
        <f>ROUND(E154*(1+$O$140),2)</f>
        <v>985.32</v>
      </c>
      <c r="I154" s="123">
        <f>ROUND(D154*H154,2)</f>
        <v>127139.12</v>
      </c>
      <c r="J154" s="113"/>
      <c r="K154" s="122">
        <f>I154-F154</f>
        <v>7562.6399999999994</v>
      </c>
      <c r="L154" s="181"/>
      <c r="M154" s="93"/>
      <c r="N154" s="93"/>
      <c r="O154" s="19"/>
      <c r="P154" s="19"/>
      <c r="Q154" s="127">
        <f>H154/E154-1</f>
        <v>6.3245243927442241E-2</v>
      </c>
    </row>
    <row r="155" spans="1:17" x14ac:dyDescent="0.25">
      <c r="A155" s="19"/>
      <c r="B155" s="20" t="s">
        <v>24</v>
      </c>
      <c r="C155" s="19" t="s">
        <v>74</v>
      </c>
      <c r="D155" s="16">
        <v>295626.66599999997</v>
      </c>
      <c r="E155" s="43">
        <v>1.1499999999999999</v>
      </c>
      <c r="F155" s="122">
        <f>ROUND(D155*E155,2)</f>
        <v>339970.67</v>
      </c>
      <c r="H155" s="43">
        <f>H131</f>
        <v>1.38</v>
      </c>
      <c r="I155" s="123">
        <f>ROUND(D155*H155,2)</f>
        <v>407964.8</v>
      </c>
      <c r="J155" s="113"/>
      <c r="K155" s="122">
        <f>I155-F155</f>
        <v>67994.13</v>
      </c>
      <c r="L155" s="181"/>
      <c r="M155" s="93"/>
      <c r="N155" s="93"/>
      <c r="Q155" s="127">
        <f>H155/E155-1</f>
        <v>0.19999999999999996</v>
      </c>
    </row>
    <row r="156" spans="1:17" x14ac:dyDescent="0.25">
      <c r="A156" s="19"/>
      <c r="B156" s="20" t="s">
        <v>127</v>
      </c>
      <c r="C156" s="19"/>
      <c r="D156" s="16"/>
      <c r="E156" s="43"/>
      <c r="F156" s="130">
        <v>24437.89</v>
      </c>
      <c r="H156" s="43"/>
      <c r="I156" s="123">
        <f>F156</f>
        <v>24437.89</v>
      </c>
      <c r="J156" s="113"/>
      <c r="K156" s="183"/>
      <c r="L156" s="181"/>
      <c r="M156" s="93"/>
      <c r="N156" s="93"/>
    </row>
    <row r="157" spans="1:17" x14ac:dyDescent="0.25">
      <c r="A157" s="19"/>
      <c r="B157" s="41"/>
      <c r="C157" s="19"/>
      <c r="D157" s="16"/>
      <c r="E157" s="42"/>
      <c r="F157" s="122"/>
      <c r="H157" s="42"/>
      <c r="I157" s="123"/>
      <c r="J157" s="113"/>
      <c r="K157" s="183"/>
      <c r="L157" s="181"/>
      <c r="M157" s="93"/>
      <c r="N157" s="93"/>
    </row>
    <row r="158" spans="1:17" x14ac:dyDescent="0.25">
      <c r="A158" s="19"/>
      <c r="B158" s="20" t="s">
        <v>84</v>
      </c>
      <c r="C158" s="19"/>
      <c r="D158" s="16"/>
      <c r="E158" s="91"/>
      <c r="F158" s="122"/>
      <c r="H158" s="42"/>
      <c r="I158" s="123"/>
      <c r="J158" s="113"/>
      <c r="K158" s="183"/>
      <c r="L158" s="181"/>
      <c r="M158" s="93"/>
      <c r="N158" s="93"/>
    </row>
    <row r="159" spans="1:17" x14ac:dyDescent="0.25">
      <c r="A159" s="19"/>
      <c r="B159" s="20" t="s">
        <v>13</v>
      </c>
      <c r="C159" s="19" t="s">
        <v>10</v>
      </c>
      <c r="D159" s="16">
        <f>900000+2341893</f>
        <v>3241893</v>
      </c>
      <c r="E159" s="42">
        <v>0.14454</v>
      </c>
      <c r="F159" s="146">
        <f t="shared" ref="F159:F164" si="4">ROUND(D159*E159,2)</f>
        <v>468583.21</v>
      </c>
      <c r="H159" s="42">
        <f t="shared" ref="H159:H164" si="5">H136</f>
        <v>0.15368000000000001</v>
      </c>
      <c r="I159" s="123">
        <f t="shared" ref="I159:I164" si="6">ROUND(D159*H159,2)</f>
        <v>498214.12</v>
      </c>
      <c r="J159" s="113"/>
      <c r="K159" s="122">
        <f t="shared" ref="K159:K164" si="7">I159-F159</f>
        <v>29630.909999999974</v>
      </c>
      <c r="L159" s="190"/>
      <c r="M159" s="93"/>
      <c r="N159" s="93"/>
      <c r="Q159" s="127">
        <f t="shared" ref="Q159:Q164" si="8">H159/E159-1</f>
        <v>6.3235090632350888E-2</v>
      </c>
    </row>
    <row r="160" spans="1:17" x14ac:dyDescent="0.25">
      <c r="A160" s="19"/>
      <c r="B160" s="20" t="s">
        <v>14</v>
      </c>
      <c r="C160" s="19" t="s">
        <v>10</v>
      </c>
      <c r="D160" s="16">
        <f>900000+2300834</f>
        <v>3200834</v>
      </c>
      <c r="E160" s="42">
        <v>8.7349999999999997E-2</v>
      </c>
      <c r="F160" s="146">
        <f t="shared" si="4"/>
        <v>279592.84999999998</v>
      </c>
      <c r="H160" s="42">
        <f t="shared" si="5"/>
        <v>9.2869999999999994E-2</v>
      </c>
      <c r="I160" s="123">
        <f t="shared" si="6"/>
        <v>297261.45</v>
      </c>
      <c r="J160" s="113"/>
      <c r="K160" s="122">
        <f t="shared" si="7"/>
        <v>17668.600000000035</v>
      </c>
      <c r="L160" s="190"/>
      <c r="M160" s="93"/>
      <c r="N160" s="93"/>
      <c r="Q160" s="127">
        <f t="shared" si="8"/>
        <v>6.3194046937607329E-2</v>
      </c>
    </row>
    <row r="161" spans="1:17" x14ac:dyDescent="0.25">
      <c r="A161" s="19"/>
      <c r="B161" s="20" t="s">
        <v>18</v>
      </c>
      <c r="C161" s="19" t="s">
        <v>10</v>
      </c>
      <c r="D161" s="16">
        <f>1800000+4555015</f>
        <v>6355015</v>
      </c>
      <c r="E161" s="42">
        <v>5.5579999999999997E-2</v>
      </c>
      <c r="F161" s="146">
        <f t="shared" si="4"/>
        <v>353211.73</v>
      </c>
      <c r="H161" s="42">
        <f t="shared" si="5"/>
        <v>5.91E-2</v>
      </c>
      <c r="I161" s="123">
        <f t="shared" si="6"/>
        <v>375581.39</v>
      </c>
      <c r="J161" s="113"/>
      <c r="K161" s="122">
        <f t="shared" si="7"/>
        <v>22369.660000000033</v>
      </c>
      <c r="L161" s="190"/>
      <c r="M161" s="93"/>
      <c r="N161" s="93"/>
      <c r="Q161" s="127">
        <f t="shared" si="8"/>
        <v>6.3332133861101259E-2</v>
      </c>
    </row>
    <row r="162" spans="1:17" x14ac:dyDescent="0.25">
      <c r="A162" s="19"/>
      <c r="B162" s="20" t="s">
        <v>19</v>
      </c>
      <c r="C162" s="19" t="s">
        <v>10</v>
      </c>
      <c r="D162" s="16">
        <f>3008961+9000000</f>
        <v>12008961</v>
      </c>
      <c r="E162" s="42">
        <v>3.5639999999999998E-2</v>
      </c>
      <c r="F162" s="146">
        <f t="shared" si="4"/>
        <v>427999.37</v>
      </c>
      <c r="H162" s="42">
        <f t="shared" si="5"/>
        <v>3.789E-2</v>
      </c>
      <c r="I162" s="123">
        <f t="shared" si="6"/>
        <v>455019.53</v>
      </c>
      <c r="J162" s="113"/>
      <c r="K162" s="122">
        <f t="shared" si="7"/>
        <v>27020.160000000033</v>
      </c>
      <c r="L162" s="190"/>
      <c r="M162" s="93"/>
      <c r="N162" s="93"/>
      <c r="Q162" s="127">
        <f t="shared" si="8"/>
        <v>6.3131313131313149E-2</v>
      </c>
    </row>
    <row r="163" spans="1:17" x14ac:dyDescent="0.25">
      <c r="A163" s="19"/>
      <c r="B163" s="20" t="s">
        <v>20</v>
      </c>
      <c r="C163" s="19" t="s">
        <v>10</v>
      </c>
      <c r="D163" s="16">
        <f>4026670+23149540</f>
        <v>27176210</v>
      </c>
      <c r="E163" s="42">
        <v>2.564E-2</v>
      </c>
      <c r="F163" s="146">
        <f t="shared" si="4"/>
        <v>696798.02</v>
      </c>
      <c r="H163" s="42">
        <f t="shared" si="5"/>
        <v>2.726E-2</v>
      </c>
      <c r="I163" s="123">
        <f t="shared" si="6"/>
        <v>740823.48</v>
      </c>
      <c r="J163" s="113"/>
      <c r="K163" s="122">
        <f t="shared" si="7"/>
        <v>44025.459999999963</v>
      </c>
      <c r="L163" s="190"/>
      <c r="M163" s="93"/>
      <c r="N163" s="93"/>
      <c r="Q163" s="127">
        <f t="shared" si="8"/>
        <v>6.3182527301091973E-2</v>
      </c>
    </row>
    <row r="164" spans="1:17" x14ac:dyDescent="0.25">
      <c r="A164" s="19"/>
      <c r="B164" s="20" t="s">
        <v>21</v>
      </c>
      <c r="C164" s="19" t="s">
        <v>10</v>
      </c>
      <c r="D164" s="48">
        <f>8727412+38544185</f>
        <v>47271597</v>
      </c>
      <c r="E164" s="42">
        <v>1.9769999999999999E-2</v>
      </c>
      <c r="F164" s="146">
        <f t="shared" si="4"/>
        <v>934559.47</v>
      </c>
      <c r="H164" s="42">
        <f t="shared" si="5"/>
        <v>2.102E-2</v>
      </c>
      <c r="I164" s="123">
        <f t="shared" si="6"/>
        <v>993648.97</v>
      </c>
      <c r="J164" s="113"/>
      <c r="K164" s="122">
        <f t="shared" si="7"/>
        <v>59089.5</v>
      </c>
      <c r="L164" s="190"/>
      <c r="M164" s="93"/>
      <c r="N164" s="93"/>
      <c r="Q164" s="127">
        <f t="shared" si="8"/>
        <v>6.3227111785533641E-2</v>
      </c>
    </row>
    <row r="165" spans="1:17" x14ac:dyDescent="0.25">
      <c r="A165" s="19"/>
      <c r="B165" s="134" t="s">
        <v>184</v>
      </c>
      <c r="C165" s="19"/>
      <c r="D165" s="16">
        <f>SUM(D159:D164)</f>
        <v>99254510</v>
      </c>
      <c r="E165" s="42"/>
      <c r="F165" s="163">
        <f>SUM(F154:F164)</f>
        <v>3644729.6900000004</v>
      </c>
      <c r="H165" s="42"/>
      <c r="I165" s="163">
        <f>SUM(I154:I164)</f>
        <v>3920090.75</v>
      </c>
      <c r="J165" s="113"/>
      <c r="K165" s="163">
        <f>SUM(K154:K164)</f>
        <v>275361.06000000006</v>
      </c>
      <c r="L165" s="120">
        <f>K165/F165</f>
        <v>7.5550475184896368E-2</v>
      </c>
      <c r="M165" s="93"/>
      <c r="N165" s="93"/>
    </row>
    <row r="166" spans="1:17" x14ac:dyDescent="0.25">
      <c r="A166" s="19"/>
      <c r="B166" s="20"/>
      <c r="C166" s="23"/>
      <c r="D166" s="16"/>
      <c r="E166" s="42"/>
      <c r="F166" s="122"/>
      <c r="H166" s="43"/>
      <c r="I166" s="123"/>
      <c r="J166" s="113"/>
      <c r="K166" s="122"/>
      <c r="L166" s="133"/>
      <c r="M166" s="93"/>
      <c r="N166" s="93"/>
    </row>
    <row r="167" spans="1:17" x14ac:dyDescent="0.25">
      <c r="A167" s="19"/>
      <c r="B167" s="21" t="s">
        <v>120</v>
      </c>
      <c r="C167" s="19" t="s">
        <v>10</v>
      </c>
      <c r="D167" s="143">
        <f>D165</f>
        <v>99254510</v>
      </c>
      <c r="E167" s="42">
        <v>6.9999999999999999E-4</v>
      </c>
      <c r="F167" s="123">
        <f>+E167*D167</f>
        <v>69478.157000000007</v>
      </c>
      <c r="G167" s="144"/>
      <c r="H167" s="42">
        <v>6.9999999999999999E-4</v>
      </c>
      <c r="I167" s="123">
        <f>+H167*D167</f>
        <v>69478.157000000007</v>
      </c>
      <c r="J167" s="113"/>
      <c r="K167" s="122">
        <f>I167-F167</f>
        <v>0</v>
      </c>
      <c r="L167" s="124"/>
      <c r="M167" s="93"/>
      <c r="N167" s="93"/>
    </row>
    <row r="168" spans="1:17" x14ac:dyDescent="0.25">
      <c r="A168" s="19"/>
      <c r="B168" s="20" t="s">
        <v>26</v>
      </c>
      <c r="C168" s="19"/>
      <c r="D168" s="16"/>
      <c r="E168" s="91"/>
      <c r="F168" s="135">
        <f>F167+F165</f>
        <v>3714207.8470000005</v>
      </c>
      <c r="H168" s="43"/>
      <c r="I168" s="135">
        <f>I167+I165</f>
        <v>3989568.9070000001</v>
      </c>
      <c r="J168" s="113"/>
      <c r="K168" s="135">
        <f>K167+K165</f>
        <v>275361.06000000006</v>
      </c>
      <c r="L168" s="120">
        <f>K168/F168</f>
        <v>7.4137224232728838E-2</v>
      </c>
      <c r="M168" s="93"/>
      <c r="N168" s="93"/>
      <c r="O168" s="191"/>
    </row>
    <row r="169" spans="1:17" s="19" customFormat="1" x14ac:dyDescent="0.25">
      <c r="B169" s="147"/>
      <c r="C169" s="148"/>
      <c r="D169" s="48"/>
      <c r="E169" s="164"/>
      <c r="F169" s="161"/>
      <c r="G169" s="48"/>
      <c r="H169" s="151"/>
      <c r="I169" s="157"/>
      <c r="J169" s="152"/>
      <c r="K169" s="150"/>
      <c r="L169" s="176"/>
      <c r="M169" s="93"/>
      <c r="N169" s="93"/>
    </row>
    <row r="170" spans="1:17" s="19" customFormat="1" x14ac:dyDescent="0.25">
      <c r="D170" s="16"/>
      <c r="E170" s="42"/>
      <c r="F170" s="146"/>
      <c r="G170" s="16"/>
      <c r="H170" s="43"/>
      <c r="I170" s="123"/>
      <c r="J170" s="113"/>
      <c r="K170" s="122"/>
      <c r="L170" s="178"/>
      <c r="M170" s="93"/>
      <c r="N170" s="93"/>
    </row>
    <row r="171" spans="1:17" x14ac:dyDescent="0.25">
      <c r="A171" s="19"/>
      <c r="B171" s="40" t="s">
        <v>141</v>
      </c>
      <c r="C171" s="46"/>
      <c r="D171" s="44"/>
      <c r="E171" s="192"/>
      <c r="F171" s="193"/>
      <c r="G171" s="44"/>
      <c r="H171" s="118"/>
      <c r="I171" s="163"/>
      <c r="J171" s="194"/>
      <c r="K171" s="193"/>
      <c r="L171" s="136"/>
      <c r="M171" s="93"/>
      <c r="N171" s="93"/>
    </row>
    <row r="172" spans="1:17" x14ac:dyDescent="0.25">
      <c r="A172" s="19"/>
      <c r="B172" s="41"/>
      <c r="C172" s="35"/>
      <c r="D172" s="16"/>
      <c r="E172" s="42"/>
      <c r="F172" s="146"/>
      <c r="H172" s="43"/>
      <c r="I172" s="130"/>
      <c r="J172" s="154"/>
      <c r="K172" s="146"/>
      <c r="L172" s="159"/>
      <c r="M172" s="93"/>
      <c r="N172" s="93"/>
    </row>
    <row r="173" spans="1:17" x14ac:dyDescent="0.25">
      <c r="A173" s="19"/>
      <c r="B173" s="47" t="s">
        <v>142</v>
      </c>
      <c r="C173" s="37" t="s">
        <v>67</v>
      </c>
      <c r="D173" s="16">
        <f>D154+D130</f>
        <v>188.8206975944785</v>
      </c>
      <c r="E173" s="43"/>
      <c r="F173" s="146">
        <f>F154+F130</f>
        <v>154204.72</v>
      </c>
      <c r="H173" s="43"/>
      <c r="I173" s="146">
        <f>I154+I130</f>
        <v>163957.38</v>
      </c>
      <c r="J173" s="154"/>
      <c r="K173" s="130">
        <f>I173-F173</f>
        <v>9752.6600000000035</v>
      </c>
      <c r="L173" s="195"/>
      <c r="M173" s="93"/>
      <c r="N173" s="93"/>
    </row>
    <row r="174" spans="1:17" x14ac:dyDescent="0.25">
      <c r="A174" s="19"/>
      <c r="B174" s="41" t="s">
        <v>24</v>
      </c>
      <c r="C174" s="35" t="s">
        <v>74</v>
      </c>
      <c r="D174" s="16">
        <f>D155+D131</f>
        <v>295626.66599999997</v>
      </c>
      <c r="E174" s="43"/>
      <c r="F174" s="146">
        <f>F155+F131</f>
        <v>339970.67</v>
      </c>
      <c r="H174" s="43"/>
      <c r="I174" s="146">
        <f>I155+I131</f>
        <v>407964.8</v>
      </c>
      <c r="J174" s="154"/>
      <c r="K174" s="130">
        <f>I174-F174</f>
        <v>67994.13</v>
      </c>
      <c r="L174" s="195"/>
      <c r="M174" s="93"/>
      <c r="N174" s="93"/>
    </row>
    <row r="175" spans="1:17" x14ac:dyDescent="0.25">
      <c r="A175" s="19"/>
      <c r="B175" s="41" t="s">
        <v>66</v>
      </c>
      <c r="C175" s="35"/>
      <c r="D175" s="16"/>
      <c r="E175" s="43"/>
      <c r="F175" s="146">
        <f>F132</f>
        <v>123964.13</v>
      </c>
      <c r="H175" s="43"/>
      <c r="I175" s="146">
        <f>I132</f>
        <v>137533.48000000001</v>
      </c>
      <c r="J175" s="154"/>
      <c r="K175" s="130">
        <f>I175-F175</f>
        <v>13569.350000000006</v>
      </c>
      <c r="L175" s="195"/>
      <c r="M175" s="93"/>
      <c r="N175" s="93"/>
    </row>
    <row r="176" spans="1:17" x14ac:dyDescent="0.25">
      <c r="A176" s="19"/>
      <c r="B176" s="41" t="s">
        <v>127</v>
      </c>
      <c r="C176" s="35"/>
      <c r="D176" s="16"/>
      <c r="E176" s="43"/>
      <c r="F176" s="130">
        <f>F156+F133</f>
        <v>107821.52</v>
      </c>
      <c r="H176" s="43"/>
      <c r="I176" s="130">
        <f>I156+I133</f>
        <v>107821.52</v>
      </c>
      <c r="J176" s="154"/>
      <c r="K176" s="130">
        <f>I176-F176</f>
        <v>0</v>
      </c>
      <c r="L176" s="195"/>
      <c r="M176" s="93"/>
      <c r="N176" s="93"/>
    </row>
    <row r="177" spans="1:16" x14ac:dyDescent="0.25">
      <c r="A177" s="19"/>
      <c r="B177" s="41"/>
      <c r="C177" s="35"/>
      <c r="D177" s="16"/>
      <c r="E177" s="43"/>
      <c r="F177" s="130"/>
      <c r="H177" s="42"/>
      <c r="I177" s="130"/>
      <c r="J177" s="154"/>
      <c r="K177" s="130"/>
      <c r="L177" s="195"/>
      <c r="M177" s="93"/>
      <c r="N177" s="93"/>
    </row>
    <row r="178" spans="1:16" ht="12" customHeight="1" x14ac:dyDescent="0.25">
      <c r="A178" s="19"/>
      <c r="B178" s="41" t="s">
        <v>84</v>
      </c>
      <c r="C178" s="35"/>
      <c r="D178" s="16"/>
      <c r="E178" s="43"/>
      <c r="F178" s="146"/>
      <c r="H178" s="42"/>
      <c r="I178" s="146"/>
      <c r="J178" s="154"/>
      <c r="K178" s="130"/>
      <c r="L178" s="195"/>
      <c r="M178" s="93"/>
      <c r="N178" s="93"/>
    </row>
    <row r="179" spans="1:16" x14ac:dyDescent="0.25">
      <c r="A179" s="19"/>
      <c r="B179" s="41" t="s">
        <v>13</v>
      </c>
      <c r="C179" s="35" t="s">
        <v>10</v>
      </c>
      <c r="D179" s="16">
        <f t="shared" ref="D179:D184" si="9">D159+D136</f>
        <v>4709836.91</v>
      </c>
      <c r="E179" s="42"/>
      <c r="F179" s="146">
        <f t="shared" ref="F179:F184" si="10">F159+F136</f>
        <v>680759.82000000007</v>
      </c>
      <c r="H179" s="42"/>
      <c r="I179" s="146">
        <f t="shared" ref="I179:I184" si="11">I159+I136</f>
        <v>723807.74</v>
      </c>
      <c r="J179" s="154"/>
      <c r="K179" s="130">
        <f t="shared" ref="K179:K184" si="12">I179-F179</f>
        <v>43047.919999999925</v>
      </c>
      <c r="L179" s="195"/>
      <c r="M179" s="93"/>
      <c r="N179" s="93"/>
    </row>
    <row r="180" spans="1:16" x14ac:dyDescent="0.25">
      <c r="A180" s="19"/>
      <c r="B180" s="41" t="s">
        <v>14</v>
      </c>
      <c r="C180" s="35" t="s">
        <v>10</v>
      </c>
      <c r="D180" s="16">
        <f t="shared" si="9"/>
        <v>4645519</v>
      </c>
      <c r="E180" s="42"/>
      <c r="F180" s="146">
        <f t="shared" si="10"/>
        <v>405786.07999999996</v>
      </c>
      <c r="H180" s="42"/>
      <c r="I180" s="146">
        <f t="shared" si="11"/>
        <v>431429.35</v>
      </c>
      <c r="J180" s="154"/>
      <c r="K180" s="130">
        <f t="shared" si="12"/>
        <v>25643.270000000019</v>
      </c>
      <c r="L180" s="195"/>
      <c r="M180" s="93"/>
      <c r="N180" s="93"/>
    </row>
    <row r="181" spans="1:16" x14ac:dyDescent="0.25">
      <c r="A181" s="19"/>
      <c r="B181" s="41" t="s">
        <v>18</v>
      </c>
      <c r="C181" s="35" t="s">
        <v>10</v>
      </c>
      <c r="D181" s="16">
        <f t="shared" si="9"/>
        <v>8965943.5309999995</v>
      </c>
      <c r="E181" s="42"/>
      <c r="F181" s="146">
        <f t="shared" si="10"/>
        <v>498327.14</v>
      </c>
      <c r="H181" s="42"/>
      <c r="I181" s="146">
        <f t="shared" si="11"/>
        <v>529887.27</v>
      </c>
      <c r="J181" s="154"/>
      <c r="K181" s="130">
        <f t="shared" si="12"/>
        <v>31560.130000000005</v>
      </c>
      <c r="L181" s="159"/>
      <c r="M181" s="93"/>
      <c r="N181" s="93"/>
    </row>
    <row r="182" spans="1:16" x14ac:dyDescent="0.25">
      <c r="A182" s="19"/>
      <c r="B182" s="41" t="s">
        <v>19</v>
      </c>
      <c r="C182" s="35" t="s">
        <v>10</v>
      </c>
      <c r="D182" s="16">
        <f t="shared" si="9"/>
        <v>15157600.455</v>
      </c>
      <c r="E182" s="42"/>
      <c r="F182" s="146">
        <f t="shared" si="10"/>
        <v>540216.88</v>
      </c>
      <c r="H182" s="42"/>
      <c r="I182" s="146">
        <f t="shared" si="11"/>
        <v>574321.48</v>
      </c>
      <c r="J182" s="154"/>
      <c r="K182" s="130">
        <f t="shared" si="12"/>
        <v>34104.599999999977</v>
      </c>
      <c r="L182" s="159"/>
      <c r="M182" s="93"/>
      <c r="N182" s="93"/>
    </row>
    <row r="183" spans="1:16" x14ac:dyDescent="0.25">
      <c r="A183" s="19"/>
      <c r="B183" s="41" t="s">
        <v>20</v>
      </c>
      <c r="C183" s="35" t="s">
        <v>10</v>
      </c>
      <c r="D183" s="16">
        <f t="shared" si="9"/>
        <v>31132960.581999999</v>
      </c>
      <c r="E183" s="42"/>
      <c r="F183" s="146">
        <f t="shared" si="10"/>
        <v>798249.1</v>
      </c>
      <c r="H183" s="42"/>
      <c r="I183" s="146">
        <f t="shared" si="11"/>
        <v>848684.5</v>
      </c>
      <c r="J183" s="154"/>
      <c r="K183" s="130">
        <f t="shared" si="12"/>
        <v>50435.400000000023</v>
      </c>
      <c r="L183" s="159"/>
      <c r="M183" s="93"/>
      <c r="N183" s="93"/>
    </row>
    <row r="184" spans="1:16" x14ac:dyDescent="0.25">
      <c r="A184" s="19"/>
      <c r="B184" s="41" t="s">
        <v>21</v>
      </c>
      <c r="C184" s="35" t="s">
        <v>10</v>
      </c>
      <c r="D184" s="16">
        <f t="shared" si="9"/>
        <v>57641559.810000002</v>
      </c>
      <c r="E184" s="42"/>
      <c r="F184" s="146">
        <f t="shared" si="10"/>
        <v>1139573.6299999999</v>
      </c>
      <c r="H184" s="42"/>
      <c r="I184" s="146">
        <f t="shared" si="11"/>
        <v>1211625.5899999999</v>
      </c>
      <c r="J184" s="154"/>
      <c r="K184" s="130">
        <f t="shared" si="12"/>
        <v>72051.959999999963</v>
      </c>
      <c r="L184" s="159"/>
      <c r="M184" s="93"/>
      <c r="N184" s="93"/>
    </row>
    <row r="185" spans="1:16" x14ac:dyDescent="0.25">
      <c r="A185" s="19"/>
      <c r="B185" s="134" t="s">
        <v>184</v>
      </c>
      <c r="C185" s="35" t="s">
        <v>10</v>
      </c>
      <c r="D185" s="44">
        <f>SUM(D179:D184)</f>
        <v>122253420.288</v>
      </c>
      <c r="E185" s="42"/>
      <c r="F185" s="193">
        <f>SUM(F173:F184)</f>
        <v>4788873.6899999995</v>
      </c>
      <c r="H185" s="43"/>
      <c r="I185" s="193">
        <f>SUM(I173:I184)</f>
        <v>5137033.1099999994</v>
      </c>
      <c r="J185" s="154"/>
      <c r="K185" s="193">
        <f>SUM(K173:K184)</f>
        <v>348159.41999999993</v>
      </c>
      <c r="L185" s="136">
        <f>K185/F185</f>
        <v>7.2701733755688169E-2</v>
      </c>
      <c r="M185" s="93"/>
      <c r="N185" s="93"/>
      <c r="P185" s="49"/>
    </row>
    <row r="186" spans="1:16" x14ac:dyDescent="0.25">
      <c r="A186" s="19"/>
      <c r="B186" s="47"/>
      <c r="C186" s="37"/>
      <c r="D186" s="16"/>
      <c r="E186" s="42"/>
      <c r="F186" s="146"/>
      <c r="H186" s="43"/>
      <c r="I186" s="130"/>
      <c r="J186" s="154"/>
      <c r="K186" s="146"/>
      <c r="L186" s="162"/>
      <c r="M186" s="93"/>
      <c r="N186" s="93"/>
    </row>
    <row r="187" spans="1:16" x14ac:dyDescent="0.25">
      <c r="A187" s="19"/>
      <c r="B187" s="196" t="s">
        <v>145</v>
      </c>
      <c r="C187" s="37"/>
      <c r="D187" s="16"/>
      <c r="E187" s="42"/>
      <c r="F187" s="146"/>
      <c r="H187" s="43"/>
      <c r="I187" s="130"/>
      <c r="J187" s="154"/>
      <c r="K187" s="146"/>
      <c r="L187" s="162"/>
      <c r="M187" s="93"/>
      <c r="N187" s="93"/>
    </row>
    <row r="188" spans="1:16" x14ac:dyDescent="0.25">
      <c r="A188" s="19"/>
      <c r="B188" s="41" t="s">
        <v>85</v>
      </c>
      <c r="C188" s="37"/>
      <c r="D188" s="16"/>
      <c r="E188" s="42"/>
      <c r="F188" s="146">
        <f>F145</f>
        <v>8320085.7857868802</v>
      </c>
      <c r="H188" s="43"/>
      <c r="I188" s="146">
        <f>I145</f>
        <v>8976704.6745092794</v>
      </c>
      <c r="J188" s="154"/>
      <c r="K188" s="130">
        <f>I188-F188</f>
        <v>656618.88872239925</v>
      </c>
      <c r="L188" s="162"/>
      <c r="M188" s="93"/>
      <c r="N188" s="93"/>
    </row>
    <row r="189" spans="1:16" x14ac:dyDescent="0.25">
      <c r="A189" s="19"/>
      <c r="B189" s="41" t="s">
        <v>24</v>
      </c>
      <c r="C189" s="37"/>
      <c r="D189" s="16"/>
      <c r="E189" s="42"/>
      <c r="F189" s="146">
        <f>F146</f>
        <v>0</v>
      </c>
      <c r="H189" s="43"/>
      <c r="I189" s="146">
        <f>I146</f>
        <v>0</v>
      </c>
      <c r="J189" s="154"/>
      <c r="K189" s="130">
        <f>I189-F189</f>
        <v>0</v>
      </c>
      <c r="L189" s="162"/>
      <c r="M189" s="93"/>
      <c r="N189" s="93"/>
    </row>
    <row r="190" spans="1:16" x14ac:dyDescent="0.25">
      <c r="A190" s="19"/>
      <c r="B190" s="41" t="s">
        <v>120</v>
      </c>
      <c r="C190" s="35" t="s">
        <v>10</v>
      </c>
      <c r="D190" s="16">
        <f>D167</f>
        <v>99254510</v>
      </c>
      <c r="E190" s="42"/>
      <c r="F190" s="130">
        <f>F167</f>
        <v>69478.157000000007</v>
      </c>
      <c r="G190" s="144"/>
      <c r="H190" s="42"/>
      <c r="I190" s="130">
        <f>I167</f>
        <v>69478.157000000007</v>
      </c>
      <c r="J190" s="154"/>
      <c r="K190" s="130">
        <f>I190-F190</f>
        <v>0</v>
      </c>
      <c r="L190" s="159"/>
      <c r="M190" s="93"/>
      <c r="N190" s="93"/>
    </row>
    <row r="191" spans="1:16" x14ac:dyDescent="0.25">
      <c r="A191" s="19"/>
      <c r="B191" s="21" t="s">
        <v>185</v>
      </c>
      <c r="C191" s="35"/>
      <c r="D191" s="144"/>
      <c r="E191" s="42"/>
      <c r="F191" s="163">
        <f>SUM(F188:F190)</f>
        <v>8389563.9427868798</v>
      </c>
      <c r="G191" s="144"/>
      <c r="H191" s="42"/>
      <c r="I191" s="163">
        <f>SUM(I188:I190)</f>
        <v>9046182.8315092791</v>
      </c>
      <c r="J191" s="163"/>
      <c r="K191" s="163">
        <f>SUM(K188:K190)</f>
        <v>656618.88872239925</v>
      </c>
      <c r="L191" s="136">
        <f>K191/F191</f>
        <v>7.8266152233924191E-2</v>
      </c>
      <c r="M191" s="93"/>
      <c r="N191" s="93"/>
    </row>
    <row r="192" spans="1:16" x14ac:dyDescent="0.25">
      <c r="A192" s="19"/>
      <c r="B192" s="47"/>
      <c r="C192" s="35"/>
      <c r="D192" s="144"/>
      <c r="E192" s="42"/>
      <c r="F192" s="130"/>
      <c r="G192" s="144"/>
      <c r="H192" s="42"/>
      <c r="I192" s="130"/>
      <c r="J192" s="154"/>
      <c r="K192" s="146"/>
      <c r="L192" s="159"/>
      <c r="M192" s="93"/>
      <c r="N192" s="93"/>
    </row>
    <row r="193" spans="1:15" x14ac:dyDescent="0.25">
      <c r="A193" s="19"/>
      <c r="B193" s="47" t="s">
        <v>26</v>
      </c>
      <c r="C193" s="37"/>
      <c r="D193" s="146"/>
      <c r="E193" s="43"/>
      <c r="F193" s="193">
        <f>F185+F191</f>
        <v>13178437.632786879</v>
      </c>
      <c r="G193" s="35"/>
      <c r="H193" s="43"/>
      <c r="I193" s="193">
        <f>I185+I191</f>
        <v>14183215.941509278</v>
      </c>
      <c r="J193" s="43"/>
      <c r="K193" s="193">
        <f>K185+K191</f>
        <v>1004778.3087223992</v>
      </c>
      <c r="L193" s="197">
        <f>ROUND(K193/F193,5)</f>
        <v>7.6240000000000002E-2</v>
      </c>
      <c r="M193" s="93"/>
      <c r="N193" s="93"/>
    </row>
    <row r="194" spans="1:15" x14ac:dyDescent="0.25">
      <c r="A194" s="19"/>
      <c r="B194" s="147"/>
      <c r="C194" s="148"/>
      <c r="D194" s="48"/>
      <c r="E194" s="198"/>
      <c r="F194" s="157"/>
      <c r="G194" s="48"/>
      <c r="H194" s="151"/>
      <c r="I194" s="165"/>
      <c r="J194" s="152"/>
      <c r="K194" s="150"/>
      <c r="L194" s="153"/>
      <c r="M194" s="93"/>
      <c r="N194" s="93"/>
    </row>
    <row r="195" spans="1:15" x14ac:dyDescent="0.25">
      <c r="A195" s="19"/>
      <c r="B195" s="19"/>
      <c r="C195" s="19"/>
      <c r="D195" s="16"/>
      <c r="E195" s="42"/>
      <c r="F195" s="146"/>
      <c r="H195" s="43"/>
      <c r="I195" s="123"/>
      <c r="J195" s="113"/>
      <c r="K195" s="122"/>
      <c r="L195" s="178"/>
      <c r="M195" s="93"/>
      <c r="N195" s="93"/>
    </row>
    <row r="196" spans="1:15" x14ac:dyDescent="0.25">
      <c r="B196" s="31" t="s">
        <v>179</v>
      </c>
      <c r="C196" s="19"/>
      <c r="D196" s="16"/>
      <c r="E196" s="90"/>
      <c r="F196" s="91"/>
      <c r="H196" s="42"/>
      <c r="I196" s="91"/>
      <c r="J196" s="91"/>
      <c r="K196" s="91"/>
      <c r="L196" s="199"/>
      <c r="M196" s="93"/>
      <c r="N196" s="93"/>
      <c r="O196" s="129"/>
    </row>
    <row r="197" spans="1:15" x14ac:dyDescent="0.25">
      <c r="C197" s="19"/>
      <c r="D197" s="104" t="s">
        <v>10</v>
      </c>
      <c r="E197" s="90"/>
      <c r="F197" s="200" t="s">
        <v>22</v>
      </c>
      <c r="G197" s="73"/>
      <c r="H197" s="24"/>
      <c r="I197" s="200" t="s">
        <v>1</v>
      </c>
      <c r="J197" s="191"/>
      <c r="K197" s="200" t="s">
        <v>132</v>
      </c>
      <c r="L197" s="199"/>
      <c r="M197" s="93"/>
      <c r="N197" s="93"/>
      <c r="O197" s="129"/>
    </row>
    <row r="198" spans="1:15" x14ac:dyDescent="0.25">
      <c r="B198" s="1" t="s">
        <v>122</v>
      </c>
      <c r="C198" s="19"/>
      <c r="D198" s="16"/>
      <c r="E198" s="90"/>
      <c r="F198" s="201"/>
      <c r="G198" s="202"/>
      <c r="H198" s="202"/>
      <c r="I198" s="201"/>
      <c r="J198" s="201"/>
      <c r="K198" s="201"/>
      <c r="L198" s="199"/>
      <c r="M198" s="93"/>
      <c r="N198" s="93"/>
      <c r="O198" s="129"/>
    </row>
    <row r="199" spans="1:15" x14ac:dyDescent="0.25">
      <c r="B199" s="79" t="s">
        <v>181</v>
      </c>
      <c r="C199" s="19"/>
      <c r="D199" s="203"/>
      <c r="E199" s="90"/>
      <c r="F199" s="201">
        <f>F26+F45</f>
        <v>13012174.922063636</v>
      </c>
      <c r="G199" s="202"/>
      <c r="H199" s="202"/>
      <c r="I199" s="201">
        <f>I26+I45</f>
        <v>14081369.971293638</v>
      </c>
      <c r="J199" s="201"/>
      <c r="K199" s="201">
        <f>I199-F199</f>
        <v>1069195.0492300019</v>
      </c>
      <c r="L199" s="199"/>
      <c r="M199" s="93"/>
      <c r="N199" s="93"/>
      <c r="O199" s="129"/>
    </row>
    <row r="200" spans="1:15" x14ac:dyDescent="0.25">
      <c r="B200" s="79" t="s">
        <v>183</v>
      </c>
      <c r="C200" s="19"/>
      <c r="D200" s="203"/>
      <c r="E200" s="90"/>
      <c r="F200" s="201">
        <f>F86+F102</f>
        <v>3588371.6665600003</v>
      </c>
      <c r="G200" s="202"/>
      <c r="H200" s="202"/>
      <c r="I200" s="201">
        <f>I86+I102</f>
        <v>3862142.6665599998</v>
      </c>
      <c r="J200" s="201"/>
      <c r="K200" s="201">
        <f>I200-F200</f>
        <v>273770.99999999953</v>
      </c>
      <c r="L200" s="199"/>
      <c r="M200" s="93"/>
      <c r="N200" s="93"/>
      <c r="O200" s="129"/>
    </row>
    <row r="201" spans="1:15" x14ac:dyDescent="0.25">
      <c r="B201" s="79" t="s">
        <v>182</v>
      </c>
      <c r="C201" s="19"/>
      <c r="D201" s="203"/>
      <c r="E201" s="90"/>
      <c r="F201" s="201">
        <f>F147+F167</f>
        <v>8389563.9427868798</v>
      </c>
      <c r="G201" s="202"/>
      <c r="H201" s="202"/>
      <c r="I201" s="201">
        <f>I147+I167</f>
        <v>9046182.8315092791</v>
      </c>
      <c r="J201" s="201"/>
      <c r="K201" s="201">
        <f>I201-F201</f>
        <v>656618.88872239925</v>
      </c>
      <c r="L201" s="199"/>
      <c r="M201" s="93"/>
      <c r="N201" s="93"/>
      <c r="O201" s="129"/>
    </row>
    <row r="202" spans="1:15" x14ac:dyDescent="0.25">
      <c r="B202" s="79" t="s">
        <v>23</v>
      </c>
      <c r="C202" s="19"/>
      <c r="D202" s="203"/>
      <c r="E202" s="90"/>
      <c r="F202" s="204">
        <f>SUM(F199:F201)</f>
        <v>24990110.531410515</v>
      </c>
      <c r="G202" s="202"/>
      <c r="H202" s="202"/>
      <c r="I202" s="204">
        <f>SUM(I199:I201)</f>
        <v>26989695.469362915</v>
      </c>
      <c r="J202" s="201"/>
      <c r="K202" s="204">
        <f>SUM(K199:K201)</f>
        <v>1999584.9379524007</v>
      </c>
      <c r="L202" s="199"/>
      <c r="M202" s="93"/>
      <c r="N202" s="93"/>
      <c r="O202" s="208"/>
    </row>
    <row r="203" spans="1:15" x14ac:dyDescent="0.25">
      <c r="C203" s="19"/>
      <c r="D203" s="203"/>
      <c r="E203" s="90"/>
      <c r="F203" s="201"/>
      <c r="G203" s="202"/>
      <c r="H203" s="202"/>
      <c r="I203" s="201"/>
      <c r="J203" s="201"/>
      <c r="K203" s="201"/>
      <c r="L203" s="199"/>
      <c r="M203" s="93"/>
      <c r="N203" s="93"/>
      <c r="O203" s="129"/>
    </row>
    <row r="204" spans="1:15" x14ac:dyDescent="0.25">
      <c r="B204" s="1" t="s">
        <v>123</v>
      </c>
      <c r="C204" s="19"/>
      <c r="D204" s="203"/>
      <c r="E204" s="90"/>
      <c r="F204" s="201"/>
      <c r="G204" s="202"/>
      <c r="H204" s="202"/>
      <c r="I204" s="201"/>
      <c r="J204" s="201"/>
      <c r="K204" s="201"/>
      <c r="L204" s="199"/>
      <c r="M204" s="93"/>
      <c r="N204" s="93"/>
      <c r="O204" s="129"/>
    </row>
    <row r="205" spans="1:15" x14ac:dyDescent="0.25">
      <c r="B205" s="79" t="s">
        <v>181</v>
      </c>
      <c r="C205" s="19"/>
      <c r="D205" s="203"/>
      <c r="E205" s="90"/>
      <c r="F205" s="201">
        <f>F21+F43</f>
        <v>13826317.183979999</v>
      </c>
      <c r="G205" s="202"/>
      <c r="H205" s="202"/>
      <c r="I205" s="201">
        <f>I21+I43</f>
        <v>14496313.949999999</v>
      </c>
      <c r="J205" s="201"/>
      <c r="K205" s="201">
        <f>I205-F205</f>
        <v>669996.76601999998</v>
      </c>
      <c r="L205" s="199"/>
      <c r="M205" s="93"/>
      <c r="N205" s="93"/>
      <c r="O205" s="129"/>
    </row>
    <row r="206" spans="1:15" x14ac:dyDescent="0.25">
      <c r="B206" s="79" t="s">
        <v>183</v>
      </c>
      <c r="C206" s="19"/>
      <c r="D206" s="203"/>
      <c r="E206" s="90"/>
      <c r="F206" s="201">
        <f>F81+F100</f>
        <v>2175329.17</v>
      </c>
      <c r="G206" s="202"/>
      <c r="H206" s="202"/>
      <c r="I206" s="201">
        <f>I81+I100</f>
        <v>2228071.13</v>
      </c>
      <c r="J206" s="201"/>
      <c r="K206" s="201">
        <f>I206-F206</f>
        <v>52741.959999999963</v>
      </c>
      <c r="L206" s="199"/>
      <c r="M206" s="93"/>
      <c r="N206" s="93"/>
      <c r="O206" s="129"/>
    </row>
    <row r="207" spans="1:15" x14ac:dyDescent="0.25">
      <c r="B207" s="79" t="s">
        <v>182</v>
      </c>
      <c r="C207" s="19"/>
      <c r="D207" s="203"/>
      <c r="E207" s="90"/>
      <c r="F207" s="201">
        <f>F142+F165</f>
        <v>4788873.6900000004</v>
      </c>
      <c r="G207" s="202"/>
      <c r="H207" s="202"/>
      <c r="I207" s="201">
        <f>I142+I165</f>
        <v>5137033.1099999994</v>
      </c>
      <c r="J207" s="201"/>
      <c r="K207" s="201">
        <f>I207-F207</f>
        <v>348159.41999999899</v>
      </c>
      <c r="L207" s="199"/>
      <c r="M207" s="93"/>
      <c r="N207" s="93"/>
      <c r="O207" s="129"/>
    </row>
    <row r="208" spans="1:15" x14ac:dyDescent="0.25">
      <c r="B208" s="79" t="s">
        <v>23</v>
      </c>
      <c r="C208" s="19"/>
      <c r="D208" s="203"/>
      <c r="E208" s="90"/>
      <c r="F208" s="204">
        <f>SUM(F205:F207)</f>
        <v>20790520.043979999</v>
      </c>
      <c r="G208" s="202"/>
      <c r="H208" s="202"/>
      <c r="I208" s="204">
        <f>SUM(I205:I207)</f>
        <v>21861418.189999998</v>
      </c>
      <c r="J208" s="201"/>
      <c r="K208" s="204">
        <f>SUM(K205:K207)</f>
        <v>1070898.1460199989</v>
      </c>
      <c r="L208" s="199"/>
      <c r="M208" s="93"/>
      <c r="N208" s="93"/>
      <c r="O208" s="208"/>
    </row>
    <row r="209" spans="2:15" x14ac:dyDescent="0.25">
      <c r="C209" s="19"/>
      <c r="D209" s="203"/>
      <c r="E209" s="90"/>
      <c r="F209" s="201"/>
      <c r="G209" s="202"/>
      <c r="H209" s="202"/>
      <c r="I209" s="201"/>
      <c r="J209" s="201"/>
      <c r="K209" s="201"/>
      <c r="L209" s="199"/>
      <c r="M209" s="93"/>
      <c r="N209" s="93"/>
      <c r="O209" s="129"/>
    </row>
    <row r="210" spans="2:15" x14ac:dyDescent="0.25">
      <c r="B210" s="31" t="s">
        <v>124</v>
      </c>
      <c r="C210" s="19"/>
      <c r="D210" s="203"/>
      <c r="E210" s="90"/>
      <c r="F210" s="201"/>
      <c r="G210" s="202"/>
      <c r="H210" s="202"/>
      <c r="I210" s="201"/>
      <c r="J210" s="201"/>
      <c r="K210" s="201"/>
      <c r="L210" s="199"/>
      <c r="M210" s="93"/>
      <c r="N210" s="93"/>
      <c r="O210" s="129"/>
    </row>
    <row r="211" spans="2:15" x14ac:dyDescent="0.25">
      <c r="B211" s="79" t="s">
        <v>181</v>
      </c>
      <c r="C211" s="19"/>
      <c r="D211" s="203">
        <f>D60</f>
        <v>126370131</v>
      </c>
      <c r="E211" s="90"/>
      <c r="F211" s="201">
        <f>F199+F205</f>
        <v>26838492.106043637</v>
      </c>
      <c r="G211" s="202"/>
      <c r="H211" s="202"/>
      <c r="I211" s="201">
        <f>I199+I205</f>
        <v>28577683.921293639</v>
      </c>
      <c r="J211" s="201"/>
      <c r="K211" s="201">
        <f>I211-F211</f>
        <v>1739191.8152500018</v>
      </c>
      <c r="L211" s="199"/>
      <c r="M211" s="93"/>
      <c r="N211" s="93"/>
      <c r="O211" s="129"/>
    </row>
    <row r="212" spans="2:15" x14ac:dyDescent="0.25">
      <c r="B212" s="79" t="s">
        <v>183</v>
      </c>
      <c r="C212" s="19"/>
      <c r="D212" s="203">
        <f>D116</f>
        <v>9978634.3000000007</v>
      </c>
      <c r="E212" s="90"/>
      <c r="F212" s="201">
        <f>F200+F206</f>
        <v>5763700.8365599997</v>
      </c>
      <c r="G212" s="202"/>
      <c r="H212" s="202"/>
      <c r="I212" s="201">
        <f>I200+I206</f>
        <v>6090213.7965599997</v>
      </c>
      <c r="J212" s="201"/>
      <c r="K212" s="201">
        <f>I212-F212</f>
        <v>326512.95999999996</v>
      </c>
      <c r="L212" s="199"/>
      <c r="M212" s="93"/>
      <c r="N212" s="93"/>
      <c r="O212" s="129"/>
    </row>
    <row r="213" spans="2:15" x14ac:dyDescent="0.25">
      <c r="B213" s="79" t="s">
        <v>182</v>
      </c>
      <c r="C213" s="19"/>
      <c r="D213" s="203">
        <f>D185</f>
        <v>122253420.288</v>
      </c>
      <c r="E213" s="90"/>
      <c r="F213" s="201">
        <f>F201+F207</f>
        <v>13178437.632786881</v>
      </c>
      <c r="G213" s="202"/>
      <c r="H213" s="202"/>
      <c r="I213" s="201">
        <f>I201+I207</f>
        <v>14183215.941509278</v>
      </c>
      <c r="J213" s="201"/>
      <c r="K213" s="201">
        <f>I213-F213</f>
        <v>1004778.3087223973</v>
      </c>
      <c r="L213" s="199"/>
      <c r="M213" s="93"/>
      <c r="N213" s="93"/>
      <c r="O213" s="129"/>
    </row>
    <row r="214" spans="2:15" x14ac:dyDescent="0.25">
      <c r="B214" s="79" t="s">
        <v>23</v>
      </c>
      <c r="C214" s="19"/>
      <c r="D214" s="205">
        <f>SUM(D211:D213)</f>
        <v>258602185.588</v>
      </c>
      <c r="E214" s="90"/>
      <c r="F214" s="204">
        <f>SUM(F211:F213)</f>
        <v>45780630.575390518</v>
      </c>
      <c r="G214" s="202"/>
      <c r="H214" s="202"/>
      <c r="I214" s="204">
        <f>SUM(I211:I213)</f>
        <v>48851113.659362912</v>
      </c>
      <c r="J214" s="201"/>
      <c r="K214" s="204">
        <f>SUM(K211:K213)</f>
        <v>3070483.0839723991</v>
      </c>
      <c r="L214" s="199"/>
      <c r="M214" s="93"/>
      <c r="N214" s="93"/>
      <c r="O214" s="208"/>
    </row>
    <row r="215" spans="2:15" x14ac:dyDescent="0.25">
      <c r="B215" s="19"/>
      <c r="C215" s="19"/>
      <c r="D215" s="16"/>
      <c r="E215" s="90"/>
      <c r="F215" s="201"/>
      <c r="G215" s="202"/>
      <c r="H215" s="202"/>
      <c r="I215" s="201"/>
      <c r="J215" s="201"/>
      <c r="K215" s="201"/>
      <c r="L215" s="199"/>
      <c r="M215" s="93"/>
      <c r="N215" s="93"/>
      <c r="O215" s="129"/>
    </row>
    <row r="216" spans="2:15" x14ac:dyDescent="0.25">
      <c r="B216" s="31" t="s">
        <v>180</v>
      </c>
      <c r="E216" s="206"/>
      <c r="F216" s="207"/>
      <c r="G216" s="208"/>
      <c r="H216" s="209"/>
      <c r="I216" s="207"/>
      <c r="J216" s="207"/>
      <c r="K216" s="207"/>
    </row>
    <row r="217" spans="2:15" x14ac:dyDescent="0.25">
      <c r="B217" s="212" t="s">
        <v>23</v>
      </c>
      <c r="D217" s="206">
        <f>'JAP-24 Page 3'!D13+'JAP-24 Page 3'!D25+'JAP-24 Page 3'!D39+'JAP-24 Pages 4 - 6'!D36+'JAP-24 Pages 4 - 6'!D96+'JAP-24 Pages 7-12'!D60+'JAP-24 Pages 7-12'!D116+'JAP-24 Pages 7-12'!D185</f>
        <v>1105541850.9779999</v>
      </c>
      <c r="E217" s="16"/>
      <c r="F217" s="207">
        <f>'JAP-24 Page 3'!F18+'JAP-24 Page 3'!F30+'JAP-24 Page 3'!F43+'JAP-24 Pages 4 - 6'!F41+'JAP-24 Pages 4 - 6'!F106+'JAP-24 Pages 7-12'!F68+'JAP-24 Pages 7-12'!F124+'JAP-24 Pages 7-12'!F193</f>
        <v>801363747.35730875</v>
      </c>
      <c r="G217" s="202"/>
      <c r="H217" s="209"/>
      <c r="I217" s="207">
        <f>'JAP-24 Page 3'!I18+'JAP-24 Page 3'!I30+'JAP-24 Page 3'!I43+'JAP-24 Pages 4 - 6'!I41+'JAP-24 Pages 4 - 6'!I106+'JAP-24 Pages 7-12'!I68+'JAP-24 Pages 7-12'!I124+'JAP-24 Pages 7-12'!I193</f>
        <v>823773375.09076226</v>
      </c>
      <c r="J217" s="207"/>
      <c r="K217" s="207">
        <f>I217-F217</f>
        <v>22409627.733453512</v>
      </c>
      <c r="L217" s="213">
        <f>K217/F217</f>
        <v>2.7964364256999014E-2</v>
      </c>
      <c r="O217" s="191"/>
    </row>
    <row r="218" spans="2:15" x14ac:dyDescent="0.25">
      <c r="B218" s="212" t="s">
        <v>173</v>
      </c>
      <c r="D218" s="73">
        <f>'JAP-24 - Page 1'!F20</f>
        <v>37008902.460000001</v>
      </c>
      <c r="E218" s="16"/>
      <c r="F218" s="207">
        <f>'JAP-24 - Page 1'!C20</f>
        <v>1369461.9637169461</v>
      </c>
      <c r="G218" s="202"/>
      <c r="H218" s="209"/>
      <c r="I218" s="207">
        <f>'JAP-24 - Page 1'!M20</f>
        <v>1455354.7418779605</v>
      </c>
      <c r="J218" s="207"/>
      <c r="K218" s="207">
        <f>I218-F218</f>
        <v>85892.77816101443</v>
      </c>
      <c r="L218" s="213">
        <f>K218/F218</f>
        <v>6.2720090398047448E-2</v>
      </c>
      <c r="O218" s="191"/>
    </row>
    <row r="219" spans="2:15" x14ac:dyDescent="0.25">
      <c r="B219" s="212" t="s">
        <v>176</v>
      </c>
      <c r="E219" s="16"/>
      <c r="F219" s="207">
        <f>'JAP-24 - Page 1'!C19</f>
        <v>6041548.46</v>
      </c>
      <c r="G219" s="202"/>
      <c r="H219" s="209"/>
      <c r="I219" s="207">
        <f>'JAP-24 - Page 1'!M19</f>
        <v>6041548.46</v>
      </c>
      <c r="J219" s="207"/>
      <c r="K219" s="207">
        <f>I219-F219</f>
        <v>0</v>
      </c>
      <c r="L219" s="213">
        <f>K219/F219</f>
        <v>0</v>
      </c>
      <c r="O219" s="191"/>
    </row>
    <row r="220" spans="2:15" x14ac:dyDescent="0.25">
      <c r="B220" s="212" t="s">
        <v>143</v>
      </c>
      <c r="D220" s="44">
        <f>SUM(D217:D219)</f>
        <v>1142550753.438</v>
      </c>
      <c r="E220" s="16"/>
      <c r="F220" s="204">
        <f>SUM(F217:F219)</f>
        <v>808774757.78102577</v>
      </c>
      <c r="G220" s="202"/>
      <c r="H220" s="209"/>
      <c r="I220" s="204">
        <f>SUM(I217:I219)</f>
        <v>831270278.29264021</v>
      </c>
      <c r="J220" s="207"/>
      <c r="K220" s="204">
        <f>SUM(K217:K219)</f>
        <v>22495520.511614528</v>
      </c>
      <c r="L220" s="213">
        <f>K220/F220</f>
        <v>2.7814320730451318E-2</v>
      </c>
      <c r="O220" s="191"/>
    </row>
    <row r="221" spans="2:15" x14ac:dyDescent="0.25">
      <c r="B221" s="214" t="s">
        <v>178</v>
      </c>
      <c r="C221" s="24"/>
      <c r="D221" s="73">
        <f>'JAP-24 - Page 1'!F24</f>
        <v>1142550752.0300002</v>
      </c>
      <c r="E221" s="16"/>
      <c r="F221" s="207">
        <f>'JAP-24 - Page 1'!C21</f>
        <v>808774756.95716429</v>
      </c>
      <c r="G221" s="202"/>
      <c r="H221" s="209"/>
      <c r="I221" s="388">
        <f>'JAP-24 - Page 2'!M21</f>
        <v>831270278.29264021</v>
      </c>
      <c r="J221" s="207"/>
      <c r="K221" s="388">
        <f>'JAP-24 - Page 2'!M21-'JAP-24 - Page 2'!C21</f>
        <v>22495521.335475922</v>
      </c>
      <c r="L221" s="213">
        <f>K221/F221</f>
        <v>2.7814321777438176E-2</v>
      </c>
    </row>
    <row r="222" spans="2:15" x14ac:dyDescent="0.25">
      <c r="B222" s="212" t="s">
        <v>131</v>
      </c>
      <c r="D222" s="73">
        <f>D220-D221</f>
        <v>1.4079997539520264</v>
      </c>
      <c r="E222" s="16"/>
      <c r="F222" s="201">
        <f>F220-F221</f>
        <v>0.82386147975921631</v>
      </c>
      <c r="G222" s="202"/>
      <c r="H222" s="209"/>
      <c r="I222" s="201">
        <f>I220-I221</f>
        <v>0</v>
      </c>
      <c r="J222" s="207"/>
      <c r="K222" s="201">
        <f>K220-K221</f>
        <v>-0.82386139407753944</v>
      </c>
    </row>
    <row r="223" spans="2:15" x14ac:dyDescent="0.25">
      <c r="B223" s="79" t="s">
        <v>131</v>
      </c>
      <c r="D223" s="73">
        <f>D214+'JAP-24 Pages 4 - 6'!D125+'JAP-24 Page 3'!D51-D217</f>
        <v>0</v>
      </c>
      <c r="F223" s="201">
        <f>F214+'JAP-24 Pages 4 - 6'!F125+'JAP-24 Page 3'!F51-F217</f>
        <v>0</v>
      </c>
      <c r="G223" s="202"/>
      <c r="H223" s="209"/>
      <c r="I223" s="201">
        <f>I214+'JAP-24 Pages 4 - 6'!I125+'JAP-24 Page 3'!I51-I217</f>
        <v>0</v>
      </c>
      <c r="J223" s="207"/>
      <c r="K223" s="201">
        <f>K214+'JAP-24 Pages 4 - 6'!K125+'JAP-24 Page 3'!K51-K217</f>
        <v>-2.5704503059387207E-7</v>
      </c>
    </row>
    <row r="224" spans="2:15" x14ac:dyDescent="0.25">
      <c r="F224" s="207"/>
      <c r="G224" s="202"/>
      <c r="H224" s="209"/>
      <c r="I224" s="207"/>
      <c r="J224" s="207"/>
      <c r="K224" s="207"/>
    </row>
    <row r="225" spans="2:4" x14ac:dyDescent="0.25">
      <c r="B225" s="216" t="s">
        <v>189</v>
      </c>
    </row>
    <row r="227" spans="2:4" x14ac:dyDescent="0.25">
      <c r="D227" s="215"/>
    </row>
  </sheetData>
  <mergeCells count="1">
    <mergeCell ref="K7:L7"/>
  </mergeCells>
  <phoneticPr fontId="0" type="noConversion"/>
  <printOptions horizontalCentered="1"/>
  <pageMargins left="0.25" right="0.25" top="0.75" bottom="0.75" header="0.3" footer="0.3"/>
  <pageSetup scale="78" fitToHeight="0" orientation="landscape" blackAndWhite="1" r:id="rId1"/>
  <headerFooter alignWithMargins="0"/>
  <rowBreaks count="5" manualBreakCount="5">
    <brk id="48" min="1" max="16" man="1"/>
    <brk id="90" min="1" max="16" man="1"/>
    <brk id="127" min="1" max="16" man="1"/>
    <brk id="170" min="1" max="16" man="1"/>
    <brk id="214" min="1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U49"/>
  <sheetViews>
    <sheetView workbookViewId="0">
      <selection activeCell="G43" sqref="G43"/>
    </sheetView>
  </sheetViews>
  <sheetFormatPr defaultColWidth="9.109375" defaultRowHeight="13.2" x14ac:dyDescent="0.25"/>
  <cols>
    <col min="1" max="1" width="4.44140625" style="24" customWidth="1"/>
    <col min="2" max="2" width="4.44140625" style="24" bestFit="1" customWidth="1"/>
    <col min="3" max="3" width="11" style="24" customWidth="1"/>
    <col min="4" max="4" width="8.6640625" style="24" bestFit="1" customWidth="1"/>
    <col min="5" max="5" width="42.44140625" style="24" bestFit="1" customWidth="1"/>
    <col min="6" max="6" width="8.6640625" style="24" bestFit="1" customWidth="1"/>
    <col min="7" max="7" width="7.6640625" style="24" bestFit="1" customWidth="1"/>
    <col min="8" max="8" width="13.33203125" style="24" bestFit="1" customWidth="1"/>
    <col min="9" max="9" width="9.6640625" style="24" bestFit="1" customWidth="1"/>
    <col min="10" max="10" width="14.44140625" style="24" bestFit="1" customWidth="1"/>
    <col min="11" max="11" width="13.5546875" style="24" customWidth="1"/>
    <col min="12" max="12" width="14.6640625" style="24" customWidth="1"/>
    <col min="13" max="13" width="14" style="24" customWidth="1"/>
    <col min="14" max="14" width="10.33203125" style="35" bestFit="1" customWidth="1"/>
    <col min="15" max="15" width="8.88671875" style="35" bestFit="1" customWidth="1"/>
    <col min="16" max="16" width="14.6640625" style="24" customWidth="1"/>
    <col min="17" max="17" width="15.33203125" style="24" customWidth="1"/>
    <col min="18" max="19" width="14" style="24" customWidth="1"/>
    <col min="20" max="20" width="9.109375" style="24"/>
    <col min="21" max="21" width="14" style="24" customWidth="1"/>
    <col min="22" max="16384" width="9.109375" style="24"/>
  </cols>
  <sheetData>
    <row r="1" spans="1:21" x14ac:dyDescent="0.25">
      <c r="P1" s="35"/>
    </row>
    <row r="2" spans="1:21" x14ac:dyDescent="0.25">
      <c r="B2" s="2" t="s">
        <v>70</v>
      </c>
      <c r="C2" s="52"/>
      <c r="D2" s="52"/>
      <c r="E2" s="52"/>
      <c r="F2" s="52"/>
      <c r="G2" s="52"/>
      <c r="H2" s="52"/>
      <c r="I2" s="52"/>
      <c r="J2" s="52"/>
      <c r="K2" s="52"/>
      <c r="L2" s="52"/>
      <c r="P2" s="35"/>
    </row>
    <row r="3" spans="1:21" x14ac:dyDescent="0.25">
      <c r="B3" s="2" t="str">
        <f>'JAP-24 - Page 1'!$B$2</f>
        <v>2017 Gas General Rate Case</v>
      </c>
      <c r="C3" s="52"/>
      <c r="D3" s="52"/>
      <c r="E3" s="52"/>
      <c r="F3" s="52"/>
      <c r="G3" s="52"/>
      <c r="H3" s="52"/>
      <c r="I3" s="52"/>
      <c r="J3" s="52"/>
      <c r="K3" s="52"/>
      <c r="L3" s="52"/>
      <c r="P3" s="35"/>
    </row>
    <row r="4" spans="1:21" x14ac:dyDescent="0.25">
      <c r="B4" s="2" t="str">
        <f>'JAP-24 - Page 1'!$B$3</f>
        <v>Test Year Ended September 2016</v>
      </c>
      <c r="C4" s="52"/>
      <c r="D4" s="52"/>
      <c r="E4" s="52"/>
      <c r="F4" s="52"/>
      <c r="G4" s="52"/>
      <c r="H4" s="52"/>
      <c r="I4" s="52"/>
      <c r="J4" s="52"/>
      <c r="K4" s="52"/>
      <c r="L4" s="52"/>
      <c r="P4" s="35"/>
    </row>
    <row r="5" spans="1:21" x14ac:dyDescent="0.25">
      <c r="B5" s="17" t="s">
        <v>188</v>
      </c>
      <c r="C5" s="52"/>
      <c r="D5" s="52"/>
      <c r="E5" s="52"/>
      <c r="F5" s="52"/>
      <c r="G5" s="52"/>
      <c r="H5" s="52"/>
      <c r="I5" s="52"/>
      <c r="J5" s="52"/>
      <c r="K5" s="52"/>
      <c r="L5" s="52"/>
      <c r="P5" s="35"/>
    </row>
    <row r="6" spans="1:21" s="55" customFormat="1" x14ac:dyDescent="0.25">
      <c r="A6" s="53"/>
      <c r="B6" s="28" t="s">
        <v>101</v>
      </c>
      <c r="C6" s="28"/>
      <c r="D6" s="28"/>
      <c r="E6" s="28"/>
      <c r="F6" s="28"/>
      <c r="G6" s="28"/>
      <c r="H6" s="28"/>
      <c r="I6" s="28"/>
      <c r="J6" s="28"/>
      <c r="K6" s="2"/>
      <c r="L6" s="52"/>
      <c r="M6" s="54"/>
      <c r="N6" s="26"/>
      <c r="O6" s="26"/>
      <c r="P6" s="26"/>
      <c r="Q6" s="54"/>
      <c r="R6" s="54"/>
      <c r="S6" s="54"/>
      <c r="T6" s="54"/>
      <c r="U6" s="54"/>
    </row>
    <row r="7" spans="1:21" s="55" customFormat="1" x14ac:dyDescent="0.25">
      <c r="A7" s="53"/>
      <c r="B7" s="26"/>
      <c r="C7" s="26"/>
      <c r="D7" s="26"/>
      <c r="E7" s="26"/>
      <c r="F7" s="26"/>
      <c r="G7" s="26"/>
      <c r="H7" s="26"/>
      <c r="I7" s="26"/>
      <c r="J7" s="26"/>
      <c r="K7" s="56"/>
      <c r="M7" s="54"/>
      <c r="N7" s="26"/>
      <c r="O7" s="53"/>
      <c r="P7" s="26"/>
      <c r="Q7" s="54"/>
      <c r="R7" s="54"/>
      <c r="S7" s="54"/>
      <c r="T7" s="54"/>
      <c r="U7" s="54"/>
    </row>
    <row r="8" spans="1:21" s="55" customFormat="1" x14ac:dyDescent="0.25">
      <c r="A8" s="53"/>
      <c r="B8" s="26"/>
      <c r="C8" s="26"/>
      <c r="D8" s="26"/>
      <c r="E8" s="26"/>
      <c r="F8" s="26"/>
      <c r="G8" s="26"/>
      <c r="H8" s="26"/>
      <c r="I8" s="26"/>
      <c r="J8" s="26"/>
      <c r="K8" s="56"/>
      <c r="M8" s="54"/>
      <c r="N8" s="26"/>
      <c r="O8" s="26"/>
      <c r="P8" s="26"/>
      <c r="Q8" s="54"/>
      <c r="R8" s="54"/>
      <c r="S8" s="54"/>
      <c r="T8" s="54"/>
      <c r="U8" s="54"/>
    </row>
    <row r="9" spans="1:21" s="55" customFormat="1" x14ac:dyDescent="0.25">
      <c r="B9" s="26"/>
      <c r="C9" s="26"/>
      <c r="D9" s="26"/>
      <c r="E9" s="26"/>
      <c r="F9" s="26"/>
      <c r="G9" s="26"/>
      <c r="H9" s="26" t="s">
        <v>91</v>
      </c>
      <c r="I9" s="26"/>
      <c r="J9" s="26" t="s">
        <v>91</v>
      </c>
      <c r="K9" s="56"/>
      <c r="M9" s="54"/>
      <c r="N9" s="26"/>
      <c r="O9" s="26"/>
      <c r="P9" s="26"/>
      <c r="Q9" s="54"/>
      <c r="R9" s="54"/>
      <c r="S9" s="54"/>
      <c r="T9" s="54"/>
      <c r="U9" s="54"/>
    </row>
    <row r="10" spans="1:21" s="55" customFormat="1" x14ac:dyDescent="0.25">
      <c r="B10" s="26"/>
      <c r="C10" s="26"/>
      <c r="D10" s="26" t="s">
        <v>83</v>
      </c>
      <c r="E10" s="26"/>
      <c r="F10" s="26" t="s">
        <v>146</v>
      </c>
      <c r="G10" s="26" t="s">
        <v>22</v>
      </c>
      <c r="H10" s="26" t="s">
        <v>98</v>
      </c>
      <c r="I10" s="26" t="s">
        <v>1</v>
      </c>
      <c r="J10" s="26" t="s">
        <v>98</v>
      </c>
      <c r="K10" s="56" t="s">
        <v>1</v>
      </c>
      <c r="M10" s="54"/>
      <c r="N10" s="26"/>
      <c r="O10" s="26"/>
      <c r="P10" s="26"/>
      <c r="Q10" s="54"/>
      <c r="R10" s="54"/>
      <c r="S10" s="54"/>
      <c r="T10" s="54"/>
      <c r="U10" s="54"/>
    </row>
    <row r="11" spans="1:21" s="55" customFormat="1" x14ac:dyDescent="0.25">
      <c r="B11" s="25" t="s">
        <v>94</v>
      </c>
      <c r="C11" s="25" t="s">
        <v>25</v>
      </c>
      <c r="D11" s="25" t="s">
        <v>25</v>
      </c>
      <c r="E11" s="25" t="s">
        <v>3</v>
      </c>
      <c r="F11" s="25" t="s">
        <v>147</v>
      </c>
      <c r="G11" s="25" t="s">
        <v>5</v>
      </c>
      <c r="H11" s="25" t="s">
        <v>99</v>
      </c>
      <c r="I11" s="25" t="s">
        <v>5</v>
      </c>
      <c r="J11" s="25" t="s">
        <v>100</v>
      </c>
      <c r="K11" s="25" t="s">
        <v>65</v>
      </c>
      <c r="M11" s="54"/>
      <c r="N11" s="26"/>
      <c r="O11" s="26"/>
      <c r="P11" s="26"/>
      <c r="Q11" s="54"/>
      <c r="R11" s="54"/>
      <c r="S11" s="54"/>
      <c r="T11" s="54"/>
      <c r="U11" s="54"/>
    </row>
    <row r="12" spans="1:21" x14ac:dyDescent="0.25">
      <c r="B12" s="54"/>
      <c r="C12" s="29" t="s">
        <v>102</v>
      </c>
      <c r="D12" s="29" t="s">
        <v>103</v>
      </c>
      <c r="E12" s="29" t="s">
        <v>104</v>
      </c>
      <c r="F12" s="29" t="s">
        <v>105</v>
      </c>
      <c r="G12" s="29" t="s">
        <v>106</v>
      </c>
      <c r="H12" s="29" t="s">
        <v>107</v>
      </c>
      <c r="I12" s="29" t="s">
        <v>108</v>
      </c>
      <c r="J12" s="29" t="s">
        <v>109</v>
      </c>
      <c r="K12" s="29" t="s">
        <v>116</v>
      </c>
      <c r="N12" s="29"/>
      <c r="P12" s="35"/>
    </row>
    <row r="13" spans="1:21" x14ac:dyDescent="0.25">
      <c r="B13" s="54"/>
      <c r="P13" s="35"/>
    </row>
    <row r="14" spans="1:21" ht="12.75" customHeight="1" x14ac:dyDescent="0.25">
      <c r="B14" s="57">
        <v>1</v>
      </c>
      <c r="C14" s="54" t="s">
        <v>28</v>
      </c>
      <c r="D14" s="24" t="s">
        <v>29</v>
      </c>
      <c r="E14" s="24" t="s">
        <v>30</v>
      </c>
      <c r="F14" s="58">
        <v>13837</v>
      </c>
      <c r="G14" s="59">
        <v>7.49</v>
      </c>
      <c r="H14" s="27">
        <f>F14*G14</f>
        <v>103639.13</v>
      </c>
      <c r="I14" s="60">
        <f>ROUND(G14*(1+$L$33),2)</f>
        <v>7.49</v>
      </c>
      <c r="J14" s="27">
        <f>F14*I14</f>
        <v>103639.13</v>
      </c>
      <c r="K14" s="51">
        <f>J14-H14</f>
        <v>0</v>
      </c>
      <c r="L14" s="61"/>
      <c r="M14" s="61"/>
      <c r="N14" s="60"/>
      <c r="O14" s="60"/>
      <c r="P14" s="60"/>
      <c r="Q14" s="61"/>
      <c r="R14" s="61"/>
      <c r="S14" s="61"/>
      <c r="U14" s="61"/>
    </row>
    <row r="15" spans="1:21" x14ac:dyDescent="0.25">
      <c r="B15" s="57">
        <f>B14+1</f>
        <v>2</v>
      </c>
      <c r="C15" s="54" t="s">
        <v>28</v>
      </c>
      <c r="D15" s="24" t="s">
        <v>31</v>
      </c>
      <c r="E15" s="24" t="s">
        <v>32</v>
      </c>
      <c r="F15" s="58">
        <v>215861</v>
      </c>
      <c r="G15" s="59">
        <v>12.29</v>
      </c>
      <c r="H15" s="30">
        <f>F15*G15</f>
        <v>2652931.69</v>
      </c>
      <c r="I15" s="60">
        <f t="shared" ref="I15:I30" si="0">ROUND(G15*(1+$L$33),2)</f>
        <v>12.29</v>
      </c>
      <c r="J15" s="30">
        <f>F15*I15</f>
        <v>2652931.69</v>
      </c>
      <c r="K15" s="30">
        <f t="shared" ref="K15:K26" si="1">J15-H15</f>
        <v>0</v>
      </c>
      <c r="L15" s="61"/>
      <c r="M15" s="61"/>
      <c r="N15" s="60"/>
      <c r="O15" s="60"/>
      <c r="P15" s="60"/>
      <c r="Q15" s="61"/>
      <c r="R15" s="61"/>
      <c r="S15" s="61"/>
      <c r="T15" s="61"/>
      <c r="U15" s="61"/>
    </row>
    <row r="16" spans="1:21" x14ac:dyDescent="0.25">
      <c r="B16" s="57">
        <f t="shared" ref="B16:B31" si="2">B15+1</f>
        <v>3</v>
      </c>
      <c r="C16" s="54" t="s">
        <v>28</v>
      </c>
      <c r="D16" s="24" t="s">
        <v>33</v>
      </c>
      <c r="E16" s="24" t="s">
        <v>34</v>
      </c>
      <c r="F16" s="58">
        <v>40579</v>
      </c>
      <c r="G16" s="59">
        <v>17.43</v>
      </c>
      <c r="H16" s="30">
        <f t="shared" ref="H16:H30" si="3">F16*G16</f>
        <v>707291.97</v>
      </c>
      <c r="I16" s="60">
        <f t="shared" si="0"/>
        <v>17.43</v>
      </c>
      <c r="J16" s="30">
        <f t="shared" ref="J16:J30" si="4">F16*I16</f>
        <v>707291.97</v>
      </c>
      <c r="K16" s="30">
        <f t="shared" si="1"/>
        <v>0</v>
      </c>
      <c r="L16" s="61"/>
      <c r="M16" s="61"/>
      <c r="N16" s="60"/>
      <c r="O16" s="60"/>
      <c r="P16" s="60"/>
      <c r="Q16" s="61"/>
      <c r="R16" s="61"/>
      <c r="S16" s="61"/>
      <c r="T16" s="61"/>
      <c r="U16" s="61"/>
    </row>
    <row r="17" spans="2:21" x14ac:dyDescent="0.25">
      <c r="B17" s="57">
        <f t="shared" si="2"/>
        <v>4</v>
      </c>
      <c r="C17" s="54" t="s">
        <v>28</v>
      </c>
      <c r="D17" s="24" t="s">
        <v>35</v>
      </c>
      <c r="E17" s="24" t="s">
        <v>36</v>
      </c>
      <c r="F17" s="58">
        <v>9443</v>
      </c>
      <c r="G17" s="59">
        <v>17.059999999999999</v>
      </c>
      <c r="H17" s="30">
        <f t="shared" si="3"/>
        <v>161097.57999999999</v>
      </c>
      <c r="I17" s="60">
        <f t="shared" si="0"/>
        <v>17.059999999999999</v>
      </c>
      <c r="J17" s="30">
        <f>F17*I17</f>
        <v>161097.57999999999</v>
      </c>
      <c r="K17" s="30">
        <f>J17-H17</f>
        <v>0</v>
      </c>
      <c r="L17" s="61"/>
      <c r="M17" s="61"/>
      <c r="N17" s="60"/>
      <c r="O17" s="60"/>
      <c r="P17" s="60"/>
      <c r="Q17" s="61"/>
      <c r="R17" s="61"/>
      <c r="S17" s="61"/>
      <c r="T17" s="61"/>
      <c r="U17" s="61"/>
    </row>
    <row r="18" spans="2:21" x14ac:dyDescent="0.25">
      <c r="B18" s="57">
        <f t="shared" si="2"/>
        <v>5</v>
      </c>
      <c r="C18" s="54" t="s">
        <v>28</v>
      </c>
      <c r="D18" s="24" t="s">
        <v>37</v>
      </c>
      <c r="E18" s="24" t="s">
        <v>38</v>
      </c>
      <c r="F18" s="58">
        <v>44756</v>
      </c>
      <c r="G18" s="59">
        <v>5.93</v>
      </c>
      <c r="H18" s="30">
        <f t="shared" si="3"/>
        <v>265403.08</v>
      </c>
      <c r="I18" s="60">
        <f t="shared" si="0"/>
        <v>5.93</v>
      </c>
      <c r="J18" s="30">
        <f t="shared" si="4"/>
        <v>265403.08</v>
      </c>
      <c r="K18" s="30">
        <f t="shared" si="1"/>
        <v>0</v>
      </c>
      <c r="L18" s="61"/>
      <c r="M18" s="61"/>
      <c r="N18" s="60"/>
      <c r="O18" s="60"/>
      <c r="P18" s="60"/>
      <c r="Q18" s="61"/>
      <c r="R18" s="61"/>
      <c r="S18" s="61"/>
      <c r="T18" s="61"/>
      <c r="U18" s="61"/>
    </row>
    <row r="19" spans="2:21" x14ac:dyDescent="0.25">
      <c r="B19" s="57">
        <f t="shared" si="2"/>
        <v>6</v>
      </c>
      <c r="C19" s="54" t="s">
        <v>28</v>
      </c>
      <c r="D19" s="24" t="s">
        <v>39</v>
      </c>
      <c r="E19" s="24" t="s">
        <v>40</v>
      </c>
      <c r="F19" s="58">
        <v>2577</v>
      </c>
      <c r="G19" s="59">
        <v>10.74</v>
      </c>
      <c r="H19" s="30">
        <f t="shared" si="3"/>
        <v>27676.98</v>
      </c>
      <c r="I19" s="60">
        <f t="shared" si="0"/>
        <v>10.74</v>
      </c>
      <c r="J19" s="30">
        <f t="shared" si="4"/>
        <v>27676.98</v>
      </c>
      <c r="K19" s="30">
        <f t="shared" si="1"/>
        <v>0</v>
      </c>
      <c r="L19" s="61"/>
      <c r="M19" s="61"/>
      <c r="N19" s="60"/>
      <c r="O19" s="60"/>
      <c r="P19" s="60"/>
      <c r="Q19" s="61"/>
      <c r="R19" s="61"/>
      <c r="S19" s="61"/>
      <c r="T19" s="61"/>
      <c r="U19" s="61"/>
    </row>
    <row r="20" spans="2:21" x14ac:dyDescent="0.25">
      <c r="B20" s="57">
        <f t="shared" si="2"/>
        <v>7</v>
      </c>
      <c r="C20" s="54" t="s">
        <v>41</v>
      </c>
      <c r="D20" s="24" t="s">
        <v>42</v>
      </c>
      <c r="E20" s="24" t="s">
        <v>43</v>
      </c>
      <c r="F20" s="58">
        <v>1528</v>
      </c>
      <c r="G20" s="59">
        <v>15.14</v>
      </c>
      <c r="H20" s="30">
        <f t="shared" si="3"/>
        <v>23133.920000000002</v>
      </c>
      <c r="I20" s="60">
        <f t="shared" si="0"/>
        <v>15.14</v>
      </c>
      <c r="J20" s="30">
        <f t="shared" si="4"/>
        <v>23133.920000000002</v>
      </c>
      <c r="K20" s="30">
        <f t="shared" si="1"/>
        <v>0</v>
      </c>
      <c r="L20" s="61"/>
      <c r="M20" s="61"/>
      <c r="N20" s="60"/>
      <c r="O20" s="62"/>
      <c r="P20" s="60"/>
      <c r="Q20" s="61"/>
      <c r="R20" s="61"/>
      <c r="S20" s="61"/>
      <c r="T20" s="61"/>
      <c r="U20" s="61"/>
    </row>
    <row r="21" spans="2:21" x14ac:dyDescent="0.25">
      <c r="B21" s="57">
        <f t="shared" si="2"/>
        <v>8</v>
      </c>
      <c r="C21" s="54" t="s">
        <v>41</v>
      </c>
      <c r="D21" s="24" t="s">
        <v>44</v>
      </c>
      <c r="E21" s="24" t="s">
        <v>45</v>
      </c>
      <c r="F21" s="58">
        <v>1127</v>
      </c>
      <c r="G21" s="59">
        <v>19.920000000000002</v>
      </c>
      <c r="H21" s="30">
        <f t="shared" si="3"/>
        <v>22449.84</v>
      </c>
      <c r="I21" s="60">
        <f t="shared" si="0"/>
        <v>19.920000000000002</v>
      </c>
      <c r="J21" s="30">
        <f t="shared" si="4"/>
        <v>22449.84</v>
      </c>
      <c r="K21" s="30">
        <f t="shared" si="1"/>
        <v>0</v>
      </c>
      <c r="L21" s="61"/>
      <c r="M21" s="61"/>
      <c r="N21" s="60"/>
      <c r="O21" s="63"/>
      <c r="P21" s="60"/>
      <c r="Q21" s="61"/>
      <c r="R21" s="61"/>
      <c r="S21" s="61"/>
      <c r="T21" s="61"/>
      <c r="U21" s="61"/>
    </row>
    <row r="22" spans="2:21" x14ac:dyDescent="0.25">
      <c r="B22" s="57">
        <f t="shared" si="2"/>
        <v>9</v>
      </c>
      <c r="C22" s="54" t="s">
        <v>41</v>
      </c>
      <c r="D22" s="24" t="s">
        <v>46</v>
      </c>
      <c r="E22" s="24" t="s">
        <v>47</v>
      </c>
      <c r="F22" s="58">
        <v>3097</v>
      </c>
      <c r="G22" s="59">
        <v>19.920000000000002</v>
      </c>
      <c r="H22" s="30">
        <f t="shared" si="3"/>
        <v>61692.240000000005</v>
      </c>
      <c r="I22" s="60">
        <f t="shared" si="0"/>
        <v>19.920000000000002</v>
      </c>
      <c r="J22" s="30">
        <f t="shared" si="4"/>
        <v>61692.240000000005</v>
      </c>
      <c r="K22" s="30">
        <f t="shared" si="1"/>
        <v>0</v>
      </c>
      <c r="L22" s="61"/>
      <c r="M22" s="61"/>
      <c r="N22" s="60"/>
      <c r="O22" s="63"/>
      <c r="P22" s="60"/>
      <c r="Q22" s="61"/>
      <c r="R22" s="61"/>
      <c r="S22" s="61"/>
      <c r="T22" s="61"/>
      <c r="U22" s="61"/>
    </row>
    <row r="23" spans="2:21" x14ac:dyDescent="0.25">
      <c r="B23" s="57">
        <f t="shared" si="2"/>
        <v>10</v>
      </c>
      <c r="C23" s="54" t="s">
        <v>41</v>
      </c>
      <c r="D23" s="24" t="s">
        <v>48</v>
      </c>
      <c r="E23" s="24" t="s">
        <v>49</v>
      </c>
      <c r="F23" s="58">
        <v>169</v>
      </c>
      <c r="G23" s="59">
        <v>31.46</v>
      </c>
      <c r="H23" s="30">
        <f t="shared" si="3"/>
        <v>5316.74</v>
      </c>
      <c r="I23" s="60">
        <f t="shared" si="0"/>
        <v>31.46</v>
      </c>
      <c r="J23" s="30">
        <f t="shared" si="4"/>
        <v>5316.74</v>
      </c>
      <c r="K23" s="30">
        <f t="shared" si="1"/>
        <v>0</v>
      </c>
      <c r="L23" s="61"/>
      <c r="M23" s="61"/>
      <c r="N23" s="60"/>
      <c r="O23" s="63"/>
      <c r="P23" s="60"/>
      <c r="Q23" s="61"/>
      <c r="R23" s="61"/>
      <c r="S23" s="61"/>
      <c r="T23" s="61"/>
      <c r="U23" s="61"/>
    </row>
    <row r="24" spans="2:21" x14ac:dyDescent="0.25">
      <c r="B24" s="57">
        <f t="shared" si="2"/>
        <v>11</v>
      </c>
      <c r="C24" s="54" t="s">
        <v>41</v>
      </c>
      <c r="D24" s="24" t="s">
        <v>50</v>
      </c>
      <c r="E24" s="24" t="s">
        <v>51</v>
      </c>
      <c r="F24" s="58">
        <v>7262</v>
      </c>
      <c r="G24" s="59">
        <v>41.18</v>
      </c>
      <c r="H24" s="30">
        <f t="shared" si="3"/>
        <v>299049.15999999997</v>
      </c>
      <c r="I24" s="60">
        <f t="shared" si="0"/>
        <v>41.18</v>
      </c>
      <c r="J24" s="30">
        <f t="shared" si="4"/>
        <v>299049.15999999997</v>
      </c>
      <c r="K24" s="30">
        <f t="shared" si="1"/>
        <v>0</v>
      </c>
      <c r="L24" s="61"/>
      <c r="M24" s="61"/>
      <c r="N24" s="60"/>
      <c r="O24" s="63"/>
      <c r="P24" s="60"/>
      <c r="Q24" s="61"/>
      <c r="R24" s="61"/>
      <c r="S24" s="61"/>
      <c r="T24" s="61"/>
      <c r="U24" s="61"/>
    </row>
    <row r="25" spans="2:21" x14ac:dyDescent="0.25">
      <c r="B25" s="57">
        <f t="shared" si="2"/>
        <v>12</v>
      </c>
      <c r="C25" s="54" t="s">
        <v>41</v>
      </c>
      <c r="D25" s="24" t="s">
        <v>52</v>
      </c>
      <c r="E25" s="24" t="s">
        <v>53</v>
      </c>
      <c r="F25" s="58">
        <v>4883</v>
      </c>
      <c r="G25" s="59">
        <v>55.14</v>
      </c>
      <c r="H25" s="30">
        <f t="shared" si="3"/>
        <v>269248.62</v>
      </c>
      <c r="I25" s="60">
        <f t="shared" si="0"/>
        <v>55.14</v>
      </c>
      <c r="J25" s="30">
        <f t="shared" si="4"/>
        <v>269248.62</v>
      </c>
      <c r="K25" s="30">
        <f t="shared" si="1"/>
        <v>0</v>
      </c>
      <c r="L25" s="61"/>
      <c r="M25" s="61"/>
      <c r="N25" s="60"/>
      <c r="O25" s="63"/>
      <c r="P25" s="60"/>
      <c r="Q25" s="61"/>
      <c r="R25" s="61"/>
      <c r="S25" s="61"/>
      <c r="T25" s="61"/>
      <c r="U25" s="61"/>
    </row>
    <row r="26" spans="2:21" x14ac:dyDescent="0.25">
      <c r="B26" s="57">
        <f t="shared" si="2"/>
        <v>13</v>
      </c>
      <c r="C26" s="54" t="s">
        <v>41</v>
      </c>
      <c r="D26" s="24" t="s">
        <v>54</v>
      </c>
      <c r="E26" s="24" t="s">
        <v>55</v>
      </c>
      <c r="F26" s="58">
        <v>13877</v>
      </c>
      <c r="G26" s="59">
        <v>64.13</v>
      </c>
      <c r="H26" s="30">
        <f t="shared" si="3"/>
        <v>889932.00999999989</v>
      </c>
      <c r="I26" s="60">
        <f t="shared" si="0"/>
        <v>64.13</v>
      </c>
      <c r="J26" s="30">
        <f t="shared" si="4"/>
        <v>889932.00999999989</v>
      </c>
      <c r="K26" s="30">
        <f t="shared" si="1"/>
        <v>0</v>
      </c>
      <c r="L26" s="61"/>
      <c r="M26" s="61"/>
      <c r="N26" s="60"/>
      <c r="O26" s="63"/>
      <c r="P26" s="60"/>
      <c r="Q26" s="61"/>
      <c r="R26" s="61"/>
      <c r="S26" s="61"/>
      <c r="T26" s="61"/>
      <c r="U26" s="61"/>
    </row>
    <row r="27" spans="2:21" x14ac:dyDescent="0.25">
      <c r="B27" s="57">
        <f t="shared" si="2"/>
        <v>14</v>
      </c>
      <c r="C27" s="54" t="s">
        <v>56</v>
      </c>
      <c r="D27" s="24" t="s">
        <v>57</v>
      </c>
      <c r="E27" s="24" t="s">
        <v>58</v>
      </c>
      <c r="F27" s="58">
        <v>13829</v>
      </c>
      <c r="G27" s="59">
        <v>10.33</v>
      </c>
      <c r="H27" s="30">
        <f t="shared" si="3"/>
        <v>142853.57</v>
      </c>
      <c r="I27" s="60">
        <f t="shared" si="0"/>
        <v>10.33</v>
      </c>
      <c r="J27" s="30">
        <f t="shared" si="4"/>
        <v>142853.57</v>
      </c>
      <c r="K27" s="30">
        <f>J27-H27</f>
        <v>0</v>
      </c>
      <c r="L27" s="64" t="s">
        <v>8</v>
      </c>
      <c r="M27" s="61"/>
      <c r="N27" s="60"/>
      <c r="O27" s="60"/>
      <c r="P27" s="60"/>
      <c r="Q27" s="61"/>
      <c r="R27" s="61"/>
      <c r="S27" s="61"/>
      <c r="T27" s="61"/>
      <c r="U27" s="61"/>
    </row>
    <row r="28" spans="2:21" x14ac:dyDescent="0.25">
      <c r="B28" s="57">
        <f t="shared" si="2"/>
        <v>15</v>
      </c>
      <c r="C28" s="54" t="s">
        <v>56</v>
      </c>
      <c r="D28" s="24" t="s">
        <v>59</v>
      </c>
      <c r="E28" s="24" t="s">
        <v>60</v>
      </c>
      <c r="F28" s="58">
        <v>909</v>
      </c>
      <c r="G28" s="59">
        <v>28.17</v>
      </c>
      <c r="H28" s="30">
        <f t="shared" si="3"/>
        <v>25606.530000000002</v>
      </c>
      <c r="I28" s="60">
        <f t="shared" si="0"/>
        <v>28.17</v>
      </c>
      <c r="J28" s="30">
        <f t="shared" si="4"/>
        <v>25606.530000000002</v>
      </c>
      <c r="K28" s="30">
        <f>J28-H28</f>
        <v>0</v>
      </c>
      <c r="L28" s="65">
        <f>'JAP-24 - Page 1'!J19</f>
        <v>0</v>
      </c>
      <c r="M28" s="61"/>
      <c r="N28" s="60"/>
      <c r="O28" s="60"/>
      <c r="P28" s="60"/>
      <c r="Q28" s="61"/>
      <c r="R28" s="61"/>
      <c r="S28" s="61"/>
      <c r="T28" s="61"/>
      <c r="U28" s="61"/>
    </row>
    <row r="29" spans="2:21" x14ac:dyDescent="0.25">
      <c r="B29" s="57">
        <f t="shared" si="2"/>
        <v>16</v>
      </c>
      <c r="C29" s="54" t="s">
        <v>56</v>
      </c>
      <c r="D29" s="24" t="s">
        <v>61</v>
      </c>
      <c r="E29" s="24" t="s">
        <v>62</v>
      </c>
      <c r="F29" s="58">
        <v>588</v>
      </c>
      <c r="G29" s="59">
        <v>38.200000000000003</v>
      </c>
      <c r="H29" s="30">
        <f t="shared" si="3"/>
        <v>22461.600000000002</v>
      </c>
      <c r="I29" s="60">
        <f t="shared" si="0"/>
        <v>38.200000000000003</v>
      </c>
      <c r="J29" s="30">
        <f t="shared" si="4"/>
        <v>22461.600000000002</v>
      </c>
      <c r="K29" s="30">
        <f>J29-H29</f>
        <v>0</v>
      </c>
      <c r="L29" s="66" t="s">
        <v>118</v>
      </c>
      <c r="M29" s="61"/>
      <c r="N29" s="60"/>
      <c r="O29" s="60"/>
      <c r="P29" s="60"/>
      <c r="Q29" s="61"/>
      <c r="R29" s="61"/>
      <c r="S29" s="61"/>
      <c r="T29" s="61"/>
      <c r="U29" s="61"/>
    </row>
    <row r="30" spans="2:21" x14ac:dyDescent="0.25">
      <c r="B30" s="57">
        <f t="shared" si="2"/>
        <v>17</v>
      </c>
      <c r="C30" s="54" t="s">
        <v>56</v>
      </c>
      <c r="D30" s="24" t="s">
        <v>63</v>
      </c>
      <c r="E30" s="24" t="s">
        <v>64</v>
      </c>
      <c r="F30" s="67">
        <v>22940</v>
      </c>
      <c r="G30" s="59">
        <v>15.77</v>
      </c>
      <c r="H30" s="30">
        <f t="shared" si="3"/>
        <v>361763.8</v>
      </c>
      <c r="I30" s="60">
        <f t="shared" si="0"/>
        <v>15.77</v>
      </c>
      <c r="J30" s="30">
        <f t="shared" si="4"/>
        <v>361763.8</v>
      </c>
      <c r="K30" s="30">
        <f>J30-H30</f>
        <v>0</v>
      </c>
      <c r="L30" s="68">
        <f>K31-L28</f>
        <v>0</v>
      </c>
      <c r="M30" s="61"/>
      <c r="N30" s="60"/>
      <c r="O30" s="60"/>
      <c r="P30" s="60"/>
      <c r="Q30" s="61"/>
      <c r="R30" s="61"/>
      <c r="S30" s="61"/>
      <c r="T30" s="61"/>
      <c r="U30" s="61"/>
    </row>
    <row r="31" spans="2:21" x14ac:dyDescent="0.25">
      <c r="B31" s="57">
        <f t="shared" si="2"/>
        <v>18</v>
      </c>
      <c r="E31" s="24" t="s">
        <v>23</v>
      </c>
      <c r="F31" s="16">
        <f>SUM(F14:F30)</f>
        <v>397262</v>
      </c>
      <c r="H31" s="69">
        <f>SUM(H14:H30)</f>
        <v>6041548.46</v>
      </c>
      <c r="I31" s="61"/>
      <c r="J31" s="69">
        <f>SUM(J14:J30)</f>
        <v>6041548.46</v>
      </c>
      <c r="K31" s="70">
        <f>SUM(K14:K30)</f>
        <v>0</v>
      </c>
      <c r="L31" s="71"/>
      <c r="O31" s="62"/>
      <c r="P31" s="71"/>
    </row>
    <row r="32" spans="2:21" s="35" customFormat="1" x14ac:dyDescent="0.25">
      <c r="B32" s="72"/>
      <c r="G32" s="71"/>
      <c r="H32" s="71"/>
      <c r="I32" s="71"/>
      <c r="J32" s="71"/>
      <c r="K32" s="71"/>
    </row>
    <row r="33" spans="2:21" s="35" customFormat="1" x14ac:dyDescent="0.25">
      <c r="B33" s="72"/>
      <c r="C33" s="24"/>
      <c r="D33" s="24"/>
      <c r="E33" s="24"/>
      <c r="F33" s="24"/>
      <c r="G33" s="73"/>
      <c r="H33" s="27"/>
      <c r="I33" s="61"/>
      <c r="J33" s="61"/>
      <c r="K33" s="71"/>
      <c r="L33" s="74">
        <v>0</v>
      </c>
      <c r="M33" s="60"/>
      <c r="N33" s="26"/>
      <c r="O33" s="60"/>
      <c r="P33" s="60"/>
      <c r="Q33" s="60"/>
      <c r="R33" s="60"/>
      <c r="S33" s="60"/>
      <c r="U33" s="60"/>
    </row>
    <row r="34" spans="2:21" s="35" customFormat="1" x14ac:dyDescent="0.25">
      <c r="B34" s="72"/>
      <c r="G34" s="73"/>
      <c r="J34" s="26"/>
      <c r="K34" s="75"/>
    </row>
    <row r="35" spans="2:21" x14ac:dyDescent="0.25">
      <c r="B35" s="57"/>
      <c r="G35" s="73"/>
      <c r="O35" s="76"/>
      <c r="P35" s="60"/>
      <c r="Q35" s="61"/>
      <c r="R35" s="61"/>
      <c r="S35" s="61"/>
    </row>
    <row r="36" spans="2:21" x14ac:dyDescent="0.25">
      <c r="B36" s="57"/>
      <c r="G36" s="73"/>
      <c r="P36" s="60"/>
      <c r="Q36" s="61"/>
      <c r="R36" s="61"/>
      <c r="S36" s="61"/>
    </row>
    <row r="37" spans="2:21" x14ac:dyDescent="0.25">
      <c r="B37" s="57"/>
      <c r="G37" s="73"/>
      <c r="J37" s="61"/>
      <c r="K37" s="61"/>
      <c r="O37" s="72"/>
      <c r="P37" s="77"/>
      <c r="Q37" s="77"/>
      <c r="R37" s="78"/>
      <c r="S37" s="78"/>
    </row>
    <row r="38" spans="2:21" x14ac:dyDescent="0.25">
      <c r="B38" s="57"/>
      <c r="G38" s="73"/>
      <c r="P38" s="35"/>
    </row>
    <row r="39" spans="2:21" x14ac:dyDescent="0.25">
      <c r="B39" s="57"/>
    </row>
    <row r="40" spans="2:21" x14ac:dyDescent="0.25">
      <c r="B40" s="57"/>
    </row>
    <row r="41" spans="2:21" x14ac:dyDescent="0.25">
      <c r="B41" s="57"/>
    </row>
    <row r="42" spans="2:21" x14ac:dyDescent="0.25">
      <c r="B42" s="57"/>
    </row>
    <row r="43" spans="2:21" x14ac:dyDescent="0.25">
      <c r="B43" s="57"/>
    </row>
    <row r="44" spans="2:21" x14ac:dyDescent="0.25">
      <c r="B44" s="57"/>
    </row>
    <row r="45" spans="2:21" x14ac:dyDescent="0.25">
      <c r="B45" s="57"/>
    </row>
    <row r="46" spans="2:21" x14ac:dyDescent="0.25">
      <c r="B46" s="57"/>
    </row>
    <row r="47" spans="2:21" x14ac:dyDescent="0.25">
      <c r="B47" s="57"/>
    </row>
    <row r="48" spans="2:21" x14ac:dyDescent="0.25">
      <c r="B48" s="57"/>
    </row>
    <row r="49" spans="2:2" x14ac:dyDescent="0.25">
      <c r="B49" s="57"/>
    </row>
  </sheetData>
  <phoneticPr fontId="0" type="noConversion"/>
  <printOptions horizontalCentered="1"/>
  <pageMargins left="0.51" right="0.67" top="1" bottom="1" header="0.75" footer="0.5"/>
  <pageSetup scale="86" orientation="landscape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4EA5D37A962C4EA37186F23DE8E95A" ma:contentTypeVersion="104" ma:contentTypeDescription="" ma:contentTypeScope="" ma:versionID="d253007e0d47857184b4be113f8e120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986987D-5E7F-4AB5-9649-E36077AEC06C}"/>
</file>

<file path=customXml/itemProps2.xml><?xml version="1.0" encoding="utf-8"?>
<ds:datastoreItem xmlns:ds="http://schemas.openxmlformats.org/officeDocument/2006/customXml" ds:itemID="{EFB13A25-D6CD-442F-B259-9575783CF9EB}"/>
</file>

<file path=customXml/itemProps3.xml><?xml version="1.0" encoding="utf-8"?>
<ds:datastoreItem xmlns:ds="http://schemas.openxmlformats.org/officeDocument/2006/customXml" ds:itemID="{227AEBA6-BAED-49C1-A40B-816BDBB41D2B}"/>
</file>

<file path=customXml/itemProps4.xml><?xml version="1.0" encoding="utf-8"?>
<ds:datastoreItem xmlns:ds="http://schemas.openxmlformats.org/officeDocument/2006/customXml" ds:itemID="{CEBAD46D-25B1-4DEA-9437-FE39E9D775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JAP-24 - Page 1</vt:lpstr>
      <vt:lpstr>JAP-24 - Page 2</vt:lpstr>
      <vt:lpstr>JAP-24 Page 3</vt:lpstr>
      <vt:lpstr>JAP-24 Pages 4 - 6</vt:lpstr>
      <vt:lpstr>JAP-24 Pages 7-12</vt:lpstr>
      <vt:lpstr>JAP-24 Page 13</vt:lpstr>
      <vt:lpstr>'JAP-24 - Page 1'!Print_Area</vt:lpstr>
      <vt:lpstr>'JAP-24 - Page 2'!Print_Area</vt:lpstr>
      <vt:lpstr>'JAP-24 Page 13'!Print_Area</vt:lpstr>
      <vt:lpstr>'JAP-24 Page 3'!Print_Area</vt:lpstr>
      <vt:lpstr>'JAP-24 Pages 4 - 6'!Print_Area</vt:lpstr>
      <vt:lpstr>'JAP-24 Pages 7-12'!Print_Area</vt:lpstr>
      <vt:lpstr>'JAP-24 - Page 1'!Print_Titles</vt:lpstr>
      <vt:lpstr>'JAP-24 - Page 2'!Print_Titles</vt:lpstr>
      <vt:lpstr>'JAP-24 Page 3'!Print_Titles</vt:lpstr>
      <vt:lpstr>'JAP-24 Pages 4 - 6'!Print_Titles</vt:lpstr>
      <vt:lpstr>'JAP-24 Pages 7-12'!Print_Titles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mcass;KXu</dc:creator>
  <cp:lastModifiedBy>Ryan Thomas</cp:lastModifiedBy>
  <cp:lastPrinted>2017-01-04T18:04:37Z</cp:lastPrinted>
  <dcterms:created xsi:type="dcterms:W3CDTF">2004-03-21T19:15:57Z</dcterms:created>
  <dcterms:modified xsi:type="dcterms:W3CDTF">2017-01-08T18:54:00Z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0x0101006E56B4D1795A2E4DB2F0B01679ED314A00EF4EA5D37A962C4EA37186F23DE8E95A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